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380" windowHeight="8190" tabRatio="211"/>
  </bookViews>
  <sheets>
    <sheet name="Datos" sheetId="1" r:id="rId1"/>
    <sheet name="Hoja2" sheetId="2" state="hidden" r:id="rId2"/>
  </sheets>
  <definedNames>
    <definedName name="__xlfn_IFERROR">#N/A</definedName>
    <definedName name="_xlnm.Print_Area" localSheetId="0">Datos!$D$12:$AD$64</definedName>
    <definedName name="_xlnm.Print_Titles" localSheetId="0">Datos!$8:$9</definedName>
  </definedNames>
  <calcPr calcId="145621" fullCalcOnLoad="1"/>
</workbook>
</file>

<file path=xl/calcChain.xml><?xml version="1.0" encoding="utf-8"?>
<calcChain xmlns="http://schemas.openxmlformats.org/spreadsheetml/2006/main">
  <c r="AS61" i="1" l="1"/>
  <c r="AR61" i="1"/>
  <c r="AN61" i="1"/>
  <c r="AJ61" i="1"/>
  <c r="AG61" i="1"/>
  <c r="AF61" i="1"/>
  <c r="U61" i="1"/>
  <c r="R60" i="2"/>
  <c r="S61" i="1"/>
  <c r="T61" i="1" s="1"/>
  <c r="P61" i="1"/>
  <c r="Q61" i="1" s="1"/>
  <c r="Q60" i="2" s="1"/>
  <c r="M61" i="1"/>
  <c r="N61" i="1" s="1"/>
  <c r="J61" i="1"/>
  <c r="K61" i="1"/>
  <c r="AR59" i="1"/>
  <c r="AN59" i="1"/>
  <c r="AJ59" i="1"/>
  <c r="AF59" i="1"/>
  <c r="U59" i="1"/>
  <c r="S59" i="1"/>
  <c r="T59" i="1" s="1"/>
  <c r="Q59" i="1"/>
  <c r="P59" i="1"/>
  <c r="M59" i="1"/>
  <c r="J59" i="1"/>
  <c r="K59" i="1"/>
  <c r="AJ58" i="1"/>
  <c r="AF58" i="1"/>
  <c r="U58" i="1"/>
  <c r="T58" i="1"/>
  <c r="S58" i="1"/>
  <c r="P58" i="1"/>
  <c r="P53" i="2"/>
  <c r="N58" i="1"/>
  <c r="M58" i="1"/>
  <c r="V58" i="1" s="1"/>
  <c r="J58" i="1"/>
  <c r="AR57" i="1"/>
  <c r="AN57" i="1"/>
  <c r="AJ57" i="1"/>
  <c r="AF57" i="1"/>
  <c r="U57" i="1"/>
  <c r="R52" i="2" s="1"/>
  <c r="S57" i="1"/>
  <c r="T57" i="1" s="1"/>
  <c r="P57" i="1"/>
  <c r="P52" i="2" s="1"/>
  <c r="M57" i="1"/>
  <c r="N57" i="1" s="1"/>
  <c r="J57" i="1"/>
  <c r="V57" i="1" s="1"/>
  <c r="S52" i="2" s="1"/>
  <c r="AR56" i="1"/>
  <c r="AN56" i="1"/>
  <c r="AJ56" i="1"/>
  <c r="AF56" i="1"/>
  <c r="U56" i="1"/>
  <c r="R51" i="2"/>
  <c r="S56" i="1"/>
  <c r="T56" i="1" s="1"/>
  <c r="P56" i="1"/>
  <c r="P51" i="2"/>
  <c r="N56" i="1"/>
  <c r="M56" i="1"/>
  <c r="J56" i="1"/>
  <c r="K56" i="1"/>
  <c r="AR54" i="1"/>
  <c r="AN54" i="1"/>
  <c r="AJ54" i="1"/>
  <c r="AF54" i="1"/>
  <c r="U54" i="1"/>
  <c r="R45" i="2" s="1"/>
  <c r="S54" i="1"/>
  <c r="T54" i="1"/>
  <c r="P54" i="1"/>
  <c r="Q54" i="1" s="1"/>
  <c r="Q45" i="2" s="1"/>
  <c r="M54" i="1"/>
  <c r="N54" i="1" s="1"/>
  <c r="J54" i="1"/>
  <c r="K54" i="1" s="1"/>
  <c r="AR53" i="1"/>
  <c r="AN53" i="1"/>
  <c r="AJ53" i="1"/>
  <c r="AF53" i="1"/>
  <c r="U53" i="1"/>
  <c r="S53" i="1"/>
  <c r="T53" i="1" s="1"/>
  <c r="P53" i="1"/>
  <c r="Q53" i="1"/>
  <c r="Q44" i="2"/>
  <c r="M53" i="1"/>
  <c r="N53" i="1" s="1"/>
  <c r="J53" i="1"/>
  <c r="K53" i="1"/>
  <c r="AR52" i="1"/>
  <c r="AN52" i="1"/>
  <c r="AJ52" i="1"/>
  <c r="AF52" i="1"/>
  <c r="U52" i="1"/>
  <c r="R43" i="2" s="1"/>
  <c r="S52" i="1"/>
  <c r="T52" i="1" s="1"/>
  <c r="Q52" i="1"/>
  <c r="P52" i="1"/>
  <c r="P43" i="2"/>
  <c r="N52" i="1"/>
  <c r="M52" i="1"/>
  <c r="J52" i="1"/>
  <c r="K52" i="1"/>
  <c r="AR51" i="1"/>
  <c r="AN51" i="1"/>
  <c r="AJ51" i="1"/>
  <c r="AF51" i="1"/>
  <c r="U51" i="1"/>
  <c r="S51" i="1"/>
  <c r="T51" i="1" s="1"/>
  <c r="Q51" i="1"/>
  <c r="Q42" i="2"/>
  <c r="P51" i="1"/>
  <c r="M51" i="1"/>
  <c r="N51" i="1" s="1"/>
  <c r="K51" i="1"/>
  <c r="J51" i="1"/>
  <c r="V51" i="1" s="1"/>
  <c r="AR50" i="1"/>
  <c r="AN50" i="1"/>
  <c r="AJ50" i="1"/>
  <c r="AF50" i="1"/>
  <c r="U50" i="1"/>
  <c r="S50" i="1"/>
  <c r="T50" i="1" s="1"/>
  <c r="P50" i="1"/>
  <c r="Q50" i="1" s="1"/>
  <c r="M50" i="1"/>
  <c r="N50" i="1" s="1"/>
  <c r="J50" i="1"/>
  <c r="K50" i="1" s="1"/>
  <c r="V50" i="1"/>
  <c r="W50" i="1" s="1"/>
  <c r="X50" i="1" s="1"/>
  <c r="AR49" i="1"/>
  <c r="AN49" i="1"/>
  <c r="AJ49" i="1"/>
  <c r="AF49" i="1"/>
  <c r="U49" i="1"/>
  <c r="S49" i="1"/>
  <c r="T49" i="1" s="1"/>
  <c r="P49" i="1"/>
  <c r="Q49" i="1" s="1"/>
  <c r="M49" i="1"/>
  <c r="N49" i="1" s="1"/>
  <c r="J49" i="1"/>
  <c r="K49" i="1" s="1"/>
  <c r="V49" i="1"/>
  <c r="W49" i="1" s="1"/>
  <c r="X49" i="1" s="1"/>
  <c r="AR48" i="1"/>
  <c r="AN48" i="1"/>
  <c r="AJ48" i="1"/>
  <c r="AF48" i="1"/>
  <c r="U48" i="1"/>
  <c r="S48" i="1"/>
  <c r="T48" i="1" s="1"/>
  <c r="P48" i="1"/>
  <c r="Q48" i="1" s="1"/>
  <c r="Q41" i="2" s="1"/>
  <c r="M48" i="1"/>
  <c r="N48" i="1" s="1"/>
  <c r="J48" i="1"/>
  <c r="K48" i="1"/>
  <c r="AR47" i="1"/>
  <c r="AN47" i="1"/>
  <c r="AK47" i="1"/>
  <c r="M47" i="1"/>
  <c r="N47" i="1"/>
  <c r="AJ47" i="1"/>
  <c r="AG47" i="1"/>
  <c r="J47" i="1"/>
  <c r="K47" i="1"/>
  <c r="AF47" i="1"/>
  <c r="U47" i="1"/>
  <c r="R40" i="2"/>
  <c r="S47" i="1"/>
  <c r="T47" i="1" s="1"/>
  <c r="P47" i="1"/>
  <c r="Q47" i="1"/>
  <c r="Q40" i="2"/>
  <c r="AR46" i="1"/>
  <c r="AN46" i="1"/>
  <c r="AK46" i="1"/>
  <c r="M46" i="1"/>
  <c r="N46" i="1" s="1"/>
  <c r="AJ46" i="1"/>
  <c r="AG46" i="1"/>
  <c r="J46" i="1"/>
  <c r="K46" i="1" s="1"/>
  <c r="AF46" i="1"/>
  <c r="U46" i="1"/>
  <c r="S46" i="1"/>
  <c r="T46" i="1" s="1"/>
  <c r="P46" i="1"/>
  <c r="P39" i="2" s="1"/>
  <c r="AR45" i="1"/>
  <c r="AN45" i="1"/>
  <c r="AJ45" i="1"/>
  <c r="AG45" i="1"/>
  <c r="AF45" i="1"/>
  <c r="U45" i="1"/>
  <c r="R38" i="2"/>
  <c r="S45" i="1"/>
  <c r="T45" i="1" s="1"/>
  <c r="P45" i="1"/>
  <c r="Q45" i="1"/>
  <c r="M45" i="1"/>
  <c r="N45" i="1" s="1"/>
  <c r="J45" i="1"/>
  <c r="V45" i="1"/>
  <c r="AR43" i="1"/>
  <c r="AN43" i="1"/>
  <c r="AJ43" i="1"/>
  <c r="AF43" i="1"/>
  <c r="U43" i="1"/>
  <c r="R32" i="2" s="1"/>
  <c r="S43" i="1"/>
  <c r="T43" i="1"/>
  <c r="P43" i="1"/>
  <c r="Q43" i="1" s="1"/>
  <c r="Q32" i="2" s="1"/>
  <c r="M43" i="1"/>
  <c r="V43" i="1" s="1"/>
  <c r="W43" i="1" s="1"/>
  <c r="K43" i="1"/>
  <c r="J43" i="1"/>
  <c r="AR42" i="1"/>
  <c r="AN42" i="1"/>
  <c r="AJ42" i="1"/>
  <c r="AF42" i="1"/>
  <c r="U42" i="1"/>
  <c r="S42" i="1"/>
  <c r="T42" i="1" s="1"/>
  <c r="P42" i="1"/>
  <c r="Q42" i="1"/>
  <c r="M42" i="1"/>
  <c r="N42" i="1" s="1"/>
  <c r="J42" i="1"/>
  <c r="K42" i="1"/>
  <c r="AS41" i="1"/>
  <c r="S41" i="1" s="1"/>
  <c r="T41" i="1" s="1"/>
  <c r="AR41" i="1"/>
  <c r="AO41" i="1"/>
  <c r="P41" i="1"/>
  <c r="P31" i="2" s="1"/>
  <c r="AN41" i="1"/>
  <c r="AK41" i="1"/>
  <c r="AJ41" i="1"/>
  <c r="AG41" i="1"/>
  <c r="J41" i="1" s="1"/>
  <c r="AF41" i="1"/>
  <c r="U41" i="1"/>
  <c r="M41" i="1"/>
  <c r="N41" i="1" s="1"/>
  <c r="AR40" i="1"/>
  <c r="AO40" i="1"/>
  <c r="P40" i="1"/>
  <c r="P30" i="2" s="1"/>
  <c r="AN40" i="1"/>
  <c r="AJ40" i="1"/>
  <c r="AF40" i="1"/>
  <c r="U40" i="1"/>
  <c r="S40" i="1"/>
  <c r="T40" i="1"/>
  <c r="N40" i="1"/>
  <c r="M40" i="1"/>
  <c r="J40" i="1"/>
  <c r="K40" i="1"/>
  <c r="AR39" i="1"/>
  <c r="AN39" i="1"/>
  <c r="AJ39" i="1"/>
  <c r="AF39" i="1"/>
  <c r="U39" i="1"/>
  <c r="R29" i="2" s="1"/>
  <c r="S39" i="1"/>
  <c r="T39" i="1" s="1"/>
  <c r="P39" i="1"/>
  <c r="P29" i="2" s="1"/>
  <c r="M39" i="1"/>
  <c r="N39" i="1" s="1"/>
  <c r="V39" i="1"/>
  <c r="W39" i="1" s="1"/>
  <c r="J39" i="1"/>
  <c r="K39" i="1" s="1"/>
  <c r="AR38" i="1"/>
  <c r="AN38" i="1"/>
  <c r="AJ38" i="1"/>
  <c r="AF38" i="1"/>
  <c r="U38" i="1"/>
  <c r="R28" i="2" s="1"/>
  <c r="S38" i="1"/>
  <c r="T38" i="1" s="1"/>
  <c r="V38" i="1"/>
  <c r="P38" i="1"/>
  <c r="Q38" i="1" s="1"/>
  <c r="Q28" i="2" s="1"/>
  <c r="M38" i="1"/>
  <c r="N38" i="1" s="1"/>
  <c r="J38" i="1"/>
  <c r="K38" i="1"/>
  <c r="AR37" i="1"/>
  <c r="AN37" i="1"/>
  <c r="AJ37" i="1"/>
  <c r="AF37" i="1"/>
  <c r="U37" i="1"/>
  <c r="R27" i="2" s="1"/>
  <c r="S37" i="1"/>
  <c r="T37" i="1" s="1"/>
  <c r="P37" i="1"/>
  <c r="Q37" i="1" s="1"/>
  <c r="Q27" i="2" s="1"/>
  <c r="M37" i="1"/>
  <c r="N37" i="1"/>
  <c r="J37" i="1"/>
  <c r="K37" i="1" s="1"/>
  <c r="AR36" i="1"/>
  <c r="AN36" i="1"/>
  <c r="AJ36" i="1"/>
  <c r="AF36" i="1"/>
  <c r="U36" i="1"/>
  <c r="T36" i="1"/>
  <c r="S36" i="1"/>
  <c r="P36" i="1"/>
  <c r="P26" i="2" s="1"/>
  <c r="M36" i="1"/>
  <c r="N36" i="1"/>
  <c r="J36" i="1"/>
  <c r="V36" i="1" s="1"/>
  <c r="AS35" i="1"/>
  <c r="S35" i="1"/>
  <c r="T35" i="1"/>
  <c r="AR35" i="1"/>
  <c r="AN35" i="1"/>
  <c r="AJ35" i="1"/>
  <c r="AF35" i="1"/>
  <c r="U35" i="1"/>
  <c r="R25" i="2" s="1"/>
  <c r="P35" i="1"/>
  <c r="P25" i="2"/>
  <c r="N35" i="1"/>
  <c r="M35" i="1"/>
  <c r="J35" i="1"/>
  <c r="K35" i="1"/>
  <c r="AR34" i="1"/>
  <c r="AN34" i="1"/>
  <c r="AJ34" i="1"/>
  <c r="AF34" i="1"/>
  <c r="U34" i="1"/>
  <c r="R24" i="2" s="1"/>
  <c r="S34" i="1"/>
  <c r="T34" i="1"/>
  <c r="P34" i="1"/>
  <c r="P24" i="2" s="1"/>
  <c r="M34" i="1"/>
  <c r="N34" i="1"/>
  <c r="J34" i="1"/>
  <c r="V34" i="1" s="1"/>
  <c r="W34" i="1" s="1"/>
  <c r="AR33" i="1"/>
  <c r="AN33" i="1"/>
  <c r="AJ33" i="1"/>
  <c r="AF33" i="1"/>
  <c r="U33" i="1"/>
  <c r="T33" i="1"/>
  <c r="S33" i="1"/>
  <c r="P33" i="1"/>
  <c r="Q33" i="1"/>
  <c r="N33" i="1"/>
  <c r="M33" i="1"/>
  <c r="J33" i="1"/>
  <c r="K33" i="1"/>
  <c r="AR32" i="1"/>
  <c r="AN32" i="1"/>
  <c r="AJ32" i="1"/>
  <c r="AF32" i="1"/>
  <c r="U32" i="1"/>
  <c r="T32" i="1"/>
  <c r="S32" i="1"/>
  <c r="P32" i="1"/>
  <c r="Q32" i="1"/>
  <c r="N32" i="1"/>
  <c r="M32" i="1"/>
  <c r="J32" i="1"/>
  <c r="K32" i="1"/>
  <c r="AR31" i="1"/>
  <c r="AN31" i="1"/>
  <c r="AJ31" i="1"/>
  <c r="AF31" i="1"/>
  <c r="U31" i="1"/>
  <c r="S31" i="1"/>
  <c r="T31" i="1" s="1"/>
  <c r="P31" i="1"/>
  <c r="Q31" i="1" s="1"/>
  <c r="M31" i="1"/>
  <c r="N31" i="1" s="1"/>
  <c r="J31" i="1"/>
  <c r="V31" i="1" s="1"/>
  <c r="W31" i="1" s="1"/>
  <c r="X31" i="1" s="1"/>
  <c r="AR30" i="1"/>
  <c r="AN30" i="1"/>
  <c r="AJ30" i="1"/>
  <c r="AF30" i="1"/>
  <c r="U30" i="1"/>
  <c r="S30" i="1"/>
  <c r="T30" i="1" s="1"/>
  <c r="P30" i="1"/>
  <c r="Q30" i="1"/>
  <c r="M30" i="1"/>
  <c r="N30" i="1" s="1"/>
  <c r="J30" i="1"/>
  <c r="K30" i="1"/>
  <c r="AR29" i="1"/>
  <c r="AN29" i="1"/>
  <c r="AJ29" i="1"/>
  <c r="AF29" i="1"/>
  <c r="U29" i="1"/>
  <c r="R23" i="2" s="1"/>
  <c r="S29" i="1"/>
  <c r="T29" i="1"/>
  <c r="P29" i="1"/>
  <c r="P23" i="2" s="1"/>
  <c r="M29" i="1"/>
  <c r="N29" i="1"/>
  <c r="J29" i="1"/>
  <c r="K29" i="1" s="1"/>
  <c r="AS28" i="1"/>
  <c r="S28" i="1"/>
  <c r="AR28" i="1"/>
  <c r="AN28" i="1"/>
  <c r="AJ28" i="1"/>
  <c r="AF28" i="1"/>
  <c r="U28" i="1"/>
  <c r="Q28" i="1"/>
  <c r="P28" i="1"/>
  <c r="M28" i="1"/>
  <c r="N28" i="1" s="1"/>
  <c r="K28" i="1"/>
  <c r="J28" i="1"/>
  <c r="AR27" i="1"/>
  <c r="AN27" i="1"/>
  <c r="AJ27" i="1"/>
  <c r="AF27" i="1"/>
  <c r="U27" i="1"/>
  <c r="T27" i="1"/>
  <c r="S27" i="1"/>
  <c r="P27" i="1"/>
  <c r="Q27" i="1" s="1"/>
  <c r="N27" i="1"/>
  <c r="M27" i="1"/>
  <c r="J27" i="1"/>
  <c r="K27" i="1" s="1"/>
  <c r="V27" i="1"/>
  <c r="W27" i="1" s="1"/>
  <c r="X27" i="1" s="1"/>
  <c r="AR26" i="1"/>
  <c r="AN26" i="1"/>
  <c r="AJ26" i="1"/>
  <c r="AF26" i="1"/>
  <c r="U26" i="1"/>
  <c r="T26" i="1"/>
  <c r="S26" i="1"/>
  <c r="P26" i="1"/>
  <c r="Q26" i="1" s="1"/>
  <c r="N26" i="1"/>
  <c r="M26" i="1"/>
  <c r="J26" i="1"/>
  <c r="K26" i="1" s="1"/>
  <c r="V26" i="1"/>
  <c r="W26" i="1" s="1"/>
  <c r="X26" i="1" s="1"/>
  <c r="AR25" i="1"/>
  <c r="AN25" i="1"/>
  <c r="AJ25" i="1"/>
  <c r="AF25" i="1"/>
  <c r="U25" i="1"/>
  <c r="R18" i="2"/>
  <c r="S25" i="1"/>
  <c r="T25" i="1" s="1"/>
  <c r="P25" i="1"/>
  <c r="Q25" i="1" s="1"/>
  <c r="Q18" i="2" s="1"/>
  <c r="M25" i="1"/>
  <c r="N25" i="1" s="1"/>
  <c r="J25" i="1"/>
  <c r="K25" i="1" s="1"/>
  <c r="AR24" i="1"/>
  <c r="AO24" i="1"/>
  <c r="AN24" i="1"/>
  <c r="AK24" i="1"/>
  <c r="M24" i="1" s="1"/>
  <c r="N24" i="1" s="1"/>
  <c r="AJ24" i="1"/>
  <c r="AG24" i="1"/>
  <c r="AF24" i="1"/>
  <c r="U24" i="1"/>
  <c r="R17" i="2"/>
  <c r="S24" i="1"/>
  <c r="T24" i="1" s="1"/>
  <c r="P24" i="1"/>
  <c r="Q24" i="1"/>
  <c r="J24" i="1"/>
  <c r="AR22" i="1"/>
  <c r="AN22" i="1"/>
  <c r="AJ22" i="1"/>
  <c r="AF22" i="1"/>
  <c r="U22" i="1"/>
  <c r="S22" i="1"/>
  <c r="T22" i="1" s="1"/>
  <c r="P22" i="1"/>
  <c r="Q22" i="1" s="1"/>
  <c r="Q15" i="2" s="1"/>
  <c r="M22" i="1"/>
  <c r="K22" i="1"/>
  <c r="J22" i="1"/>
  <c r="V22" i="1" s="1"/>
  <c r="AR21" i="1"/>
  <c r="AN21" i="1"/>
  <c r="AJ21" i="1"/>
  <c r="AF21" i="1"/>
  <c r="U21" i="1"/>
  <c r="S21" i="1"/>
  <c r="T21" i="1"/>
  <c r="P21" i="1"/>
  <c r="Q21" i="1" s="1"/>
  <c r="Q14" i="2" s="1"/>
  <c r="M21" i="1"/>
  <c r="N21" i="1" s="1"/>
  <c r="J21" i="1"/>
  <c r="K21" i="1"/>
  <c r="AR20" i="1"/>
  <c r="AO20" i="1"/>
  <c r="P20" i="1" s="1"/>
  <c r="Q20" i="1" s="1"/>
  <c r="Q13" i="2" s="1"/>
  <c r="AN20" i="1"/>
  <c r="AJ20" i="1"/>
  <c r="AG20" i="1"/>
  <c r="J20" i="1" s="1"/>
  <c r="AF20" i="1"/>
  <c r="U20" i="1"/>
  <c r="R13" i="2"/>
  <c r="S20" i="1"/>
  <c r="T20" i="1" s="1"/>
  <c r="N20" i="1"/>
  <c r="M20" i="1"/>
  <c r="AS19" i="1"/>
  <c r="S19" i="1" s="1"/>
  <c r="T19" i="1" s="1"/>
  <c r="AR19" i="1"/>
  <c r="AO19" i="1"/>
  <c r="AN19" i="1"/>
  <c r="AK19" i="1"/>
  <c r="M19" i="1"/>
  <c r="N19" i="1" s="1"/>
  <c r="AJ19" i="1"/>
  <c r="AG19" i="1"/>
  <c r="J19" i="1" s="1"/>
  <c r="K19" i="1" s="1"/>
  <c r="AF19" i="1"/>
  <c r="U19" i="1"/>
  <c r="R12" i="2" s="1"/>
  <c r="P19" i="1"/>
  <c r="Q19" i="1"/>
  <c r="Q12" i="2" s="1"/>
  <c r="AR18" i="1"/>
  <c r="AO18" i="1"/>
  <c r="P18" i="1" s="1"/>
  <c r="AN18" i="1"/>
  <c r="AK18" i="1"/>
  <c r="M18" i="1"/>
  <c r="N18" i="1"/>
  <c r="AJ18" i="1"/>
  <c r="AG18" i="1"/>
  <c r="J18" i="1"/>
  <c r="K18" i="1"/>
  <c r="AF18" i="1"/>
  <c r="U18" i="1"/>
  <c r="S18" i="1"/>
  <c r="T18" i="1"/>
  <c r="AR17" i="1"/>
  <c r="AO17" i="1"/>
  <c r="P17" i="1"/>
  <c r="Q17" i="1"/>
  <c r="Q10" i="2" s="1"/>
  <c r="AN17" i="1"/>
  <c r="AK17" i="1"/>
  <c r="M17" i="1" s="1"/>
  <c r="N17" i="1" s="1"/>
  <c r="AJ17" i="1"/>
  <c r="AG17" i="1"/>
  <c r="J17" i="1" s="1"/>
  <c r="K17" i="1" s="1"/>
  <c r="AF17" i="1"/>
  <c r="U17" i="1"/>
  <c r="R10" i="2" s="1"/>
  <c r="S17" i="1"/>
  <c r="T17" i="1"/>
  <c r="AR16" i="1"/>
  <c r="AN16" i="1"/>
  <c r="AJ16" i="1"/>
  <c r="AF16" i="1"/>
  <c r="U16" i="1"/>
  <c r="S16" i="1"/>
  <c r="T16" i="1" s="1"/>
  <c r="P16" i="1"/>
  <c r="P9" i="2"/>
  <c r="M16" i="1"/>
  <c r="N16" i="1" s="1"/>
  <c r="J16" i="1"/>
  <c r="K16" i="1" s="1"/>
  <c r="AR14" i="1"/>
  <c r="AN14" i="1"/>
  <c r="AJ14" i="1"/>
  <c r="AF14" i="1"/>
  <c r="U14" i="1"/>
  <c r="R69" i="2" s="1"/>
  <c r="S14" i="1"/>
  <c r="T14" i="1"/>
  <c r="P14" i="1"/>
  <c r="Q14" i="1" s="1"/>
  <c r="Q69" i="2" s="1"/>
  <c r="M14" i="1"/>
  <c r="N14" i="1"/>
  <c r="J14" i="1"/>
  <c r="V14" i="1" s="1"/>
  <c r="AR13" i="1"/>
  <c r="AN13" i="1"/>
  <c r="AJ13" i="1"/>
  <c r="AF13" i="1"/>
  <c r="U13" i="1"/>
  <c r="S13" i="1"/>
  <c r="T13" i="1" s="1"/>
  <c r="P13" i="1"/>
  <c r="P68" i="2"/>
  <c r="M13" i="1"/>
  <c r="J13" i="1"/>
  <c r="AR12" i="1"/>
  <c r="AN12" i="1"/>
  <c r="AJ12" i="1"/>
  <c r="AF12" i="1"/>
  <c r="U12" i="1"/>
  <c r="R67" i="2" s="1"/>
  <c r="S12" i="1"/>
  <c r="T12" i="1" s="1"/>
  <c r="P12" i="1"/>
  <c r="Q12" i="1" s="1"/>
  <c r="M12" i="1"/>
  <c r="N12" i="1"/>
  <c r="J12" i="1"/>
  <c r="V12" i="1" s="1"/>
  <c r="N6" i="2"/>
  <c r="N9" i="2"/>
  <c r="O9" i="2"/>
  <c r="N10" i="2"/>
  <c r="O10" i="2"/>
  <c r="N11" i="2"/>
  <c r="O11" i="2"/>
  <c r="N12" i="2"/>
  <c r="O12" i="2"/>
  <c r="N13" i="2"/>
  <c r="O13" i="2"/>
  <c r="N14" i="2"/>
  <c r="O14" i="2"/>
  <c r="N15" i="2"/>
  <c r="O15" i="2"/>
  <c r="N16" i="2"/>
  <c r="O16" i="2"/>
  <c r="P16" i="2"/>
  <c r="Q16" i="2"/>
  <c r="R16" i="2"/>
  <c r="S16" i="2"/>
  <c r="T16" i="2"/>
  <c r="N17" i="2"/>
  <c r="O17" i="2"/>
  <c r="N18" i="2"/>
  <c r="O18" i="2"/>
  <c r="N20" i="2"/>
  <c r="N23" i="2"/>
  <c r="O23" i="2"/>
  <c r="N24" i="2"/>
  <c r="O24" i="2"/>
  <c r="N25" i="2"/>
  <c r="O25" i="2"/>
  <c r="N26" i="2"/>
  <c r="O26" i="2"/>
  <c r="N27" i="2"/>
  <c r="O27" i="2"/>
  <c r="N28" i="2"/>
  <c r="O28" i="2"/>
  <c r="N29" i="2"/>
  <c r="O29" i="2"/>
  <c r="N30" i="2"/>
  <c r="O30" i="2"/>
  <c r="N31" i="2"/>
  <c r="O31" i="2"/>
  <c r="N32" i="2"/>
  <c r="O32" i="2"/>
  <c r="N35" i="2"/>
  <c r="N38" i="2"/>
  <c r="O38" i="2"/>
  <c r="N39" i="2"/>
  <c r="O39" i="2"/>
  <c r="N40" i="2"/>
  <c r="O40" i="2"/>
  <c r="N41" i="2"/>
  <c r="O41" i="2"/>
  <c r="N42" i="2"/>
  <c r="O42" i="2"/>
  <c r="N43" i="2"/>
  <c r="O43" i="2"/>
  <c r="N44" i="2"/>
  <c r="O44" i="2"/>
  <c r="N45" i="2"/>
  <c r="O45" i="2"/>
  <c r="N48" i="2"/>
  <c r="N51" i="2"/>
  <c r="O51" i="2"/>
  <c r="N52" i="2"/>
  <c r="O52" i="2"/>
  <c r="N53" i="2"/>
  <c r="O53" i="2"/>
  <c r="N56" i="2"/>
  <c r="N59" i="2"/>
  <c r="O59" i="2"/>
  <c r="P59" i="2"/>
  <c r="Q59" i="2"/>
  <c r="R59" i="2"/>
  <c r="S59" i="2"/>
  <c r="T59" i="2"/>
  <c r="N60" i="2"/>
  <c r="O60" i="2"/>
  <c r="N61" i="2"/>
  <c r="O61" i="2"/>
  <c r="P61" i="2"/>
  <c r="Q61" i="2"/>
  <c r="R61" i="2"/>
  <c r="S61" i="2"/>
  <c r="T61" i="2"/>
  <c r="M64" i="2"/>
  <c r="N67" i="2"/>
  <c r="O67" i="2"/>
  <c r="N68" i="2"/>
  <c r="O68" i="2"/>
  <c r="N69" i="2"/>
  <c r="O69" i="2"/>
  <c r="R68" i="2"/>
  <c r="AF15" i="1"/>
  <c r="AJ15" i="1"/>
  <c r="AN15" i="1"/>
  <c r="AR15" i="1"/>
  <c r="R9" i="2"/>
  <c r="R11" i="2"/>
  <c r="P12" i="2"/>
  <c r="P14" i="2"/>
  <c r="R14" i="2"/>
  <c r="P15" i="2"/>
  <c r="R15" i="2"/>
  <c r="AF23" i="1"/>
  <c r="AJ23" i="1"/>
  <c r="AN23" i="1"/>
  <c r="AR23" i="1"/>
  <c r="R26" i="2"/>
  <c r="R30" i="2"/>
  <c r="R31" i="2"/>
  <c r="P32" i="2"/>
  <c r="AF44" i="1"/>
  <c r="AJ44" i="1"/>
  <c r="AN44" i="1"/>
  <c r="AR44" i="1"/>
  <c r="R39" i="2"/>
  <c r="P41" i="2"/>
  <c r="R41" i="2"/>
  <c r="P42" i="2"/>
  <c r="R42" i="2"/>
  <c r="R44" i="2"/>
  <c r="AF55" i="1"/>
  <c r="AJ55" i="1"/>
  <c r="AN55" i="1"/>
  <c r="AR55" i="1"/>
  <c r="R53" i="2"/>
  <c r="AF60" i="1"/>
  <c r="AJ60" i="1"/>
  <c r="AN60" i="1"/>
  <c r="AR60" i="1"/>
  <c r="F62" i="1"/>
  <c r="Q43" i="2"/>
  <c r="P13" i="2"/>
  <c r="P69" i="2"/>
  <c r="Q56" i="1"/>
  <c r="K58" i="1"/>
  <c r="Q58" i="1"/>
  <c r="Q53" i="2" s="1"/>
  <c r="N59" i="1"/>
  <c r="V46" i="1"/>
  <c r="S39" i="2"/>
  <c r="T28" i="1"/>
  <c r="V40" i="1"/>
  <c r="S30" i="2"/>
  <c r="Q40" i="1"/>
  <c r="Q30" i="2" s="1"/>
  <c r="Q41" i="1"/>
  <c r="Q31" i="2"/>
  <c r="V35" i="1"/>
  <c r="S25" i="2"/>
  <c r="Q29" i="1"/>
  <c r="Q23" i="2"/>
  <c r="K31" i="1"/>
  <c r="K34" i="1"/>
  <c r="Q34" i="1"/>
  <c r="Q24" i="2"/>
  <c r="V19" i="1"/>
  <c r="S12" i="2" s="1"/>
  <c r="V17" i="1"/>
  <c r="W17" i="1"/>
  <c r="V21" i="1"/>
  <c r="W21" i="1"/>
  <c r="N22" i="1"/>
  <c r="W35" i="1"/>
  <c r="X35" i="1" s="1"/>
  <c r="S10" i="2"/>
  <c r="S14" i="2"/>
  <c r="H4" i="2"/>
  <c r="V25" i="1"/>
  <c r="W25" i="1" s="1"/>
  <c r="S18" i="2"/>
  <c r="V59" i="1"/>
  <c r="W59" i="1"/>
  <c r="X59" i="1" s="1"/>
  <c r="N43" i="1"/>
  <c r="P60" i="2"/>
  <c r="P40" i="2"/>
  <c r="V33" i="1"/>
  <c r="W33" i="1"/>
  <c r="X33" i="1" s="1"/>
  <c r="V56" i="1"/>
  <c r="W56" i="1"/>
  <c r="T51" i="2" s="1"/>
  <c r="Q51" i="2"/>
  <c r="V30" i="1"/>
  <c r="W30" i="1"/>
  <c r="X30" i="1"/>
  <c r="V48" i="1"/>
  <c r="W48" i="1" s="1"/>
  <c r="V42" i="1"/>
  <c r="W42" i="1" s="1"/>
  <c r="X42" i="1" s="1"/>
  <c r="P10" i="2"/>
  <c r="V18" i="1"/>
  <c r="S11" i="2" s="1"/>
  <c r="Q13" i="1"/>
  <c r="Q68" i="2" s="1"/>
  <c r="S51" i="2"/>
  <c r="W18" i="1"/>
  <c r="X18" i="1" s="1"/>
  <c r="X56" i="1"/>
  <c r="S38" i="2"/>
  <c r="W45" i="1"/>
  <c r="W51" i="1"/>
  <c r="T42" i="2" s="1"/>
  <c r="S42" i="2"/>
  <c r="W57" i="1"/>
  <c r="Q17" i="2"/>
  <c r="T29" i="2"/>
  <c r="X39" i="1"/>
  <c r="W58" i="1"/>
  <c r="S53" i="2"/>
  <c r="T41" i="2"/>
  <c r="X48" i="1"/>
  <c r="S24" i="2"/>
  <c r="S26" i="2"/>
  <c r="W36" i="1"/>
  <c r="S32" i="2"/>
  <c r="S28" i="2"/>
  <c r="W38" i="1"/>
  <c r="X38" i="1" s="1"/>
  <c r="Q38" i="2"/>
  <c r="S41" i="2"/>
  <c r="V52" i="1"/>
  <c r="S29" i="2"/>
  <c r="T25" i="2"/>
  <c r="W40" i="1"/>
  <c r="W46" i="1"/>
  <c r="T39" i="2" s="1"/>
  <c r="K57" i="1"/>
  <c r="P44" i="2"/>
  <c r="P45" i="2"/>
  <c r="P28" i="2"/>
  <c r="V29" i="1"/>
  <c r="V32" i="1"/>
  <c r="W32" i="1" s="1"/>
  <c r="X32" i="1" s="1"/>
  <c r="Q35" i="1"/>
  <c r="Q25" i="2" s="1"/>
  <c r="V47" i="1"/>
  <c r="K45" i="1"/>
  <c r="K24" i="1"/>
  <c r="P38" i="2"/>
  <c r="Q57" i="1"/>
  <c r="K36" i="1"/>
  <c r="P27" i="2"/>
  <c r="Q39" i="1"/>
  <c r="Q29" i="2"/>
  <c r="V37" i="1"/>
  <c r="V53" i="1"/>
  <c r="W53" i="1" s="1"/>
  <c r="V54" i="1"/>
  <c r="P17" i="2"/>
  <c r="C4" i="2"/>
  <c r="Q67" i="2"/>
  <c r="W14" i="1"/>
  <c r="T69" i="2" s="1"/>
  <c r="S69" i="2"/>
  <c r="T14" i="2"/>
  <c r="X21" i="1"/>
  <c r="T10" i="2"/>
  <c r="X17" i="1"/>
  <c r="W12" i="1"/>
  <c r="S67" i="2"/>
  <c r="Q16" i="1"/>
  <c r="K20" i="1"/>
  <c r="P67" i="2"/>
  <c r="K13" i="1"/>
  <c r="X46" i="1"/>
  <c r="W37" i="1"/>
  <c r="X37" i="1" s="1"/>
  <c r="S27" i="2"/>
  <c r="W47" i="1"/>
  <c r="S40" i="2"/>
  <c r="W52" i="1"/>
  <c r="X52" i="1" s="1"/>
  <c r="S43" i="2"/>
  <c r="T28" i="2"/>
  <c r="T53" i="2"/>
  <c r="X58" i="1"/>
  <c r="Q52" i="2"/>
  <c r="G4" i="2"/>
  <c r="W29" i="1"/>
  <c r="S23" i="2"/>
  <c r="W54" i="1"/>
  <c r="S45" i="2"/>
  <c r="X40" i="1"/>
  <c r="T30" i="2"/>
  <c r="X36" i="1"/>
  <c r="T26" i="2"/>
  <c r="X57" i="1"/>
  <c r="T52" i="2"/>
  <c r="X45" i="1"/>
  <c r="T38" i="2"/>
  <c r="T67" i="2"/>
  <c r="X12" i="1"/>
  <c r="X14" i="1"/>
  <c r="Q9" i="2"/>
  <c r="X54" i="1"/>
  <c r="T45" i="2"/>
  <c r="X29" i="1"/>
  <c r="T23" i="2"/>
  <c r="T40" i="2"/>
  <c r="X47" i="1"/>
  <c r="T27" i="2"/>
  <c r="T43" i="2"/>
  <c r="I4" i="2" l="1"/>
  <c r="G5" i="2"/>
  <c r="T44" i="2"/>
  <c r="X53" i="1"/>
  <c r="T18" i="2"/>
  <c r="X25" i="1"/>
  <c r="X34" i="1"/>
  <c r="T24" i="2"/>
  <c r="X43" i="1"/>
  <c r="T32" i="2"/>
  <c r="T11" i="2"/>
  <c r="W19" i="1"/>
  <c r="Q18" i="1"/>
  <c r="P11" i="2"/>
  <c r="V20" i="1"/>
  <c r="S15" i="2"/>
  <c r="W22" i="1"/>
  <c r="S44" i="2"/>
  <c r="X51" i="1"/>
  <c r="F5" i="2" s="1"/>
  <c r="K41" i="1"/>
  <c r="W41" i="1" s="1"/>
  <c r="V41" i="1"/>
  <c r="S31" i="2" s="1"/>
  <c r="V13" i="1"/>
  <c r="N13" i="1"/>
  <c r="V24" i="1"/>
  <c r="V16" i="1"/>
  <c r="Q36" i="1"/>
  <c r="Q46" i="1"/>
  <c r="P18" i="2"/>
  <c r="V28" i="1"/>
  <c r="W28" i="1" s="1"/>
  <c r="X28" i="1" s="1"/>
  <c r="V61" i="1"/>
  <c r="W61" i="1" l="1"/>
  <c r="S60" i="2"/>
  <c r="Q26" i="2"/>
  <c r="E4" i="2"/>
  <c r="W13" i="1"/>
  <c r="S68" i="2"/>
  <c r="W24" i="1"/>
  <c r="S17" i="2"/>
  <c r="X19" i="1"/>
  <c r="T12" i="2"/>
  <c r="S9" i="2"/>
  <c r="W16" i="1"/>
  <c r="X22" i="1"/>
  <c r="T15" i="2"/>
  <c r="Q11" i="2"/>
  <c r="D4" i="2"/>
  <c r="X41" i="1"/>
  <c r="T31" i="2"/>
  <c r="Q39" i="2"/>
  <c r="F4" i="2"/>
  <c r="S13" i="2"/>
  <c r="W20" i="1"/>
  <c r="T13" i="2" l="1"/>
  <c r="X20" i="1"/>
  <c r="X16" i="1"/>
  <c r="D5" i="2" s="1"/>
  <c r="T9" i="2"/>
  <c r="T17" i="2"/>
  <c r="X24" i="1"/>
  <c r="E5" i="2" s="1"/>
  <c r="T68" i="2"/>
  <c r="X13" i="1"/>
  <c r="X61" i="1"/>
  <c r="H5" i="2" s="1"/>
  <c r="T60" i="2"/>
  <c r="C5" i="2" l="1"/>
  <c r="X10" i="1"/>
</calcChain>
</file>

<file path=xl/sharedStrings.xml><?xml version="1.0" encoding="utf-8"?>
<sst xmlns="http://schemas.openxmlformats.org/spreadsheetml/2006/main" count="923" uniqueCount="529">
  <si>
    <t>Número de  personas motivadas</t>
  </si>
  <si>
    <t>Número de personas programadas</t>
  </si>
  <si>
    <t>Formatos de asistencia 2L-GCS-F20 (Carpeta: Procedimiento motivación para la convivencia)</t>
  </si>
  <si>
    <t>Se refiere a personas participantes en talleres de prevención (Motivación) 
Se programaron  260</t>
  </si>
  <si>
    <t>Realizar 80 acompañamientos a procesos sociales de los AVCC  para mejorar los servicios prestados a la comunidad</t>
  </si>
  <si>
    <t xml:space="preserve">Acompañamientos realizados a procesos sociales de los AVCC </t>
  </si>
  <si>
    <t>El indicador mide la cantidad de Acompañamientos realizados a procesos sociales de los AVCC (Reuniones y visitas a PA) con el fin de mejorar el servicio, lo anterior en relación con la programación de una cantidad determinada de acompañamientos.</t>
  </si>
  <si>
    <t>N°  de acompañamientos realizados a procesos sociales de los AVCC</t>
  </si>
  <si>
    <t>N° de acompañamientos programados a procesos sociales de los AVCC</t>
  </si>
  <si>
    <t>Formato acta de reunión 1D-PGE-F10 (Carpeta:Procedimiento:Acompañamiento a la red local de actores voluntarios de convivencia) y formato 2L-GCS-F15 (Monitoreo a Pac)</t>
  </si>
  <si>
    <t>Acompañamiento hace referencia : Reuniones de la red local de AVCC y vistas a PAC
Se programaron 100</t>
  </si>
  <si>
    <r>
      <t>Alcanzar el</t>
    </r>
    <r>
      <rPr>
        <sz val="10"/>
        <color indexed="10"/>
        <rFont val="Arial"/>
        <family val="2"/>
        <charset val="1"/>
      </rPr>
      <t xml:space="preserve"> 85</t>
    </r>
    <r>
      <rPr>
        <sz val="10"/>
        <color indexed="8"/>
        <rFont val="Arial"/>
        <family val="2"/>
        <charset val="1"/>
      </rPr>
      <t>% en el nivel de satisfacción del servicio de todo el proceso de mediación institucional</t>
    </r>
  </si>
  <si>
    <t xml:space="preserve">Nivel alcanzado de satisfacción del servicio de todo el proceso de mediación institucional </t>
  </si>
  <si>
    <t>El indicador mide el nivel de satisfacción del servicio sobre una base numérica de tres preguntas que se evalúan de 1 a 5.
La puntuación obtenida es la suma de todos los puntos obtenidos en los formatos y esto se divide sobre la puntuación máxima a obtener (N° de formatos * 15) este es el denominador asumiendo que todos los que registran el formato califican todas las preguntas con una puntuación de 5.</t>
  </si>
  <si>
    <r>
      <t xml:space="preserve">Sumatoria de puntuación obtenida en todos los  </t>
    </r>
    <r>
      <rPr>
        <sz val="10"/>
        <rFont val="Arial"/>
        <family val="2"/>
      </rPr>
      <t>Formatos de consulta sobre satisfacción del servicio</t>
    </r>
  </si>
  <si>
    <t xml:space="preserve"> (N° de  Formatos de consulta sobre satisfacción del servicio)*15</t>
  </si>
  <si>
    <t>Formato tabulación encuesta del servicio de mediación</t>
  </si>
  <si>
    <r>
      <t xml:space="preserve">Realizar xxx actividades orientadas a la prevención de la conflictividad de cada localidad 
</t>
    </r>
    <r>
      <rPr>
        <sz val="10"/>
        <color indexed="10"/>
        <rFont val="Arial"/>
        <family val="2"/>
      </rPr>
      <t>NO APLICA</t>
    </r>
  </si>
  <si>
    <t>Actividades de prevención realizadas, basadas en la conflictividad de cada localidad</t>
  </si>
  <si>
    <t xml:space="preserve">El indicador mide la cantidad de actividades de prevención enfocadas a una conflictividad determinada de cada localidad y que no se suplen con las actividades de prevención de las UMC, Secretarias de Inspecciones e Inspecciones de policía. Las actividades se desarrollan en relación con una cantidad de actividades programada durante la vigencia
</t>
  </si>
  <si>
    <t xml:space="preserve">N°  de actividades de prevención realizadas
</t>
  </si>
  <si>
    <t>N°  de actividades de prevención programadas</t>
  </si>
  <si>
    <t>La responsabilidad de la meta recae en las casas de justicia,</t>
  </si>
  <si>
    <r>
      <t xml:space="preserve">Realizar xxx actividades de promoción que permitan posicionar los servicios de las casas de justicia (afiches, plegables, web, etc)
</t>
    </r>
    <r>
      <rPr>
        <sz val="10"/>
        <color indexed="10"/>
        <rFont val="Arial"/>
        <family val="2"/>
      </rPr>
      <t>NO APLICA</t>
    </r>
  </si>
  <si>
    <t>Actividades de promoción realizadas que permitan posicionar los servicios de las casas de justicia (afiches, plegables, web, etc)</t>
  </si>
  <si>
    <t>El indicador mide la cantidad de actividades de promoción del portafolio de servicios de las casas de justicia. Lo anterior en relación a una cantidad de actividades programadas.</t>
  </si>
  <si>
    <t>N. de actividades de promoción realizadas</t>
  </si>
  <si>
    <t xml:space="preserve"> N. de actividades de promoción programadas</t>
  </si>
  <si>
    <t>En la actualidad la Alcaldía no tiene casa de justicia</t>
  </si>
  <si>
    <r>
      <t xml:space="preserve">Realizar xxx actividades de atención extra murales o en las casas de justicia móvil
</t>
    </r>
    <r>
      <rPr>
        <sz val="10"/>
        <color indexed="10"/>
        <rFont val="Arial"/>
        <family val="2"/>
      </rPr>
      <t>NO APLICA</t>
    </r>
  </si>
  <si>
    <t>Actividades de atención extra murales o en las casas de justicia móvil realizadas</t>
  </si>
  <si>
    <t>El indicador mide la cantidad de actividades de atención a los ciudadanos en marco del programa Casa de Justicia, la cual se puede desarrollar bajo el mecanismo de Casa de Justicia Móvil, o mediante la atención extramural. Lo anterior en relación con una cantidad determinada de actividades programadas.</t>
  </si>
  <si>
    <t>N. de actividades de atención extra murales o en las casas de justicia móvil realizadas</t>
  </si>
  <si>
    <t>N. de actividades de atención extra murales o en las casas de justicia móvil programadas</t>
  </si>
  <si>
    <t xml:space="preserve">Realizar 15 acciones de sensibilización para el acatamiento voluntario en normas de convivencia
</t>
  </si>
  <si>
    <t>Acciones de sensibilización para el acatamiento voluntario en normas de convivencia realizadas</t>
  </si>
  <si>
    <t>El indicador mide la cantidad de acciones de sensibilización que realizan los secretarios generales de inspecciones para para el acatamiento voluntario en normas de convivencia con el fin de contribuir con la prevención de las infracciones. Lo anterior en relación con una cantidad determinada de acciones programadas
Normas de Convivencia:
- Código Nacional y Distrital de policía
- Normas de Comparendo Ambiental (decreto 349 de 2014)
-Ley 746 de 2002
-  Ley 675 de 2001</t>
  </si>
  <si>
    <t>N. de acciones de sensibilización realizadas</t>
  </si>
  <si>
    <t>N. de acciones de sensibilización programadas.</t>
  </si>
  <si>
    <t>Carpeta TRABAJO COMUNITARIO</t>
  </si>
  <si>
    <r>
      <t xml:space="preserve">Formular </t>
    </r>
    <r>
      <rPr>
        <sz val="10"/>
        <color indexed="10"/>
        <rFont val="Arial"/>
        <family val="2"/>
        <charset val="1"/>
      </rPr>
      <t xml:space="preserve">1 </t>
    </r>
    <r>
      <rPr>
        <sz val="10"/>
        <color indexed="8"/>
        <rFont val="Arial"/>
        <family val="2"/>
        <charset val="1"/>
      </rPr>
      <t>PICS local con base en el PICS distrital debidamente aprobado por el consejo local de seguridad</t>
    </r>
  </si>
  <si>
    <t>Plan integral de seguridad y convivencia  ciudadana formulado con base en el PICS Distrital.</t>
  </si>
  <si>
    <t>El indicador mide si el PICS local se encuentra formulado con base en el PICS distrital  y que esté debidamente aprobado por el consejo local de seguridad. Lo anterior en relación al periodo de tiempo que se programe la formulación y aprobación.</t>
  </si>
  <si>
    <t>Numero de planes Integrales de Seguridad y Convivencia Formulados</t>
  </si>
  <si>
    <t xml:space="preserve">Numero de planes Integrales de Seguridad y Convivencia programados </t>
  </si>
  <si>
    <t>Documento PICS aprobado por el CLG</t>
  </si>
  <si>
    <t>Se recomienda que el PICS se formule y se apruebe antes durante el primer semestre del año.
Esta acción no solo depende de la Alcaldía sono del CEACS pues ellos son los que dan los lineamientos y hacen lsa aprobaciones inciiales.</t>
  </si>
  <si>
    <r>
      <t xml:space="preserve">Implementar el </t>
    </r>
    <r>
      <rPr>
        <sz val="10"/>
        <color indexed="10"/>
        <rFont val="Arial"/>
        <family val="2"/>
        <charset val="1"/>
      </rPr>
      <t>100</t>
    </r>
    <r>
      <rPr>
        <sz val="10"/>
        <color indexed="8"/>
        <rFont val="Arial"/>
        <family val="2"/>
        <charset val="1"/>
      </rPr>
      <t xml:space="preserve">% de las acciones del plan de acción de convivencia y seguridad de la vigencia 2016
</t>
    </r>
    <r>
      <rPr>
        <sz val="10"/>
        <color indexed="10"/>
        <rFont val="Arial"/>
        <family val="2"/>
      </rPr>
      <t>NO APLICA</t>
    </r>
  </si>
  <si>
    <t xml:space="preserve">Acciones implementadas en el 
Plan de acción del Consejo Local de seguridad  </t>
  </si>
  <si>
    <t xml:space="preserve">El indicador mide la implementación del plan de acción del consejo local de seguridad de la vigencia 2016 para el cumplimiento de los objetivos del PICS.
La implementación se refiere a la ejecución de las acciones establecidas y programadas para toda la vigencia en el plan de acción. La cantidad total de acciones previstas en el año pueden variar a medida que pasen los trimestres. 
Una actividad en el plan esta compuesta por una serie de acciones, en este sentido los datos para la medición del indicador depende de las acciones mas no de la actividades </t>
  </si>
  <si>
    <t>N° de acciones implementadas</t>
  </si>
  <si>
    <t>N°  de acciones programadas en el plan de acción</t>
  </si>
  <si>
    <t>PLAN DE ACCIÓN DEL CONSEJO LOCAL DE SEGURIDAD.</t>
  </si>
  <si>
    <r>
      <t xml:space="preserve">El plan de acción se articula con el PICS
En caso de no contar con el PICSC debidamente aprobado, se realiza la medición con el plan de acción definido por el Consejo Local de Seguridad.
</t>
    </r>
    <r>
      <rPr>
        <b/>
        <sz val="10"/>
        <rFont val="Arial"/>
        <family val="2"/>
      </rPr>
      <t>Dado que aún no se tiene el PICS no se puede tener claro el plan de acción</t>
    </r>
  </si>
  <si>
    <r>
      <t xml:space="preserve">Implementar el </t>
    </r>
    <r>
      <rPr>
        <sz val="10"/>
        <color indexed="10"/>
        <rFont val="Arial"/>
        <family val="2"/>
        <charset val="1"/>
      </rPr>
      <t>100 %</t>
    </r>
    <r>
      <rPr>
        <sz val="10"/>
        <color indexed="8"/>
        <rFont val="Arial"/>
        <family val="2"/>
        <charset val="1"/>
      </rPr>
      <t xml:space="preserve"> de las acciones del plan de acci</t>
    </r>
    <r>
      <rPr>
        <sz val="10"/>
        <rFont val="Arial"/>
        <family val="2"/>
      </rPr>
      <t xml:space="preserve">ón del Consejo Local de Gestión del Riesgo y Cambio Climático
</t>
    </r>
  </si>
  <si>
    <t xml:space="preserve"> Acciones implementadas del Plan de acción del Consejo Local de Gestión del Riesgo y Cambio Climático</t>
  </si>
  <si>
    <t xml:space="preserve">El indicador mide la implementación del plan de acción del consejo local de gestión del riesgo y cambio climático de la vigencia 2016 para la gestión del riesgo en las localidades 
La implementación se refiere a la ejecución de las acciones establecidas y programadas para toda la vigencia en el plan de acción. La cantidad total de acciones previstas en el año pueden variar a medida que pasen los trimestres. 
Una actividad en el plan esta compùesta por una serie de acciones, en este sentido los datos para la mediciòn del indicador depende de las acciones mas no de la actividades </t>
  </si>
  <si>
    <t>N. de acciones implementadas</t>
  </si>
  <si>
    <t>PLAN DE ACCION DEL CLGRCC</t>
  </si>
  <si>
    <t>No se asume el 100% por que existen acciones que dependen de otras entidades</t>
  </si>
  <si>
    <t>Articular la gestión entre los diferentes sectores del distrito, entidades regionales y nacionales, con el fin de mejorar la capacidad de respuesta en el territorio y dar cumplimiento al plan de desarrollo distrital y los planes de desarrollo local</t>
  </si>
  <si>
    <t>Formular e implementar estrategias que generen sinergia entre las entidades del Sector Gobierno, Seguridad y Convivencia, con el fin de hacer eficaz y eficiente la gestion del mismo</t>
  </si>
  <si>
    <t>GESTIÓN PARA EL DESARROLLO LOCAL</t>
  </si>
  <si>
    <t>Lograr 85% de avance del cumplimiento físico en el plan de desarrollo</t>
  </si>
  <si>
    <t>Avance del cumplimiento físico logrado en el plan de desarrollo</t>
  </si>
  <si>
    <t>El indicador mide el avance en el cumplimiento físico del plan de desarrollo local según el porcentaje que arroje la matriz MUSI (Hoja AFP - Avance PDL (Ejecución real))</t>
  </si>
  <si>
    <t>% del avance en el cumplimiento Físico</t>
  </si>
  <si>
    <t>MATRIZ MUSI
Hoja AFP - Avance PDL (Ejecución real)</t>
  </si>
  <si>
    <t xml:space="preserve">Esta meta hará referencia al cumplimiento físico del plan de desarrollo, La magnitud de la meta hará referencia al avance acumulado de ejecución en el plan de desarrollo (Cuatrienio). </t>
  </si>
  <si>
    <t xml:space="preserve">Lograr que 70%  de las entidades participen en el ejercicio ISO 18091  en la mesa de entrega de evidencias  </t>
  </si>
  <si>
    <t>Porcentaje de entidades participantes en el ejercicio ISO 18091</t>
  </si>
  <si>
    <t>El indicador mide el porcentaje de entidades participantes  en el ejercicio ISO 18091 (Primer trimestre antes de rendición de cuentas)</t>
  </si>
  <si>
    <t>N° de entidades participantes</t>
  </si>
  <si>
    <t xml:space="preserve"> N° de entidades convocadas</t>
  </si>
  <si>
    <t>EXPEDIENTE ISO 18091</t>
  </si>
  <si>
    <t xml:space="preserve">Esta meta contempla el desarrollo de acciones relacionadas con los componentes que involucran la conformación del proceso de pactos que se desarrolla en el ultimo trimestre del año  y que conlleva la solicitud de información por parte de los integrantes del observatorio en el primer trimestre del año al proceso  verificación de información para el desarrollo de el informe cualitativo del observatorio ciudadano en el marco de la rendición de cuentas,  razón por la cual quedan distribuidas de esta manera el cumplimiento del 50% durante estos dos periodos. </t>
  </si>
  <si>
    <r>
      <t xml:space="preserve">Aumentar en un XXX% el porcentaje de indicadores en verde de la vigencia 2015 en comparación con la vigencia 2014 o de la vigencia anterior que cuente con información. lo anterior, en el marco del ejercicio de la norma ISO 18091
</t>
    </r>
    <r>
      <rPr>
        <sz val="10"/>
        <color indexed="10"/>
        <rFont val="Arial"/>
        <family val="2"/>
      </rPr>
      <t>NO APLICA</t>
    </r>
  </si>
  <si>
    <t xml:space="preserve">Aumento en el  Porcentaje de indicadores en verde </t>
  </si>
  <si>
    <t>El indicador mide el incremento en el porcentaje de indicadores en verde de la vigencia 2015 en relación con el porcentaje obtenido en la vigencia 2014 u otra vigencia que tenga definido el dato para la comparación (esto último, siempre y cuando no exista el dato para 2015). El objeto del indicador es el de medir la mejora en los resultados del ejercicio de la norma ISO 18091</t>
  </si>
  <si>
    <t>Porcentaje de indicadores en verde de la vigencia 2014</t>
  </si>
  <si>
    <t>Porcentaje de indicadores en verde de la vigencia 2013 o de la vigencia que cuente con información</t>
  </si>
  <si>
    <t xml:space="preserve">Linea base : Porcentaje de indicadores en verde de la vigencia 2014 u otra vigencia que cuente con el dato de comparación.
Linea base : Porcentaje de indicadores en verde de la vigencia 2015 (N1)  menos porcentaje de Indicadores de la Vigencia 2014  (N2) el cual entrega el dato de comparación de la vigencia (N3)
N1- N2= N3 
</t>
  </si>
  <si>
    <t>Espacio disponible para formulación de meta: Proyecto bandera de cada alcaldía local o indicadores de impacto en la localidad</t>
  </si>
  <si>
    <t>AGENCIAMIENTO DE LA POLÍTICA PÚBLICA EN LO LOCAL</t>
  </si>
  <si>
    <t>Cumplir el 60% de las acciones en los planes de acción del CLG</t>
  </si>
  <si>
    <t>Acciones en los planes de acción del CLG cumplidas</t>
  </si>
  <si>
    <t xml:space="preserve">Esto mide el cumplimiento de las acciones establecidas en los planes de acción del CLG
La implementación se refiere a la ejecución de las acciones establecidas y programadas para toda la vigencia en el plan de acción. La cantidad total de acciones previstas en el año pueden variar a medida que pasen los trimestres. 
Una actividad en el plan esta compùesta por una serie de acciones, en este sentido los datos para la mediciòn del indicador depende de las acciones mas no de la actividades </t>
  </si>
  <si>
    <t>N. de acciones en los planes de acción del CLG cumplidas</t>
  </si>
  <si>
    <t>N. de acciones en los planes de acción del CLG programadas</t>
  </si>
  <si>
    <t>Plan de acción y actas de reunión</t>
  </si>
  <si>
    <t>GESTIÓN DE 
COMUNICACIONES</t>
  </si>
  <si>
    <t>GESTIÓN Y ADQUISICIÓN
 DE RECURSOS</t>
  </si>
  <si>
    <t>GESTIÓN NORMATIVA 
Y JURÍDICA LOCAL</t>
  </si>
  <si>
    <t>GESTIÓN PARA LA
CONVIVENCIA Y SEGURIDAD
INTEGRAL</t>
  </si>
  <si>
    <t>GESTIÓN PARA 
EL DESARROLLO LOCAL</t>
  </si>
  <si>
    <t>AGENCIAMIENTO DE LA 
POLÍTICA PÚBLICA</t>
  </si>
  <si>
    <t>PLAN DE GESTIÓN</t>
  </si>
  <si>
    <t>% De Ejecución III Trimestre</t>
  </si>
  <si>
    <t>% De Avance Anual</t>
  </si>
  <si>
    <t>META</t>
  </si>
  <si>
    <t>Programado III Trimestre</t>
  </si>
  <si>
    <t>Ejecutado III Trimestre</t>
  </si>
  <si>
    <t>Porcentaje de ejecución</t>
  </si>
  <si>
    <t>Programado Anual</t>
  </si>
  <si>
    <t>Ejecutado Anual</t>
  </si>
  <si>
    <t>Porcentaje de ejecución Anual</t>
  </si>
  <si>
    <t>ALCALDÍA DE ANTONIO NARIÑO</t>
  </si>
  <si>
    <t>ALCALDÍA DE PUENTE ARANDA</t>
  </si>
  <si>
    <t>SE DICTARON LOS SIGUIENTES ACTOS ADMINISTRATIVOS: 4 FALLOS DE PRIMERA VEZ, 3 AUTOS QUE CORREN TRASLADO, 3 FALLOS DE TRAMITE, 1 ARCHIVO DE PRELIMINAR Y 1 TRAMITE DE RECURSO DE REPOSICIÓN. TODOS TRAMITES DE ESTABLECIMIENTOS DE COMERCIO. NO SE LOGRA LA META YA QUE TENIENDO EN CUENTA LA TRANSICIÓN A LA NUEVA ADMINISTRACION, NO SE CONTÓ DURANTE CASI TODO EL TRIMESTRE CON ABOGADO DE APOYO PARA DICTAR FALLOS.</t>
  </si>
  <si>
    <t>CARPETA DE ACTOS ADMINISTRATIVOS DICTADOS EN ESTABLECIMIENTOS DE COMERCIO</t>
  </si>
  <si>
    <t>SE REALIZARON CHARLAS DE SENCIBILIZACIÓN A LA POLICIA EN MATERIA DE NORMATIVIDAD DE ESPACIO PUBLICO Y PROCEDIMIENTO DE INCAUTACION DE MERCANCIA A VENDEDORES AMBULANTES.</t>
  </si>
  <si>
    <t>CARPETA DE ACTAS DE REALIZACION DE LAS CHARLAS</t>
  </si>
  <si>
    <t>SE REALIZARON 6 OPERATIVOS A ESTABLECIMIENTOS DE COMERCIO: 2 A BARES, 1 A VIDEO X, 2 A PARQUEADEROS,, 1 PECADERIAS RESTAURANTES..  NO SE DA CUMPLIMIENTO A LA META YA QUE TENIENDO EN CUENTA LA TRANSICIÓN A LA NUEVA ADMINISTRACION NO SE CONTO CON FUNCIONARIOS DE APOYO PARA LA REALIZACIÓN DE LOS OPERATIVOS</t>
  </si>
  <si>
    <t>CARPETA DE ACTAS DE OPERATIVOS DE ESTABLECIMIENTOS DE COMERCIO</t>
  </si>
  <si>
    <t>OPERATIVOS DE CONTROL A LA INDEVIDA OCUPACION DEL ESPACIO PUBLICO EN TODA LA LOCALIDAD DE ACUERDO A PROGRAMACION DEL CRONOGRAMA DEL MES.</t>
  </si>
  <si>
    <t>CARPETA DE ACTAS DE OPERATIVOS DE ESPACIO PUBLICO</t>
  </si>
  <si>
    <t xml:space="preserve">En el año 2015 se recibieron durante el año 596 expedientes, equivaliendo el  20% a 119 expedientes, la linea base, para fallar en el presente año.  Los inspectores fallaron 14 expedientes equivaliendo al 2.3%. se cumplió con la meta </t>
  </si>
  <si>
    <t xml:space="preserve">Cada expediente y carpeta archivo de fallos en cada Inspección </t>
  </si>
  <si>
    <t xml:space="preserve">En el trimestre se realizaron 74 conciliaciones en 564 días. No se incluirán durante la vigencia del 2016 las segundas fechas para conciliación  ya que en algunas oportunidades las partes de manera conjunta solicitan suspensión de mas de 2 meses.    Se cumplió la meta </t>
  </si>
  <si>
    <t>Carpeta de “Actas de Conciliación”, cada expediente y Aplicativo SI ACTUA</t>
  </si>
  <si>
    <t xml:space="preserve">En el trimestre se recibieron del año 2015 activos 117 y del 1 de enero al 31 de marzo del 2016 (nuevos) se recibieron 490 actas para un total de 607 decomisos por tramitar. Se fallaron 73, equivaliendo al 12% . No se alcanzo la meta y se hace necesario replantear el porcentaje a fallar en un 50%. De acuerdo a Sentencia del Consejo de Estado de septiembre del 2015 no se puede decomisar (donación o destrucción) mercancía a los infractores reincidentes lo que obliga a agotar los términos de notificación (que oscila entre 25 y 30 días incluyendo notificación al Ministerio Publico). Antes con la reincidencia el termino era menor. </t>
  </si>
  <si>
    <t xml:space="preserve">Expediente de decomiso </t>
  </si>
  <si>
    <t>SECRETARÍA DISTRITAL DE GOBIERNO</t>
  </si>
  <si>
    <t>FORMATO DE FORMULACIÓN Y SEGUIMIENTO DE PLANES DE GESTIÓN</t>
  </si>
  <si>
    <t>VIGENCIA 2016</t>
  </si>
  <si>
    <t>MISIÓN:</t>
  </si>
  <si>
    <t xml:space="preserve">Lideramos la gestión política distrital, el desarrollo local y la formulación e implementación de políticas públicas de convivencia, seguridad, derechos humanos y acceso a la justicia; garantizando la gobernabilidad y la cultura democrática con participación, transparencia, inclusión y sostenibilidad  para lograr una  Bogotá más humana.
</t>
  </si>
  <si>
    <t>DEPENDENCIA</t>
  </si>
  <si>
    <t>Alcaldía Local de SANTA FE</t>
  </si>
  <si>
    <t>FECHA DE FORMULACION DD/MM/AA</t>
  </si>
  <si>
    <t>RESPONSABLE DEPENDENCIA</t>
  </si>
  <si>
    <t>Alcalde Local de SANTA FE</t>
  </si>
  <si>
    <t>OBJETIVO ESTRATÉGICO</t>
  </si>
  <si>
    <t>OBJETIVO DE CALIDAD</t>
  </si>
  <si>
    <t>PROCESO</t>
  </si>
  <si>
    <t>Identificación Meta Especifica</t>
  </si>
  <si>
    <t>META PROCESO</t>
  </si>
  <si>
    <t>POND META</t>
  </si>
  <si>
    <t>ESTRUCTURA DEL INDICADOR</t>
  </si>
  <si>
    <t>Tipo de Anualización</t>
  </si>
  <si>
    <t>CUANTIFICACIÓN DE LA META</t>
  </si>
  <si>
    <t>INDICADOR</t>
  </si>
  <si>
    <t>I</t>
  </si>
  <si>
    <t>II</t>
  </si>
  <si>
    <t>III</t>
  </si>
  <si>
    <t>IV</t>
  </si>
  <si>
    <t>ANUAL</t>
  </si>
  <si>
    <t>Avance Anual Plan de Gestión</t>
  </si>
  <si>
    <t>NOMBRE</t>
  </si>
  <si>
    <t>DEFINICIÓN</t>
  </si>
  <si>
    <t>FÓRMULA</t>
  </si>
  <si>
    <t>TIPO DE INDICADOR</t>
  </si>
  <si>
    <t>FUENTE DE DATOS DE INDICADOR</t>
  </si>
  <si>
    <t>OBSERVACIONES</t>
  </si>
  <si>
    <t>Prog</t>
  </si>
  <si>
    <t>Eject</t>
  </si>
  <si>
    <t>% Eject</t>
  </si>
  <si>
    <t>NUMERADOR ( Nombre de la Variable)</t>
  </si>
  <si>
    <t>DENOMINADOR ( Nombre de la variable)</t>
  </si>
  <si>
    <t>TRIMESTRE I</t>
  </si>
  <si>
    <t>TRIMESTRE II</t>
  </si>
  <si>
    <t>TRIMESTRE III</t>
  </si>
  <si>
    <t>TRIMESTRE IV</t>
  </si>
  <si>
    <t>TIPO DE PROCESOS: ESTRATÉGICOS</t>
  </si>
  <si>
    <t>Programado</t>
  </si>
  <si>
    <t>Ejecutado</t>
  </si>
  <si>
    <t>Análisis de avance</t>
  </si>
  <si>
    <t>Medio de verificación.</t>
  </si>
  <si>
    <t>Mejorar y fortalecer la capacidad institucional en el marco de la modernización de la gestión administrativa que permita el cumplimiento de su que hacer misional</t>
  </si>
  <si>
    <t>GESTIÓN DE COMUNICACIONES</t>
  </si>
  <si>
    <t>Realizar 2 campañas comunicativas orientadas a difundir los servicios institucionales y promover el control social. (Meta nivel local)</t>
  </si>
  <si>
    <t>Cantidad</t>
  </si>
  <si>
    <t>Suma</t>
  </si>
  <si>
    <t>Campañas comunicativas realizadas</t>
  </si>
  <si>
    <t xml:space="preserve">El indicador mide la cantidad de campañas de comunicación realizadas en relación a su programación, las mimas están orientadas a difundir servicios institucionales u orientadas a promover el control social </t>
  </si>
  <si>
    <t>N° de campañas realizadas</t>
  </si>
  <si>
    <t>N° de campañas programadas</t>
  </si>
  <si>
    <t>Eficacia</t>
  </si>
  <si>
    <t>Piezas comunicativas generadas para la campaña y trabajo en redes sociales pagina web y medios de comunicación.</t>
  </si>
  <si>
    <r>
      <t xml:space="preserve">Formular </t>
    </r>
    <r>
      <rPr>
        <sz val="10"/>
        <color indexed="10"/>
        <rFont val="Arial"/>
        <family val="2"/>
        <charset val="1"/>
      </rPr>
      <t xml:space="preserve">1 </t>
    </r>
    <r>
      <rPr>
        <sz val="10"/>
        <rFont val="Arial"/>
        <family val="2"/>
      </rPr>
      <t>plan de comunicaciones para la generación, acceso y democratización de la información soporte para la toma de decisiones de la entidad. (Meta nivel local).</t>
    </r>
  </si>
  <si>
    <t xml:space="preserve">Cantidad </t>
  </si>
  <si>
    <t>Plan de comunicación formulado para la generación, acceso y democratización de la información</t>
  </si>
  <si>
    <t xml:space="preserve">El indicador mide la formulación del plan de comunicaciones en relación a la fecha programada para su formulación. </t>
  </si>
  <si>
    <t>N° de planes de comunicación formulados</t>
  </si>
  <si>
    <t>N° planes de comunicación Programados</t>
  </si>
  <si>
    <t>Plan aprobado por el Alcalde</t>
  </si>
  <si>
    <t>Formular 6 estrategias de comunicación externa  e interna para la entidad. (Meta nivel local).</t>
  </si>
  <si>
    <t>Estrategias de comunicación internas y externas formuladas</t>
  </si>
  <si>
    <t xml:space="preserve">El indicador mide la cantidad de estrategias de comunicación formuladas en relación a una cantidad determinada de estrategias programadas de tal manera que se cumplan con los procedimientos establecidos en el SIG. </t>
  </si>
  <si>
    <t>N° de estrategias  comunicativas Formuladas</t>
  </si>
  <si>
    <t>N° de estrategias comunicativas programadas</t>
  </si>
  <si>
    <t>publicaciones en los diferentes medios con que cuenta la Alcaldía para difusión</t>
  </si>
  <si>
    <t>TIPO DE PROCESOS DE APOYO</t>
  </si>
  <si>
    <t>GESTIÓN Y ADQUISICIÓN DE RECURSOS (LOCAL)</t>
  </si>
  <si>
    <r>
      <t xml:space="preserve">Registrar el </t>
    </r>
    <r>
      <rPr>
        <sz val="10"/>
        <color indexed="10"/>
        <rFont val="Arial"/>
        <family val="2"/>
        <charset val="1"/>
      </rPr>
      <t>100</t>
    </r>
    <r>
      <rPr>
        <sz val="10"/>
        <color indexed="8"/>
        <rFont val="Arial"/>
        <family val="2"/>
        <charset val="1"/>
      </rPr>
      <t>% de las modificaciones al Plan Anual de Adquisiciones en el SECOP y página web de la Alcaldía antes de iniciar el proceso contractual.</t>
    </r>
  </si>
  <si>
    <t>Porcentaje</t>
  </si>
  <si>
    <t>Constante</t>
  </si>
  <si>
    <t>Modificaciones al Plan Anual de Adquisiciones, registradas en el SECOP y página web de la Alcaldía antes de iniciar el proceso contractual.</t>
  </si>
  <si>
    <t>El indicador mide el porcentaje de modificaciones al plan de adquisiciones que se  registran en el SECOP y página Web de la alcaldía antes del inicio del proceso contractual.
Decreto 1510 de 2013. Artículo 7°. Actualización del Plan Anual de Adquisiciones. La Entidad Estatal debe actualizar el Plan Anual de Adquisiciones por lo menos una vez durante su vigencia, en la forma y la oportunidad que para el efecto disponga Colombia Compra Eficiente. 
La Entidad Estatal debe actualizar el Plan Anual de Adquisiciones cuando: (i) haya ajustes en los cronogramas de adquisición, valores, modalidad de selección, origen de los recursos; (ii) para incluir nuevas obras, bienes y/o servicios; (iii) excluir obras, bienes y/o servicios; o (iv) modificar el presupuesto anual de adquisiciones
Manual de Contratación Local 2L-GAR-M1
Plan Anticorrupción y de Atención a la Ciudadanía</t>
  </si>
  <si>
    <t>N° de modificaciones al plan de adquisiciones registradas en el SECOP y página web de la Alcaldía antes de iniciar el proceso contractual</t>
  </si>
  <si>
    <t>N° de modificaciones aprobadas en comité de contratación</t>
  </si>
  <si>
    <t xml:space="preserve">Documento modificado en los aplicativos vigentes
</t>
  </si>
  <si>
    <r>
      <t xml:space="preserve">Comprometer el </t>
    </r>
    <r>
      <rPr>
        <sz val="10"/>
        <rFont val="Arial"/>
        <family val="2"/>
      </rPr>
      <t>97%</t>
    </r>
    <r>
      <rPr>
        <sz val="10"/>
        <color indexed="8"/>
        <rFont val="Arial"/>
        <family val="2"/>
        <charset val="1"/>
      </rPr>
      <t xml:space="preserve"> del presupuesto de inversión asignado a la vigencia 2016</t>
    </r>
  </si>
  <si>
    <t>Creciente</t>
  </si>
  <si>
    <t>Presupuesto de inversión comprometido</t>
  </si>
  <si>
    <t>El indicador mide el porcentaje del presupuesto de inversión, asignado a la vigencia, que se ha  comprometido de manera acumulada 
El presupuesto que se tiene en cuenta es el de inversión ( Código 3-3-1 Directa)</t>
  </si>
  <si>
    <t>Valor del presupuesto  de inversión comprometido</t>
  </si>
  <si>
    <t>Valor del presupuesto  inversión asignado a la vigencia</t>
  </si>
  <si>
    <r>
      <t xml:space="preserve">PREDIS
</t>
    </r>
    <r>
      <rPr>
        <sz val="10"/>
        <color indexed="8"/>
        <rFont val="Arial"/>
        <family val="2"/>
        <charset val="128"/>
      </rPr>
      <t>Inversión(Código 3-3-1 Directa)</t>
    </r>
  </si>
  <si>
    <t>VALOR PRESUPUESTO DE INVERSIÓN $18,919,228,000</t>
  </si>
  <si>
    <t>Girar del 40% del presupuesto de inversión asignado a la vigencia 2016</t>
  </si>
  <si>
    <t>Presupuesto de inversión girado</t>
  </si>
  <si>
    <t>El indicador mide el porcentaje del presupuesto de inversión, asignado a la vigencia, que se ha logrado girar  de manera acumulada 
El presupuesto que se tiene en cuenta es el de  inversión ( Código 3-3-1 Directa)</t>
  </si>
  <si>
    <t>Valor del presupuesto de inversión girado</t>
  </si>
  <si>
    <t>Valor del presupuesto de inversión asignado a la vigencia</t>
  </si>
  <si>
    <t>PREDIS
Inversión( Código 3-3-1 Directa)</t>
  </si>
  <si>
    <r>
      <t>Girar el 93</t>
    </r>
    <r>
      <rPr>
        <sz val="10"/>
        <color indexed="8"/>
        <rFont val="Arial"/>
        <family val="2"/>
      </rPr>
      <t>%</t>
    </r>
    <r>
      <rPr>
        <sz val="10"/>
        <color indexed="8"/>
        <rFont val="Arial"/>
        <family val="2"/>
        <charset val="1"/>
      </rPr>
      <t xml:space="preserve"> de las obligaciones por pagar constituidas con recursos de la vigencia 2015 y años anteriores (Inversión y funcionamiento) </t>
    </r>
  </si>
  <si>
    <t>Obligaciones por pagar constituidas con recursos de la vigencia 2015 y años anteriores giradas 
(Inversión y funcionamiento)</t>
  </si>
  <si>
    <t>El indicador mide el porcentaje de giros de las obligaciones por pagar de las obligaciones constituidas  con recursos de la vigencia 2015 y años anteriores en inversión y funcionamiento 
Para obligaciones por pagar en funcionamiento se tendrá en cuenta el rubro (Código 3-1-8 Obligaciones por pagar) y para inversión el rubro (3-3-6 Obligaciones por pagar)</t>
  </si>
  <si>
    <t>Valor del giro las obligaciones por pagar en inversión y funcionamiento</t>
  </si>
  <si>
    <t>Valor de las obligaciones por pagar en inversión y funcionamiento.</t>
  </si>
  <si>
    <t>PREDIS
Funcionamiento (Código 3-1-8 Obligaciones por pagar)
Inversión
(3-3-6 Obligaciones por pagar)</t>
  </si>
  <si>
    <t>VALOR OBLIGACIONES POR PAGAR 3,1,8 $579.180.000 y 3,3,6 $19.117.432.000,00  para un total de $19.696.612.000</t>
  </si>
  <si>
    <r>
      <t xml:space="preserve">Cumplir el </t>
    </r>
    <r>
      <rPr>
        <sz val="10"/>
        <color indexed="10"/>
        <rFont val="Arial"/>
        <family val="2"/>
        <charset val="1"/>
      </rPr>
      <t>97%</t>
    </r>
    <r>
      <rPr>
        <sz val="10"/>
        <color indexed="8"/>
        <rFont val="Arial"/>
        <family val="2"/>
        <charset val="1"/>
      </rPr>
      <t xml:space="preserve"> del PAC mensualmente </t>
    </r>
  </si>
  <si>
    <t xml:space="preserve">
Programación Anual de Caja (PAC) cumplido mensualmente</t>
  </si>
  <si>
    <t>El indicador mide el cumplimiento mensual de la programación del PAC</t>
  </si>
  <si>
    <t>Valor girado</t>
  </si>
  <si>
    <t xml:space="preserve">Valor programado
</t>
  </si>
  <si>
    <t>PAC</t>
  </si>
  <si>
    <r>
      <t xml:space="preserve">Ingresar </t>
    </r>
    <r>
      <rPr>
        <sz val="10"/>
        <color indexed="10"/>
        <rFont val="Arial"/>
        <family val="2"/>
        <charset val="1"/>
      </rPr>
      <t>100</t>
    </r>
    <r>
      <rPr>
        <sz val="10"/>
        <color indexed="8"/>
        <rFont val="Arial"/>
        <family val="2"/>
        <charset val="1"/>
      </rPr>
      <t>% de los bienes y elementos adquiridos para los proyectos de inversión en el aplicativo SAI Y SAE en los tiempos estipulados en el contrato evidenciando su trazabilidad</t>
    </r>
  </si>
  <si>
    <t>Bienes y elementos adquiridos por los proyectos de inversión ingresados en el aplicativo SAI Y SAE.</t>
  </si>
  <si>
    <t xml:space="preserve">El indicador mide el porcentaje de bienes y elementos para los proyectos de inversión que son ingresados al almacén a través del  aplicativo SAI y SAE </t>
  </si>
  <si>
    <t>N° de bienes y elementos ingresados en el aplicativo SAI Y SAE</t>
  </si>
  <si>
    <t>N° de bienes y elementos adquiridos para los proyectos de inversión</t>
  </si>
  <si>
    <t>SAI y SAE</t>
  </si>
  <si>
    <t xml:space="preserve"> la trazabilidad se evidencia a través de aplicativo Orfeo. en la medición no se incluyen los bienes perecederos tales como alimentos, los cuales no entran directamente a almacén </t>
  </si>
  <si>
    <r>
      <t xml:space="preserve">Legalizar el </t>
    </r>
    <r>
      <rPr>
        <sz val="10"/>
        <color indexed="10"/>
        <rFont val="Arial"/>
        <family val="2"/>
        <charset val="1"/>
      </rPr>
      <t>100</t>
    </r>
    <r>
      <rPr>
        <sz val="10"/>
        <color indexed="8"/>
        <rFont val="Arial"/>
        <family val="2"/>
        <charset val="1"/>
      </rPr>
      <t>% de la entrega de los bienes y elementos adquiridos para proyectos de inversión en un término no superior a 75 días evidenciando su trazabilidad</t>
    </r>
  </si>
  <si>
    <t>Entrega de Bienes y elementos legalizados en un termino no superior a xxx días</t>
  </si>
  <si>
    <t>El indicador mide el porcentaje de bienes y elementos legalizados para los proyectos de inversión que fueron ingresados al almacén a través del aplicativo SAI y SAE</t>
  </si>
  <si>
    <t xml:space="preserve"> N° de bienes y elementos legalizados en el lapso de tiempo establecido en la meta </t>
  </si>
  <si>
    <t>N°  de bienes y elementos ingresados en el aplicativo SAI Y SAE</t>
  </si>
  <si>
    <t xml:space="preserve"> La trazabilidad se evidencia a través de aplicativo SAE-SAI
El tiempo máximo se toma de el mayor valor (de un conjunto de tiempos) de las salidas del almacén:  75 días
</t>
  </si>
  <si>
    <t>TIPO DE PROCESOS MISIONALES</t>
  </si>
  <si>
    <t xml:space="preserve">Fortalecer la gobernabilidad local en materia policiva y administrativa, mediante acciones de prevención, inspección, vigilancia y control
Promover el acceso al sistema de justicia, mediante mecanismos efectivos, incluyentes y diferenciales que conlleven a la garantía de los derechos humanos individuales y colectivos. </t>
  </si>
  <si>
    <t>GESTIÓN NORMATIVA Y JURÍDICA LOCAL</t>
  </si>
  <si>
    <r>
      <t xml:space="preserve">
Responder </t>
    </r>
    <r>
      <rPr>
        <sz val="10"/>
        <color indexed="10"/>
        <rFont val="Arial"/>
        <family val="2"/>
        <charset val="1"/>
      </rPr>
      <t>100</t>
    </r>
    <r>
      <rPr>
        <sz val="10"/>
        <color indexed="8"/>
        <rFont val="Arial"/>
        <family val="2"/>
        <charset val="1"/>
      </rPr>
      <t xml:space="preserve">% de las PQRS de manera integral por régimen de obras, establecimientos de comercio, espacio publico y propiedad horizontal </t>
    </r>
  </si>
  <si>
    <t xml:space="preserve">
Respuesta integral de las PQRS que llegan por régimen de obras, establecimientos de comercio, espacio publico y propiedad horizontal  </t>
  </si>
  <si>
    <t>El indicador mide el porcentaje de PQRS que que son respondidas de manera integral (Respuestas que contengan las entidades a las que se ha oficiado por competencia y/o Orden de trabajo), en relación a la cantidad de PQRS recibidas mensualmente.
Con el indicador se pretende medir la carga laboral de las coordinaciones jurídicas y las oficinas de obras.
Los PQRS cuyo tiempo legal (Periodo comprendido entre la radicación y respuesta ) se encuentre entre dos trimestres consecutivos, deberán pasar sus datos para el calculo del indicador para el trimestre inmediatamente posterior.</t>
  </si>
  <si>
    <t>N° de respuestas integrales emitidas mensualmente</t>
  </si>
  <si>
    <t>N° de PQRS recibidas mensualmente</t>
  </si>
  <si>
    <t>SDQS</t>
  </si>
  <si>
    <t>El término integral en esta meta hace referencia a a que la respuestas contengan información sobre:
- Entidades a las que se ha oficiado por competencia.
- Orden de trabajo  
Los datos para el calculo del indicador deben tener en cuenta el tiempo legal requerido para dar respuestas a las PQRS. En este sentido, el periodo de tiempo entre la radicación y la respuesta, puede ser un periodo de tiempo que coincida con con un corte trimestral y donde se halle entre dos trimestres consecutivos. Por lo tanto, para el calculo del indicador, deben tenerse en cuenta los datos generados por los PQRS en el trimestre inmediatamente posterior.</t>
  </si>
  <si>
    <r>
      <t xml:space="preserve">Registrar el </t>
    </r>
    <r>
      <rPr>
        <sz val="10"/>
        <color indexed="10"/>
        <rFont val="Arial"/>
        <family val="2"/>
        <charset val="1"/>
      </rPr>
      <t>100</t>
    </r>
    <r>
      <rPr>
        <sz val="10"/>
        <color indexed="8"/>
        <rFont val="Arial"/>
        <family val="2"/>
        <charset val="1"/>
      </rPr>
      <t>% de expedientes (ACTIVOS)  del 2015 y años anteriores en el aplicativo SI ACTUA (Previo inventario de expedientes físicos)</t>
    </r>
    <r>
      <rPr>
        <sz val="10"/>
        <color indexed="12"/>
        <rFont val="Arial"/>
        <family val="2"/>
        <charset val="1"/>
      </rPr>
      <t xml:space="preserve"> Establecimientos de comercio
</t>
    </r>
    <r>
      <rPr>
        <sz val="10"/>
        <color indexed="10"/>
        <rFont val="Arial"/>
        <family val="2"/>
      </rPr>
      <t>NO APLICA</t>
    </r>
  </si>
  <si>
    <r>
      <t xml:space="preserve">
</t>
    </r>
    <r>
      <rPr>
        <sz val="10"/>
        <color indexed="8"/>
        <rFont val="Arial"/>
        <family val="2"/>
        <charset val="1"/>
      </rPr>
      <t>Expedientes anteriores al 2014 en establecimientos de comercio  registrados en el aplicativo SI ACTUA</t>
    </r>
  </si>
  <si>
    <t>El indicador mide el porcentaje de  Expedientes en físico (activos) registrados en el aplicativo SI ACTÚA del 2014 y años anteriores en establecimientos de comercio
Estos expedientes son los que en la actualidad no se encuentren registrados y hacen parte del inventario en físico
Para la fuente de datos del indicador, se utilizará el documento de apoyo denominad:  Formato Inventario expedientes plan de gestión</t>
  </si>
  <si>
    <t xml:space="preserve">N° de expedientes en establecimientos de comercio registrados en el aplicativo SI ACTUA </t>
  </si>
  <si>
    <t>N° de expedientes inventariados físicamente en Establecimientos de Comercio</t>
  </si>
  <si>
    <t>Formato Inventario expedientes plan de gestión</t>
  </si>
  <si>
    <r>
      <t xml:space="preserve">JUSTIFICACIÓN:   A la fecha el 100% de los expedientes activos de establecimientos de comercio se encuentran registrados en SI ACTUA
</t>
    </r>
    <r>
      <rPr>
        <sz val="10"/>
        <color indexed="8"/>
        <rFont val="Arial"/>
        <family val="2"/>
        <charset val="1"/>
      </rPr>
      <t xml:space="preserve">
La meta hace referencia al registro de expedientes en físico que aún no se han registrado en el SI ACTÚA.
La actualización de los expedientes se asume por procedimiento y no se incluiría en la meta.
La meta se formula para subsanar las debilidades del proceso que no se han podido subsanar por planes de mejoramiento. Por lo tanto el objetivo consiste en tener todos los expedientes en físico registrados en el aplicativo
</t>
    </r>
  </si>
  <si>
    <r>
      <t>Registrar el</t>
    </r>
    <r>
      <rPr>
        <sz val="10"/>
        <color indexed="10"/>
        <rFont val="Arial"/>
        <family val="2"/>
        <charset val="1"/>
      </rPr>
      <t xml:space="preserve"> 100</t>
    </r>
    <r>
      <rPr>
        <sz val="10"/>
        <color indexed="8"/>
        <rFont val="Arial"/>
        <family val="2"/>
        <charset val="1"/>
      </rPr>
      <t xml:space="preserve">% de expedientes (ACTIVOS)  del 2015 y años anteriores en el aplicativo SI ACTUA (Previo inventario de expedientes físicos) </t>
    </r>
    <r>
      <rPr>
        <sz val="10"/>
        <color indexed="12"/>
        <rFont val="Arial"/>
        <family val="2"/>
        <charset val="1"/>
      </rPr>
      <t xml:space="preserve">Espacio Público
</t>
    </r>
    <r>
      <rPr>
        <sz val="10"/>
        <color indexed="10"/>
        <rFont val="Arial"/>
        <family val="2"/>
      </rPr>
      <t>NO APLICA</t>
    </r>
  </si>
  <si>
    <r>
      <t xml:space="preserve">
</t>
    </r>
    <r>
      <rPr>
        <sz val="10"/>
        <color indexed="8"/>
        <rFont val="Arial"/>
        <family val="2"/>
        <charset val="1"/>
      </rPr>
      <t>Expedientes anteriores al 2014 en espacio público registrados en el aplicativo SI ACTUA</t>
    </r>
  </si>
  <si>
    <t>El indicador mide el porcentaje de  Expedientes en físico (activos) registrados en el aplicativo SI ACTÚA del 2014 y años anteriores en espacio público
Estos expedientes son los que en la actualidad no se encuentren registrados y hacen parte del inventario en físico
Para la fuente de datos del indicador, se utilizará el documento de apoyo denominad:  Formato Inventario expedientes plan de gestión</t>
  </si>
  <si>
    <t>N° de expedientes inventariados físicamente en Espacio Público</t>
  </si>
  <si>
    <r>
      <t xml:space="preserve">La meta hace referencia al registro de expedientes en físico que aún no se han registrado en el SI ACTÚA.
La actualización de los expedientes se asume por procedimiento y no se incluiría en la meta.
La meta se formula para subsanar las debilidades del proceso que no se han podido subsanar por planes de mejoramiento. Por lo tanto el objetivo consiste en tener todos los expedientes en físico registrados en el aplicativo
</t>
    </r>
    <r>
      <rPr>
        <b/>
        <sz val="10"/>
        <rFont val="Arial"/>
        <family val="2"/>
        <charset val="1"/>
      </rPr>
      <t xml:space="preserve">
</t>
    </r>
    <r>
      <rPr>
        <b/>
        <sz val="10"/>
        <rFont val="Arial"/>
        <family val="2"/>
      </rPr>
      <t>JUSTIFICACIÓN:   A la fecha el 100% de los expedientes activos de espacio público se encuentran registrados en SI ACTUA</t>
    </r>
  </si>
  <si>
    <r>
      <t>Registrar el</t>
    </r>
    <r>
      <rPr>
        <sz val="10"/>
        <color indexed="10"/>
        <rFont val="Arial"/>
        <family val="2"/>
        <charset val="1"/>
      </rPr>
      <t xml:space="preserve"> 100</t>
    </r>
    <r>
      <rPr>
        <sz val="10"/>
        <color indexed="8"/>
        <rFont val="Arial"/>
        <family val="2"/>
        <charset val="1"/>
      </rPr>
      <t xml:space="preserve">% de expedientes (ACTIVOS)  del 2015 y años anteriores en el aplicativo SI ACTUA (Previo inventario de expedientes físicos) </t>
    </r>
    <r>
      <rPr>
        <sz val="10"/>
        <color indexed="12"/>
        <rFont val="Arial"/>
        <family val="2"/>
        <charset val="1"/>
      </rPr>
      <t xml:space="preserve">Obras
</t>
    </r>
    <r>
      <rPr>
        <sz val="10"/>
        <color indexed="10"/>
        <rFont val="Arial"/>
        <family val="2"/>
      </rPr>
      <t>NO APLICA</t>
    </r>
  </si>
  <si>
    <r>
      <t xml:space="preserve">
</t>
    </r>
    <r>
      <rPr>
        <sz val="10"/>
        <color indexed="8"/>
        <rFont val="Arial"/>
        <family val="2"/>
        <charset val="1"/>
      </rPr>
      <t>Expedientes anteriores al 2014 en Obras registrados en el aplicativo SI ACTUA</t>
    </r>
  </si>
  <si>
    <t>El indicador mide el porcentaje de  Expedientes en físico (activos) registrados en el aplicativo SI ACTÚA del 2014 y años anteriores en Obras
Estos expedientes son los que en la actualidad no se encuentren registrados y hacen parte del inventario en físico
Para la fuente de datos del indicador, se utilizará el documento de apoyo denominad:  Formato Inventario expedientes plan de gestión</t>
  </si>
  <si>
    <t xml:space="preserve">N° de expedientes en Obras registrados en el aplicativo SI ACTUA </t>
  </si>
  <si>
    <t>N° de expedientes inventariados físicamente en Obras</t>
  </si>
  <si>
    <r>
      <t xml:space="preserve">La meta hace referencia al registro de expedientes en físico que aún no se han registrado en el SI ACTÚA.
La actualización de los expedientes se asume por procedimiento y no se incluiría en la meta.
La meta se formula para subsanar las debilidades del proceso que no se han podido subsanar por planes de mejoramiento. Por lo tanto el objetivo consiste en tener todos los expedientes en físico registrados en el aplicativo
</t>
    </r>
    <r>
      <rPr>
        <b/>
        <sz val="10"/>
        <rFont val="Arial"/>
        <family val="2"/>
      </rPr>
      <t>JUSTIFICACIÓN:   A la fecha el 100% de los expedientes activos de obras  se encuentran registrados en SI ACTUA</t>
    </r>
  </si>
  <si>
    <t>Proferir 84 actos administrativos pertinentes al control en establecimientos de comercio y espacio público</t>
  </si>
  <si>
    <t>Actos administrativos proferidos pertinentes al control en establecimientos de comercio y espacio público</t>
  </si>
  <si>
    <r>
      <t xml:space="preserve">El indicador mide la cantidad de actos administrativos proferidos en relación con su programación
Los actos administrativos que se miden hacen referencia a:
</t>
    </r>
    <r>
      <rPr>
        <sz val="10"/>
        <color indexed="8"/>
        <rFont val="Arial"/>
        <family val="2"/>
        <charset val="1"/>
      </rPr>
      <t>- formulación de cargos
- sanción
- archivo
- resuelve el recurso de reposición
- perdida de fuerza ejecutoria
Revocatoria
Este indicador obtiene datos del indicador de la meta 6</t>
    </r>
  </si>
  <si>
    <t>N° de Actos administrativos proferidos</t>
  </si>
  <si>
    <t>N° de Actos administrativos programados</t>
  </si>
  <si>
    <t xml:space="preserve">Los actos administrativos  se refieren a :
formulación de cargos
sanción
archivo
resuelve el recurso de reposición
perdida de fuerza ejecutoria
Revocatoria
la cuales se asumen firmadas por el alcalde local.
</t>
  </si>
  <si>
    <t>Fallar el 13% de las actuaciones administrativas con la primera decisión de fondo  en materia de establecimientos de comercio y espacio publico del 2015 y años anteriores</t>
  </si>
  <si>
    <t xml:space="preserve"> Actuaciones administrativas  en materia de establecimientos de comercio y espacio publico del 2015 y años anteriores falladas con la primera decisión de fondo </t>
  </si>
  <si>
    <t>El indicador mide el porcentaje de expedientes que se fallan con la primera decisión de fondo en relación con el total de expedientes pendientes de fallo 
Las actuaciones administrativas hacen referencia a Establecimientos de comercio y espacio público</t>
  </si>
  <si>
    <t>N°  actuaciones administrativas en espacio público y establecimientos de comercio falladas con la primera decisión de fondo</t>
  </si>
  <si>
    <t xml:space="preserve">N° .de expedientes en establecimientos de comercio y espacio público  inventariados físicamente
</t>
  </si>
  <si>
    <r>
      <t xml:space="preserve">La primera decisión de fondo se refiere a: Resolución de sanción o resolución de archivo.
El objetivo consiste en la descongestión de las actuaciones administrativas
</t>
    </r>
    <r>
      <rPr>
        <sz val="10"/>
        <color indexed="8"/>
        <rFont val="Arial"/>
        <family val="2"/>
      </rPr>
      <t>Linea base: 115 expedientes de establecimiento de comercio y 21 expedientes de espacio público para un total de 136</t>
    </r>
  </si>
  <si>
    <t>Proferir 100 actos administrativos pertinentes al régimen de obras</t>
  </si>
  <si>
    <t>Actos administrativos proferidos pertinentes al régimen de obras</t>
  </si>
  <si>
    <t xml:space="preserve">"El indicador mide la cantidad de actos administrativos proferidos en relación con su programación
- Auto de formulación de cargos
- Auto de pruebas
- Resolución de sanción
- resolución de archivo
- resolución que resuelve el recurso de reposición
- resolución de perdida de fuerza ejecutoria
- resoluciòn de revocatoria directa
Este indicador obtiene datos del indicador de la metas 8 y 9
</t>
  </si>
  <si>
    <t>Los actos administrativos se refieren a:
Auto de formulación de cargos
Auto de pruebas
Resolución de sanción
resolución de archivo
resolución que resuelve el recurso de reposición
resolución de perdida de fuerza ejecutoria
resoluciòn de revocatoria directa
la cuales se asumen firmadas por el alcalde local.</t>
  </si>
  <si>
    <r>
      <t xml:space="preserve">Fallar XXX% de las actuaciones administrativas  en materia de obras y urbanismo, aperturadas en el 2012 y años anteriores, con una resolución de conformidad con lo establecido legalmente con base en la labor de impulso procesal
</t>
    </r>
    <r>
      <rPr>
        <sz val="10"/>
        <color indexed="10"/>
        <rFont val="Arial"/>
        <family val="2"/>
      </rPr>
      <t>NO APLICA</t>
    </r>
  </si>
  <si>
    <t>Actuaciones administrativas en materia de obras y urbanismo aperturadas entre el 2012 y años anteriores falladas con resolución</t>
  </si>
  <si>
    <t xml:space="preserve">El indicador mide el porcentaje de expedientes que se  fallan con una única resolución (Una sola medición por expediente)  en relación con el total de expedientes pendientes de fallo
  Las actuaciones son aquellas aperturadas en el 2012 y años anteriores
</t>
  </si>
  <si>
    <t>N°  actuaciones administrativas en obras y urbanismo falladas con resolución del 2012 y años anteriores.</t>
  </si>
  <si>
    <t>N° de expedientes en obras y urbanismo inventariados físicamente del 2012 y anteriores.</t>
  </si>
  <si>
    <r>
      <t xml:space="preserve">JUSTIFICACIÓN:  A la fecha no se tienen expedientes de vigencias anteriores a 2012 sin fallar
</t>
    </r>
    <r>
      <rPr>
        <sz val="10"/>
        <color indexed="8"/>
        <rFont val="Arial"/>
        <family val="2"/>
        <charset val="1"/>
      </rPr>
      <t xml:space="preserve">
Fallo con resolución se refiere a:
Archivo
Liquidación de Multas
Resolución de pago total
Resolución de acuerdo de pago
Revocatoria
Perdida de fuerza ejecutoria
Procedencia de recursos
Se asume como valida una vez firmada por el alcalde local</t>
    </r>
  </si>
  <si>
    <t>Fallar  60% de las actuaciones administrativas con la primera decisión de fondo en materia de obras y urbanismo, aperturadas entre el 2013 al 2015, de conformidad con lo establecido legalmente con base en la labor de impulso procesal.</t>
  </si>
  <si>
    <t xml:space="preserve">Actuaciones administrativas en materia de obras y urbanismo del  2013 al 2015 falladas con la primera decisión de fondo  </t>
  </si>
  <si>
    <t>El indicador mide el porcentaje de expedientes que se  fallan con la primera decisión de fondo en relación con el total de expedientes pendientes de fallo
  Las actuaciones son aquellas aperturadas entre el 2013 al 2015
Las actuaciones administrativas hacen referencia a obras</t>
  </si>
  <si>
    <t>N°  actuaciones administrativas en obras y urbanismo falladas con la primera decisión de fondo del 2013 al 2015</t>
  </si>
  <si>
    <t>N° de expedientes en obras y urbanismo inventariados físicamente del  2013 al 2015</t>
  </si>
  <si>
    <r>
      <t xml:space="preserve">Primer decisión se refiere a resolución:
Sanción
Archivo
Se asume como valida una vez firmada por el alcalde local
</t>
    </r>
    <r>
      <rPr>
        <b/>
        <sz val="10"/>
        <rFont val="Arial"/>
        <family val="2"/>
      </rPr>
      <t>La base son 56 expedientes activos de vigencias 2013 a 2015.  De ellos se espera fallar 34 expedientes</t>
    </r>
  </si>
  <si>
    <t>Realizar 22 actividades de prevención en materia de control en establecimientos de comercio y espacio público</t>
  </si>
  <si>
    <t xml:space="preserve">Actividades de prevención realizadas en materia de control en establecimientos de comercio y espacio público  </t>
  </si>
  <si>
    <t>El indicador mide la cantidad de actividades de prevención en establecimientos de comercio y espacio público  y cuya finalidad consiste en disminuir la formalización de actuaciones administrativas ya sea mediante talleres en etapa preliminar o en actividades y/o talleres en campo. Lo anterior en relación a la cantidad de actividades programadas.</t>
  </si>
  <si>
    <t xml:space="preserve">N°   Actividades de prevención realizadas
</t>
  </si>
  <si>
    <t>N°  Actividades de prevención programadas</t>
  </si>
  <si>
    <t>CARPETA DE ACTIVIDADES DE PREVENCION</t>
  </si>
  <si>
    <t xml:space="preserve">Actividad de prevención se refiere a: 
Talleres en etapa preliminar
Talleres dirigidos a la comunidad en zonas  definidas.
Difusión en Medios de comunicación comunitarios y/o espacios comunitarios
Cada alcaldía definiría la estrategia y en caso de elegir la segunda opción debe determinar que zona es la que va a intervenir.
El resultado va dirigido a disminuir las sanciones por infracciones al funcionamiento de establecimientos de comercio y espacio público
Se dará prioridad a actividades de prevención sobre el tema de operativos </t>
  </si>
  <si>
    <t xml:space="preserve">Realizar 3 actividades de prevención en materia de obras </t>
  </si>
  <si>
    <t>Actividades de prevención realizadas en materia de obras</t>
  </si>
  <si>
    <t>El indicador mide la cantidad de actividades de prevención en materia de obras  y cuya finalidad consiste en disminuir la formalización de actuaciones administrativas ya sea mediante talleres en etapa preliminar o en actividades y/o talleres en campo. Lo anterior en relación a la cantidad de actividades programadas.</t>
  </si>
  <si>
    <t>Actividad de prevención se refiere a: 
Talleres en etapa preliminar
Talleres dirigidos a la comunidad en zonas  definidas.
Difusión en Medios de comunicación comunitarios y/o espacios comunitarios
Cada alcaldía definiría la estrategia y en caso de elegir la segunda opción debe determinar que zona es la que va a intervenir.
El resultado va dirigido a disminuir las sanciones por infracciones al régimen de obras.</t>
  </si>
  <si>
    <r>
      <t xml:space="preserve">Realizar </t>
    </r>
    <r>
      <rPr>
        <sz val="10"/>
        <color indexed="12"/>
        <rFont val="Arial"/>
        <family val="2"/>
      </rPr>
      <t>4</t>
    </r>
    <r>
      <rPr>
        <sz val="10"/>
        <color indexed="12"/>
        <rFont val="Arial"/>
        <family val="2"/>
        <charset val="1"/>
      </rPr>
      <t>0</t>
    </r>
    <r>
      <rPr>
        <sz val="10"/>
        <rFont val="Arial"/>
        <family val="2"/>
      </rPr>
      <t xml:space="preserve"> operativos de control al funcionamiento en establecimientos de comercio</t>
    </r>
  </si>
  <si>
    <t>Operativos de control de infracciones, en establecimientos de comercio realizados</t>
  </si>
  <si>
    <t>El indicador mide el numero de operativos de control de infracciones establecimientos de comercio  realizados en relación con una cantidad de operativos programados</t>
  </si>
  <si>
    <t>N. de operativos de control en establecimientos de comercio realizados</t>
  </si>
  <si>
    <t>N. de operativos de control programados</t>
  </si>
  <si>
    <t>CARPETA OPERATIVOS DE CONTROL EN ESTABLECIMIENTOS DE COMERCIO</t>
  </si>
  <si>
    <t>Los operativos que se realicen deben generar algún resultado o impacto, de igual manera se espera la participación de todas las entidades involucradas
La cantidad mínima de operativos a programar durante la vigencia es de 10</t>
  </si>
  <si>
    <t>Realizar 40 operativos de control de infracciones en obras y urbanismo</t>
  </si>
  <si>
    <t>Operativos de control de infracciones, en obras y urbanismo realizados</t>
  </si>
  <si>
    <t>El indicador mide el numero de operativos de control de infracciones al régimen de obras  realizados en relación con una cantidad de operativos programados</t>
  </si>
  <si>
    <t>N. de operativos de control de obras y urbanismo realizados</t>
  </si>
  <si>
    <t>CARPETA DE OPERATIVOS</t>
  </si>
  <si>
    <t xml:space="preserve">Los operativos que se realicen deben generar algún resultado o impacto </t>
  </si>
  <si>
    <r>
      <t>Realizar</t>
    </r>
    <r>
      <rPr>
        <sz val="10"/>
        <color indexed="12"/>
        <rFont val="Arial"/>
        <family val="2"/>
      </rPr>
      <t xml:space="preserve"> </t>
    </r>
    <r>
      <rPr>
        <sz val="10"/>
        <color indexed="12"/>
        <rFont val="Arial"/>
        <family val="2"/>
        <charset val="1"/>
      </rPr>
      <t>108</t>
    </r>
    <r>
      <rPr>
        <sz val="10"/>
        <rFont val="Arial"/>
        <family val="2"/>
      </rPr>
      <t xml:space="preserve"> operativos de control de ocupación  indebida de espacio público</t>
    </r>
  </si>
  <si>
    <t>Operativos de control de infracciones, en espacio público realizados</t>
  </si>
  <si>
    <t>El indicador mide el numero de operativos de control de infracciones en espacio público realizados en relación con una cantidad de operativos programados</t>
  </si>
  <si>
    <t>N°  de operativos de control de espacio público realizados</t>
  </si>
  <si>
    <t>N°  de operativos de control de espacio público programados</t>
  </si>
  <si>
    <t>Los operativos que se realicen deben generar algún resultado o impacto, de igual manera se espera la participación de todas las entidades involucradas
La cantidad mínima de operativos a programar durante la vigencia es de 4</t>
  </si>
  <si>
    <t xml:space="preserve">Evitar 1% de las Peticiones y Quejas recibidas por la Secretaría General de Inspecciones  (PQRS, requerimientos recibidos de manera escrita y verbal) que vayan a reparto como acción policiva, mediante acciones de prevención o mediante Orientación directa  
</t>
  </si>
  <si>
    <t>Peticiones y quejas que no van a reparto como acción policiva por actividades de prevención o por orientación directa.</t>
  </si>
  <si>
    <t xml:space="preserve">El indicador mide el porcentaje de peticiones y quejas que no van a reparto como acciones policivas, lo anterior se logra  mediante actividades de prevención o por orientación directa recibidas mediante los siguientes canales:
(PQRS, Orfeo, Si actúa,  recibidas de manera directa de manera escrita o verbal) 
(como fuentes secundarias de datos para el calculo del indicador se podrán utilizar  documento de apoyo tales como: planillas de atención al usuario, reportes del SIDICCO, libros y  actas)
El remanente de la presente meta pasa a ser el denominador de la meta asociada a querellas y contravenciones repartidas a las inspecciones de policía para el 2016
</t>
  </si>
  <si>
    <t>N° de Peticiones  y quejas (PQRS, Orfeo  y SI ACTÙA recibidas de manera directa de manera escrita o verbal) que no van a reparto como acción policiva</t>
  </si>
  <si>
    <t>N° de Ciudadanos atendidos con registro en ORFEO Y/O SI- ACTUÁ Y/O SDQS</t>
  </si>
  <si>
    <t>Efectividad</t>
  </si>
  <si>
    <t>SDQS, Orfeo Y SI-ACTÚA</t>
  </si>
  <si>
    <t xml:space="preserve">El resultado o efecto  esperado de la meta consiste en evitar que se incremente el numero de acciones policivas que entran a reparto producto de la orientación directa o mediante actividades de prevención. </t>
  </si>
  <si>
    <t>Emitir 25% de las decisiones que pongan fin a las acciones policivas radicadas del 2015 y años anteriores</t>
  </si>
  <si>
    <t>Decisiones emitidas que pongan fin a las acciones policivas radicadas del 2015 y años anteriores</t>
  </si>
  <si>
    <t>El indicador mide el porcentaje de procesos policivos finalizados mediante prescripción, desistimiento, conciliación, caducidad o fallo, en relación con el inventario de querellas y contravenciones activas del 2015 y años anteriores que están pendientes de una decisión final.</t>
  </si>
  <si>
    <t>N° de decisiones emitidas que pongan fin a las acciones policivas radicadas en el 2015 y años anteriores</t>
  </si>
  <si>
    <t>N° de querellas y contravenciones  activas al 31 de diciembre del 2015</t>
  </si>
  <si>
    <t>Aplicativo SI ACTUA Y carpeta archivadora de Resoluciones o fallos en cada Inspección</t>
  </si>
  <si>
    <r>
      <t xml:space="preserve">Decisión se refiere a prescripción, desistimiento, conciliación, caducidad, fallo.
</t>
    </r>
    <r>
      <rPr>
        <b/>
        <sz val="10"/>
        <rFont val="Arial"/>
        <family val="2"/>
      </rPr>
      <t>Linea  base: 718 querellas</t>
    </r>
  </si>
  <si>
    <t xml:space="preserve">Emitir 20% de las decisiones que pongan fin a las acciones policivas radicadas en el 2016 </t>
  </si>
  <si>
    <t xml:space="preserve"> Decisiones emitidas que pongan fin a los proceso radicados en la vigencia 2016</t>
  </si>
  <si>
    <t>El indicador mide el porcentaje de procesos policivos finalizados mediante prescripción, desistimiento, conciliación, caducidad o fallo, en relación con las querellas y contravenciones activas y radicadas en 2016
(El denominador del indicador corresponde a procesos policivos que ingresan por reparto)</t>
  </si>
  <si>
    <t>N°  de decisiones emitidas que pongan fin a las acciones policivas radicadas en el 2016</t>
  </si>
  <si>
    <t>N°  de procesos policivos radicados y activos en la vigencia 2016</t>
  </si>
  <si>
    <t>Orfeo o SI-ACTÚA</t>
  </si>
  <si>
    <t>Decisión se refiere a prescripción, desistimiento, conciliación, caducidad, fallo.</t>
  </si>
  <si>
    <t>Lograr en 15 días la realización de la audiencia de conciliación, Secretaría General de las Inspecciones de Policía o Corregidores (tiempo maximo)</t>
  </si>
  <si>
    <r>
      <t>Promedio de días hábiles para la  realizaci</t>
    </r>
    <r>
      <rPr>
        <sz val="10"/>
        <rFont val="Arial"/>
        <family val="2"/>
      </rPr>
      <t>ón de audiencias de conciliación</t>
    </r>
  </si>
  <si>
    <t>El indicador mide el promedio de días en el cual se están llevando a cabo las audiencias de conciliación efectivamente realizadas
Los días para la medición del indicador se asumen como días hábiles</t>
  </si>
  <si>
    <r>
      <t>Sumatoria de d</t>
    </r>
    <r>
      <rPr>
        <sz val="10"/>
        <rFont val="Arial"/>
        <family val="2"/>
      </rPr>
      <t>ías hábiles para la realización de todas las audiencias de conciliación</t>
    </r>
  </si>
  <si>
    <t>N° de Audiencias de conciliación realizadas.</t>
  </si>
  <si>
    <t>Eficiencia</t>
  </si>
  <si>
    <t>Libro radicador, aplicativo SI ACTUA y expediente</t>
  </si>
  <si>
    <t>La meta hace mención a las audiencias efectivamente realizadas.
La programación debe realizarse con base en el promedio histórico.</t>
  </si>
  <si>
    <t>Evacuar 70% de los procesos generados por retención de bienes por la ocupación del espacio público</t>
  </si>
  <si>
    <t>Procesos generados por retención de bienes por la ocupación del espacio público evacuados</t>
  </si>
  <si>
    <t>El indicador mide el porcentaje de procesos evacuados que se reciban durante el trimestre y que son  generados por por retención de bienes por la ocupación indebida del espacio público 
Para evacuar se acude a:
Devolución 
Destrucción
Donación</t>
  </si>
  <si>
    <t xml:space="preserve">N. de procesos evacuados </t>
  </si>
  <si>
    <t xml:space="preserve">N. de procesos recibidos durante el trimestre
</t>
  </si>
  <si>
    <t>Libro radicador, aplicativo SI ACTUA, expediente</t>
  </si>
  <si>
    <r>
      <t xml:space="preserve"> </t>
    </r>
    <r>
      <rPr>
        <sz val="10"/>
        <rFont val="Arial"/>
        <family val="2"/>
      </rPr>
      <t xml:space="preserve">La meta hace referencia a evitar la acumulación  de los elementos en bodega, igualmente mide la evacuación de los elementos por un proceso generado por la utilización indebida del espacio público; Cada persona, infractor o vendedor tiene un proceso independiente. </t>
    </r>
  </si>
  <si>
    <t>Tramitar 110 informes técnicos entregados por el arquitecto o ingeniero y determinar si amerita actuación administrativa para preliminares de vigencias anteriores a 2016</t>
  </si>
  <si>
    <t xml:space="preserve"> Informes técnicos entregados por el arquitecto o ingeniero y determinar si amerita actuación administrativa para preliminares de vigencias anteriores a 2016, tramitados</t>
  </si>
  <si>
    <t>El indicador mide la evacuación de las preliminares que se encuentran abiertas. En Obras y Urbanismo.  Esto implica cierre de la preliminar o apertura de la actuación  administrativa</t>
  </si>
  <si>
    <t>No de preliminares evacuadas</t>
  </si>
  <si>
    <t>No de preliminares programadas</t>
  </si>
  <si>
    <t>Aplicativo SI ACTUA y expedientes</t>
  </si>
  <si>
    <t xml:space="preserve">Garantizar las condiciones de convivencia pacífica, seguridad humana, el ejercicio de derechos y libertades para contribuir al mejoramiento de la calidad de vida en Bogotá
Promover el acceso al sistema de justicia, mediante mecanismos efectivos, incluyentes y diferenciales que conlleven a la garantía de los derechos humanos individuales y colectivos. </t>
  </si>
  <si>
    <t>Establecer el índice de satisfacción de nuestros usuarios y beneficiarios de los procesos, con el fin de contribuir a mejorar la calidad de vida de las personas del Distrito Capital</t>
  </si>
  <si>
    <t>GESTIÓN PARA LA CONVIVENCIA Y SEGURIDAD INTEGRAL</t>
  </si>
  <si>
    <t>Motivar a 260 personas para que cuenten con herramientas en el manejo adecuado de los conflictos</t>
  </si>
  <si>
    <t>Personas Motivadas en  herramientas para el manejo adecuado de conflictos</t>
  </si>
  <si>
    <t>El indicador mide la cantidad de personas motivadas en herramientas que les permitan manejar adecuadamente los conflictos, lo anterior en relación con la programación de una cantidad de personas determinada trimestralmente</t>
  </si>
  <si>
    <t>CARPETA DE RESOSLUCIONES Y FORMULACIONDE CARGOS</t>
  </si>
  <si>
    <t>NA</t>
  </si>
  <si>
    <t xml:space="preserve">CARPETA DE RESOLUCIONES </t>
  </si>
  <si>
    <t>CARPETA DE ACTAS DE OPERATIVOS DE CERROS ORIENTALES</t>
  </si>
  <si>
    <t>SE PROGRAMARON 10 OPERATIVOS EN ZONA DE RESERVA AMBIENTAL EN LOS DIFERENTES POLIGONOS</t>
  </si>
  <si>
    <t>SE PROGRAMARON 20 INFORMES TECNICOS CON ARCHIVO SOBREPASANDO LA META CON 40 IAUTO DE ARCHIVOS POR CUANTO SE CONTABA CON UNA ABOGADA DE APOYO DEL GRUPO DE CERROS ORIENTALES.</t>
  </si>
  <si>
    <t>CARPETA DE AUTOS DE ARCHIVO PRELIMINAR.</t>
  </si>
  <si>
    <t>SE DICTO 1 FALLO DE PRIMERA VEZ EN EXPEDIENTE 100011E/14 (FORMULA 1/56). LA META SE INCUMPLIO PORQUE SOLO SE CONTABA CON ABOGADA DE APOYO.</t>
  </si>
  <si>
    <t>SE FALLARON  11  ACTOS. LA META SE INCUMPLIO PORQUE SOLO SE CONTABA CON ABOGADA DE APOYO.</t>
  </si>
  <si>
    <t>TANTO EL  GRUPO DE CERROS Y DE OBRAS SE VENCIERON LOS CONTRATOS POR LO CUAL NO SE TENÍA FUNCIONARIOS PARA REALIZAR LA ACTIVIDAD</t>
  </si>
  <si>
    <t>NO SE LOGRO IDENTIFICAR PETICIONES QUE PUDIERAN SER TENIDAS EN CUENTA</t>
  </si>
  <si>
    <t>N/A</t>
  </si>
  <si>
    <t>Musi a marzo 2016</t>
  </si>
  <si>
    <t>El cumplimiento de  la meta física a marzo 31 de 2016 esta en 75,9</t>
  </si>
  <si>
    <t>Este año la veeduría Distrial no programo meta ni coordino las mesas de trabajo para ISO 18091</t>
  </si>
  <si>
    <t>No se tienen lineamientos de SDG</t>
  </si>
  <si>
    <t xml:space="preserve">En el trimestre se realizaron 2 intervenciones: 1)  puerta a puerta Calle 23 con Carrera 4A -Barrio las Nieves- por basuras (20 Ciudadanos visitas). 2) Plazoleta Las Nieves -Calle 20 Carrera 7 y 8- consumo de bebidas alcohólicas y estupefacientes en espacio publico (17 ciudadanos intervenidos)   </t>
  </si>
  <si>
    <t>Carpeta “Trabajo Comunitario 2016”</t>
  </si>
  <si>
    <t>SDG no ha dado lineamientos de este tema a la fecha</t>
  </si>
  <si>
    <t>Carpeta del plan de comunicaciones, diseños y fotos</t>
  </si>
  <si>
    <t>Aestá pendiente los lineamientos de SDG para este tema</t>
  </si>
  <si>
    <t>PREDIS</t>
  </si>
  <si>
    <t>Mes        Ingresos        Registros   % Ejec. 
Ene                6                    6             100
Feb              14                   14             100
 Mar              8                      8            100             
1er trim        28                   28            100</t>
  </si>
  <si>
    <t xml:space="preserve">   Mes             Pagado            Programado     % Ejec. 
Ene            11.125.872      11.474.250   0,97
Feb              1.597.034.861         1.598.129.403   1
Mar            2.659.911.556       2.659.958.146   1
1er trim     4.268.072.289        4.269.561.799   1
</t>
  </si>
  <si>
    <t>Formato consulta satisfacción del servicio 2L-GCS-F7 y Aplicación Tabulación resultados encuesta</t>
  </si>
  <si>
    <t>Se realizaron 24 estadísitcas que suman 347
El cumplimiento de la meta se superó  con un alto porcentaje de calificación lo que presenta un promedio de 14.46 sobre 15, o que refleja una buena atención al ciudadano en las mediaciones e igualmente se realizó acompañamiento a los acuerdos establecidos en el transcurso del año</t>
  </si>
  <si>
    <t>Carpeta de fallos en cada Inspeccion y Aplicativo SI ACTUA</t>
  </si>
  <si>
    <t xml:space="preserve">En el trimestre se realizaron 78 conciliaciones en 439 días. No se incluyeron segundas fechas.    Se cumplió la meta </t>
  </si>
  <si>
    <t xml:space="preserve">En este trimestre solo se recibieron 89 actas de aprehension de manos de la Policia Nacional. Y adicionalmente del primer trimestre en trámite llegaron 485 actas. Se fallaron 412 contravenciones por ocupacion indebida del espacio publico. Se sigue llevando el promedio en 70% al no haberse recibido respuesta de su podiamos bajar el promedio al 50%. Es necesario aclara que en los ultimos meses no se han desarrollado operativos contra vendedores ambulantes por eso es muy poco lo que ha llegado.    </t>
  </si>
  <si>
    <t xml:space="preserve">Tomando la linea base (718 expedientes) sobre el 25% programado (179)  los inspectores de policía fallaron 34 procesos lo que equivale a un 19%. Se cumplio la meta </t>
  </si>
  <si>
    <t xml:space="preserve">Tomando la linea base (718 expedientes) sobre el 25% programado (179) los inspectores de policía fallaron  86 procesos para un total del 12%. Se sobre paso la meta por lo que se solicita reemplazar la meta (porcentaje a </t>
  </si>
  <si>
    <t>En el trimestre la Secretaria General de Inspecciones realizo 5 actividades. A saber: : 1)  Competencias institucionales hacia la comunidad (22 Ciudadanos participaron). Lugar Comisaria de Familia Santafe.. 2)Charla con la comunidad basuras y desaseo lote Calle 19 en tre Carrera 7 y 8  (297 ciudadanos partiiparon) Lugar Restaurante Casa Liz.. 3)  Recorrido puerta a puerta Restaurantes La Macarena problemática con habitantes de Calle que reciben comida, dinero y elementos para reciclaje (30 ciudadanos visitados)  4) Charla sobre comparendos ambientales a integrantes de GRUPO  DE CARABINEROS Y GUIA CANINA MEBOG (17 patrulleros capacitados). Lugar Avenida Circunvalar No. 36-00. 5) Charla a comerciantes y residentes ubicados en la Calle 22 entre Carrera 10 y 7 sobre basuras y el no entregar alimento ni reciclaje a los habitantes de calle (29 ciudadanos). Lugar Sala de reunion de la Junta Administradora Local JAL de Santafe</t>
  </si>
  <si>
    <t>SE DICTARON 4 RESOLUCIONES ADMINISTRATIVAS EN ACTUACIONES DE ESTABLECIMIENTOS DE COMERCIO: 2 DE ARCHIVO, Y DOS DE TRAMITE A RECURSOS.  NO SE LOGRA LA META YA QUE DURANTE EL TRIMESTRE NO SE CONTÓ CON ABOGADOS DE APOYO Y SE ESTABA EN LA LABOR DE CONTRATACION DE PERSONAL POR PARTE DE LA NUEVA ADMINISTRACIÓN</t>
  </si>
  <si>
    <t>CARPETA DE ACTOS ADMINISTRATIVOS DE ESTABLECIMIENTOS DE COMERCIO</t>
  </si>
  <si>
    <t>SE REALIZARON LOS 10 OPERATIVOS DE LA SIGUIENTE MANERA: CONTROL A BARES 6, CONTROL A PARQUEADEROS TARIFAS 2, CONTROL A CACHARRERIAS SECTOR SAN VICTORINO 1 Y COTROL A VIDEOS X 1.</t>
  </si>
  <si>
    <t>SE REALIZARON 27 OPERATIVOS SECTORES CRITICOS COMO: PARQUE PERIODISTAS CALLES 18 Y 24 ENTRE CARRERAS 7 A 3, PLAZOLETA LAS NIVES Y CARRERA 7 DE AV. JIMENEZ A CALLE 26</t>
  </si>
  <si>
    <t xml:space="preserve">Se realizaron 23 encuestas que suman 333 puntos de 345 posibles
El cumplimiento de la meta se superó  con un alto porcentaje de calificación lo que presenta un promedio de 14.48 sobre 15, o que refleja una buena atención al ciudadano en las mediaciones </t>
  </si>
  <si>
    <t>Se tiene un convenio con La Tadeo Lozano y con la Iglesioa de las nives para hacer motivacione de manejo de conflictos</t>
  </si>
  <si>
    <t>El número de orientaciones a los AVCC dada por los funcionarios de la UMC son: 
Abril           1 + 2 =  3
Mayo          7 + 2 =  9 
Junio           6 + 6 = 12
Total trimestre         24</t>
  </si>
  <si>
    <t>El número de orientaciones a los AVCC dada por los funcionarios de la UMC son: 
Abril           4 + 6 =  10
Mayo          6 + 8 =  14 
Junio           5 + 4 =   9
Total trimestre          33</t>
  </si>
  <si>
    <t>No se reportaron motivaciones para el trimestre</t>
  </si>
  <si>
    <t>Mes        Egresos        Registros   % Ejec. 
Ene                6                    6             100
Feb              14                   14             100
 Mar              8                      8            100             
1er trim        28                    28            100</t>
  </si>
  <si>
    <t>Mes        Ingresos        Registros       % Ejec. 
Abr                8                    8             100
May             16                   16             100
Jun               15                   15             100             
2do trim        39                   39             100</t>
  </si>
  <si>
    <t>Mes        Egresos        Registros       % Ejec. 
Abr                8                    8             100
May             16                   16             100
Jun               15                   15             100             
2do trim        39                   39             100</t>
  </si>
  <si>
    <t>Se publico el PAA de adqusiciones el 04-Ene-2016</t>
  </si>
  <si>
    <t>SECOP y http://www.santafe.gov.co/index.php/transparencia-e-informes/contratacion</t>
  </si>
  <si>
    <t xml:space="preserve">No se hizo la actualización y publicación del plana anual con las modificaciones </t>
  </si>
  <si>
    <t>El presupuesto es de $18.919.228.000 y a marzo se ha comprometido $2.350.563.825 que equivale a 12.42%
Ene  $1.092.902,057
Feb   $42,277,256
Mar   $325,374,512</t>
  </si>
  <si>
    <t>El presupuesto es de $18.919.228.000 y a marzo se ha comprometido $413,583,128 que equivale a 2,19%
Ene  $0
Feb   $42,277,256
Mar   $371,305,872</t>
  </si>
  <si>
    <t>Predis</t>
  </si>
  <si>
    <t>El presupuesto es de $18.919.228.000 y a Junio se ha comprometido $3,579,632,631 que equivale a 18,92%
Abr   $197.728.961
May  $766.355.926
Jun   $265,023,919
Total 2o trimestre  $1.229.108.806</t>
  </si>
  <si>
    <t>El presupuesto es de $18.919.228.000 y a Junio se ha girado  $713,440,497 que equivale a 3,77%
Abr      $42.645.628
May    $131.967.256
Jun     $125,244,485 
Total 2o trimestre  $299.857.369</t>
  </si>
  <si>
    <t>SE PROGRAMARON 30 ACTOS ADMINISTRATIVOS DE LOS CUALES SE REALIZAON 15 NO CUMPLIENDO LA META POR CUANTO NO SE CONTABA SI NO CON UN SOLO ABOGADO.</t>
  </si>
  <si>
    <t>CARPETA DE RESOLUCIONES Y FORMULACIONDE CARGOS</t>
  </si>
  <si>
    <t>SE DICTO 1 FALLO DE PRIMERA VEZ EN EXPEDIENTE 10001E/13. NO CUMPLIENDO LA META POR CUANTO NO SE CONTABA CON ABOGADA DE APOYO.  Formula 1/ 56</t>
  </si>
  <si>
    <t>SE REALIZO 1 ATIVIDAD DE PREVENCION EN  CERROS ORIENTALES.</t>
  </si>
  <si>
    <t>CARPETA DE ACTAS PREVENCION</t>
  </si>
  <si>
    <t>SE PROGRAMARON 10 OPERATIVOS CUMPLIENDO LA META. LO CUALES SE REALIZARON EN ZONA DE RESERVA AMBIENTAL EN LOS DIFERENTES POLIGONOS</t>
  </si>
  <si>
    <t>SE PROGRAMARON 30 INFORMES TECNICOS CON ARCHIVO SOBREPASANDO LA META CON 36 IAUTO DE ARCHIVOS POR CUANTO SE CONTABA CON UNA ABOGADA DE APOYO DEL GRUPO DE CERROS ORIENTALES.</t>
  </si>
  <si>
    <t>El cumplimiento de  la meta física a Junio 30 de 2016 esta en 80,,1</t>
  </si>
  <si>
    <t xml:space="preserve">   Mes                          Pagado            Programado     % Ejec. 
Abr                           367.431.164         368.353.288        99,75%
May                         849.145.152         855.196.189        99,29%
Jun                          950.764.940          953.282.043       99,74%
2do trimestre          2.167.341.256      2.176.831.520       99,56%</t>
  </si>
  <si>
    <t xml:space="preserve">Tomando la linea base (718 expedientes) sobre el 25% programado (179)  los inspectores de policía fallaron 50 procesos lo que equivale a un 19%. Se reportaron así
Inspección 3A  9 (215), 2 (2014) y 3(&lt;2014) = 14
Inspección 3C: 36
Inspección 3D: no reporto fallos
Se supero la meta </t>
  </si>
  <si>
    <t xml:space="preserve"> </t>
  </si>
  <si>
    <t>Se lograron alianzas con las Juntas de Acción Comunal, recién posesionadas para iniciar una labor conjunta con el IDEPAC, especialmente con Conciliadores de las JAC's, lo que ha permitido trabajar con estas organizaciones para alcanzar esta meta.Las evidencias y registros de las actividades reposan en los archivos de la UMC y fueron enviadas también por correo electrónico a la Referente de Calidad.
Jul 0, Ago 20 y Sept 72</t>
  </si>
  <si>
    <t>Se realizaron 9 acompañamientos a los AVCC en instalaciones de la UMC, por solicitud de ellos y 16 acompañamientos en los Puntos de Atención Comunitaria.</t>
  </si>
  <si>
    <t>Se aplicaron 10 encuestas que suman 147 puntos lo que indica que el promedio de satisfacción es de 98%.  Se evidencia en la tabulación de la evaluación de satisfacción realizada por parte de los usuarios frente al servicio prestado. Se envió formato de tabulación a la Referente de Calidad y las evaluaciones reposan en las carpetas de acogida en la UMC.</t>
  </si>
  <si>
    <t>SDG no ha dado lineamiento al respecto</t>
  </si>
  <si>
    <t xml:space="preserve">El valor base final  del rubro 3.3.6 al final al 31 de diciembre de 2015   fue de $19,117,432.  En se realizó una modificación por -$7.241.681.489 para un nuevo saldo base de $11.875.750.511. El acumulado de giros  al 31 marzo 2016 fue de $3,660,896,741
El valor base final del rubro 3.1.8 al 31 de diciembre de 2015 fue de $579,180,000  y el acumulado de giro al 31 de marzo 2016 fue de $151,010,935
Así, el valor base total de obligaciones por pagar es de $19,696,612,000
Para un valor total de giros de obligaciones por pagar de $3.811.907.600
</t>
  </si>
  <si>
    <t>SE PROGRAMARON 30 ACTOS ADMINISTRATIVOS DE LOS CUALES SE REALIZAON 50 SOBREPASANDO LA META POR CUANTO SE CUENTA CON DOS ABOGADOS DE APOYO.</t>
  </si>
  <si>
    <t>En Septiembre, SDG entregó los lineamientos para desarrollar el Plan de Comuniaciones del 2017.  Para el 2016 no hubo lineamientos</t>
  </si>
  <si>
    <t xml:space="preserve">Se realizaron las siguientes campañas:
1. Convocatorias educativas: convenio con Chevrolet y Fundación Neme para proveer cupos a jóvenes de la localidad en cursos relacionados con la industria automotriz
2. Convocatoria laboral: en convenio con una empresa constructora para proveer diez ayudantes de obra y ocho oficiales para estructur
3. Rutas seguras para colegios de San Bernardo:  socialización con los padres de familia sobre horarios y las rutas de acceso y salida de los colegios de San Bernard </t>
  </si>
  <si>
    <t>1. Actualización de imagen visual  de la señalizacón de la Alcaldía con el logo de "Bogotá mejor para todos"
2. Actualización periódica de las carterlas institucionales
3. Creación y difusión  de contenidos en redes sociales y página WEB
4, Cración de archivos de noticias publicadas relacionadas con la localidad y la Alcaldía
5, Creación de base de datos de medios y periodistas que cubren la localidad
6. Creación del boletín interno periódoco  ‘Entérate’.</t>
  </si>
  <si>
    <t>Se mantienen las estrategias permanente de:
1 Cartelera de cumpleaños, de punto informativo en entidades laborales, deinformacion entidades y una de IDU
2  Redes sociales externo permanente de asuntos y eventos de relevancia pag web, facebook y twiter
3  Reuniones permanentes con el Consejo Local de Comunicación
4  Apoyo en medios  comunitariso
5 Creación de Youtube
6  Posicionamiento de la nueva marca de la Alcaldía Mayor ennla Alcaldía Local de Santa Fe</t>
  </si>
  <si>
    <t>Se realizaron campañas para
1.  Rendicion de cuenta
2.  Consejo local de discapacidad
3.  Elección JAC (junto a IDPAC)
4.  Encuentrso ciudadanos</t>
  </si>
  <si>
    <t>De julio a Agosot se llevaron a cabo  las siguientes 
1. Convocatorias para encuentros juvenives en la vereda del Verjon
2. Convocatoria laboral par el consorcio Cerros Orientales y el Grupo Varu
3. Programa piloto de educación financiera para tenderos en alianza con la Secreataria de Desarrollo Económico
4. Caminata Ecológica por el Sendero del Río San Frascico
5. Campaña "Que no se te corra la teja" para prevenir que las brisas levanten los techos de las casas
6. "San Bernardo Renace" promocinar el embellecimieto del Barrio
7. "Embellecimiento UPZ la Macarena" para recuperar espacio público</t>
  </si>
  <si>
    <t>1. Alianza con corredor cultural del Centro para tema de comunicaiones y difusión de las actividades culturales de la Alcaldía
2. "Dale pedal a la educación" para promocionar el acceso de la educaciión en la localidade  y se firmó un pacto para la educación con personalidades distritales
3. Feria de servicios distriales para motivar el desalojo voluntario de los invasores del polígono 218
4. Estrategia para controlar los niveles de ruido en la 7a (piezas gráficas y medios de omunicación y redes sociales) y acompañamiento con tema audiovisual</t>
  </si>
  <si>
    <t>SAE</t>
  </si>
  <si>
    <t>SAI</t>
  </si>
  <si>
    <t>NO SE REALIZARON CHARLAS DE SENsIBILIZACION YA QUE LAS LABORES DE RECUPERACION DE LA INDEBIDA OCUPACION DEL ESPACIO PUBLICO EN EL PRESENTE TRIMESTRE FUE ENCAMINADA A OPERATIVOS REALIZADOS LOS FINES DE SEMANA EN SECTORES QUE SE TORNARON CRITICOS COMO PARQUE DE LOS PERIODISTAS, PLAZA DE LAS NIVES, CALLE 18 ENTRE CARRERAS 7 A 3 Y CALLE 24 ENTRE CARRERAS 7 A 3.</t>
  </si>
  <si>
    <t>SE PROGRAMARON 30 INFORMES TECNICOS CON ARCHIVO SOBREPASANDO LA META CON 56 AUTO DE ARCHIVOS POR CUANTO SE CUENTA CON DOS ABOGADOS DE APOYO.</t>
  </si>
  <si>
    <t>Carpeta CLGRC</t>
  </si>
  <si>
    <t>De las 11 actividades que se programaron para el primer trimestre  se cumplieron 7.  Se incuimplieron las actividades 1, 4 y 7
En total se tiene 40 actividades a cumplir, por lo cual en este trimestre se aporto el 18% (7/40)</t>
  </si>
  <si>
    <t>A</t>
  </si>
  <si>
    <t>De 14 actividades que se programaron para el segundo trimestre  se cumplieron 8.  Se incuimplieron las actividades 1, 4 y 7
De las 40 actividades programadas se han cujmplido a junio 30 se han cumplido 15, es decir un 38%</t>
  </si>
  <si>
    <t>De 11 actividades que se programaron para el tercer trimestre  se cumplieron las 11 más la actividad 9 que estaba programada para el segundo trimestre y la actividad 11 que estaba programada para el cuarto trimestre.  
De las 40 actividades programadas se han cujmplido a junio 30 se han cumplido 28, es decir un 70%</t>
  </si>
  <si>
    <t>SI ACTUA</t>
  </si>
  <si>
    <t>SE DICTARON LOS SIGUIENTES ACTOS ADMINISTRATIVOS:  FALLOS DE PRIMERA INSTANCIA,  FALLOS DE  ARCHIVO  Y FALLOS DE  FORMULACION DE PLIEGOS DE CARGO. TODOS TRAMITES DE ESTABLECIMIENTOS DE COMERCIO.</t>
  </si>
  <si>
    <t>SE REALIZARON LOS 10 OPERATIVOS DE LA SIGUIENTE MANERA: CONTROL A BARES, CONTROL A PARQUEADEROS TARIFAS , CONTROL A PESCADERIAS.</t>
  </si>
  <si>
    <t>Carpeta de operativos</t>
  </si>
  <si>
    <t>En la programación anual se dejo de manera permanente la recuperación, control y mantenimiento del espacio público los días domingos y festivos, en la carrera 7 entre avenida jimenes a calle 26 y espinas. La meta  del plan de gestión no se  logro teniendo en cuenta  que en el mes  de  septiembre de programó el  operativo del Polígono 218 Monserrate, lo que requirió de  toda  la logistica y trabajo de los funcionarios exclusivamente, sinde jar  tiempo y espacio  para realizar  más  actividades  de  espacio público.</t>
  </si>
  <si>
    <t>las querellas radicadas en el periodo 1 de julio a 30 de septiembre
hemos encontrado que
SE RADICARON 59
a estas se les dio fecha de conciliación, para fechas futuras, 
estos días suman 915 
el promedio de dicha de celebración de audiencia de conciliación es a los 15.5 dias, después de radicada la citada querella.</t>
  </si>
  <si>
    <t>Del trimestre anterior habian 162 decomisos En el trimeste se recibieron 361 decomisos y se tramitaron 182 . Quedan activas 179</t>
  </si>
  <si>
    <t>durante el trimestre  1 de julio a 30 de septiembre 
se realizaron 7 sesiones de trabajo comunitario en las localidad santa fe - candelaria</t>
  </si>
  <si>
    <t>Mes        Ingresos        Registros       % Ejec. 
Jul                5                    5               100
Ago             22                  22               100
Sep             14                   14               100            
3er trim        41                   41               100</t>
  </si>
  <si>
    <t>No se reportaron evidencias</t>
  </si>
  <si>
    <t>No se ha ejecutado</t>
  </si>
  <si>
    <t>musi</t>
  </si>
  <si>
    <t>El cumplimiento de  la meta física a Septiembre 30 de 2016 esta en 80,,1</t>
  </si>
  <si>
    <t>De 93 DP que ingresaron para CNJ, Obras, EC y EP quedaron con respuesta parcial 7</t>
  </si>
  <si>
    <t>Orfeo</t>
  </si>
  <si>
    <t>De 74 DP que ingresaron para CNJ, Obras, EC y EP quedaron con respuesta parcial 11</t>
  </si>
  <si>
    <t xml:space="preserve">De octubre a diciembre se llevaron a cabo las siguientes campañas:
1 mi espacio es bogota yo cuido mi barrio.
2. Nuesttro jardin en la 19 
3. Todos por el centro.
4. bogota se pinta de colores dia de halloween 
5. festival macarenazo
6. territorio de paz, se prepara para el Día Internacional de la Eliminación de la Violencia contra la Mujer
7. novenas santa fe
8. plan navidad san victorino
9. difusión eventos distritales y alianzas con diversos sectores de gobierno. </t>
  </si>
  <si>
    <t>No se formulo plan de comunicaciones 2016</t>
  </si>
  <si>
    <t xml:space="preserve">Se mantienen las estrategias permanente de:
1 Cartelera de cumpleaños, de punto informativo en entidades laborales, deinformacion entidades y una de IDU
2  Redes sociales externo permanente de asuntos y eventos de relevancia pag web, facebook y twiter
3  Reuniones permanentes con el Consejo Local de Comunicación
4  Apoyo en medios  comunitariso
5  Youtube.
</t>
  </si>
  <si>
    <t>Se publicaron las modificaciones acumuladas a Julio del Plan Anual de Adquisiciones que fueron aprobadas en el comité de contratación de Julio</t>
  </si>
  <si>
    <t>Se publicaron las modificaciones acumuladas de Agosto a Diciembre del Plan Anual de Adquisiciones  que fueron aprobadas en el comité de contratación de Diciembre</t>
  </si>
  <si>
    <t>El presupuesto inicial fue de  $18.919.228.000 y en Juliio se realizó una modificación por $1.274.357.457 para un nuevo presupuesto base de $20.193.585.457  y a Septiembre se ha comprometido $4.033.8636.498 que equivale a 19,98%
Jul   $262.222.842
Ago  $766.355.926
Sep  $183.981.025
Total 3er trimestre  $1.229.108.806</t>
  </si>
  <si>
    <t>El presupuesto inicial fue de  $18.919.228.000 y en Juliio se realizó una modificación por $1.274.357.457 para un nuevo presupuesto base de $20.193.585.457  y a Diciembre se ha comprometido $18,058,590,707 que equivale a 89,43%
Oct   $54,237,256
Nov  $92,305,856
Dic  $13,878,181,097
Total 4o trimestre  $13.970.486.953</t>
  </si>
  <si>
    <t>El presupuesto inicial fue de $18.919.228.000 y a septiembre se ha girado  $1.330.107.782 que equivale a 6,59%
Jul      $186.053.702
Ago    $131.967.256
Sep     $230.796.094
Total 3er trimestre  $299.857.369</t>
  </si>
  <si>
    <t>El presupuesto inicial fue de $18.919.228.000 y a Noviembre se ha girado  $ 2,709,859,320 que equivale a 13,42%
Oct   $246,076,923
Nov  $268,592,793
Dic  $ 865,081,822
Total 4o trimestre  $1.379.751.538</t>
  </si>
  <si>
    <t xml:space="preserve">El valor base final  del rubro 3.3.6 al final al 31 de diciembre de 2015   fue de $19.117.432.  En abril se realizó una juste de -$7.241.681.,489  para un nuevo valor base de $11.875,750.511. El acumulado de giros  al 30 de Junio 2016 fue de $5.349.328.114
El valor base final del rubro 3.1.8 al 31 de diciembre de 2015 fue de $579,180,000   En abril se realizó una juste de -$272.736.528  para un nuevo valor base de -$272.736.528 y el acumulado de giro al 31 de junio 2016 fue de $151,010,935
Así, el valor base total de obligaciones por pagar es de $11.875.750.511
Para un valor total de giros de obligaciones por pagar de $5.500.339.049
</t>
  </si>
  <si>
    <t xml:space="preserve">El valor base final  del rubro 3.3.6 al final al 31 de diciembre de 2015   fue de $19.117.432.  En abril se realizó una juste de -$7.241.681.,489  para un nuevo valor base de $11.875,750.511. El acumulado de giros  al 30 de Septiembre 2016 fue de $
El valor base final del rubro 3.1.8 al 31 de diciembre de 2015 fue de $579,180,000   En abril se realizó  una juste de -$272.736.528  para un nuevo valor base de -$306,443.474 y el acumulado de giro al 31 de septiembre  2016 fue de $261.837.768
Así, el valor base total de obligaciones por pagar es de $11.875.750.511
Para un valor total de giros de obligaciones por pagar de $5.500.339.049
</t>
  </si>
  <si>
    <t xml:space="preserve">El valor base final  del rubro 3.3.6 al final al 31 de diciembre de 2015   fue de $19.117.432.  En abril se realizó un ajuste de -$7.241.681.,489  para un nuevo valor base de $11.875,750.511. El acumulado de giros  al 30 de Diciembre 2016 fue de $9.145.832.313
El valor base final del rubro 3.1.8 al 31 de diciembre de 2015 fue de $579,180,000   En abril se realizó  una juste de -$272.736.528  para un nuevo valor base de $306,443.474 y el acumulado de giro al 31 de Diciembre 2016 fue de $297.350.964
Así, el valor base total de obligaciones por pagar es de $12.182.193.985
Para un valor total de giros de obligaciones por pagar de $9.443.183.277
</t>
  </si>
  <si>
    <t xml:space="preserve">   Mes                          Pagado            Programado     % Ejec. 
Jul                           367.431.164         368.353.288        99,75%
Ago                         849.145.152         855.196.189        99,29%
Sep                          777,601,802         778,138,941       99,93%
3er trimestre          2.324.773,564       2.327.672.257       99,88%</t>
  </si>
  <si>
    <t xml:space="preserve">   Mes                          Pagado            Programado     % Ejec. 
Oct                         993.916.468        997.665.176        99,62%
Nov                      1.086.475.837       1.087.476.190       99,91%
Dic                      1,900,035,593       1,901,240,581       99,94%
4o  trimestre         3.980.427.898      3.986.381.947       99,85%</t>
  </si>
  <si>
    <t xml:space="preserve"> Mes        Ingresos        Registros   % Ejec. 
    Oct            1                   1             100
   Nov             0                   0             100
   Dic              4                  4              100                      
4to trim          5                   5              100</t>
  </si>
  <si>
    <t xml:space="preserve"> Mes        Egresos        Registros   % Ejec. 
    Oct            1                   1             100
   Nov             0                   0             100
   Dic              4                  4              100                      
4to trim          5                   5              100</t>
  </si>
  <si>
    <t>Mes        Recibidas        En trámite   % Ejec. 
Ene               167                2             1,2%
Feb                183                5             2,7%
 Mar                98               11             1,1%             
1er trim          448               18             4,02%</t>
  </si>
  <si>
    <t xml:space="preserve"> Mes        Derechos       Respuesta                % 
                Petición         Fuera Tiempo   Incumplimiento.
    Oct          100                      0                   0
   Nov           101                      4                   4
   Dic             74                      1                   1                      
4to trim         275                     5                   2</t>
  </si>
  <si>
    <t>Revisión Orfeo a 31 Dic 2016</t>
  </si>
  <si>
    <t>se dictan los siguientes actos administrativos dentro de las actuaciones de ley 232 de 1995: archivos 34, pliego de cargos 7, revocatoria 1, perdida de fuerza ejecutoria 3, recursos 2.    Se supera en el trimestre el numero de actos a dictar, ya que dentro de los compromisos, estaba en el cumplir con los actos de los trimestres anteriores en donde no se cumplio la meta</t>
  </si>
  <si>
    <t>SE DICTARON 4 FALLOS DE PRIMERA VEZ EN EXPEDIENTES DE LOS SIGUIENTES AÑOS: 1 DEL 2014, 1 DEL 2013, 1 DEL 2003 Y 1 DEL 2009.  TODOS DE ESTABLECIMIENTOS DE COMERCIO. Formula 4/136</t>
  </si>
  <si>
    <t>SE DICTARON 2 FALLOS DE PRIMERA VEZ EN EXPEDIENES DE LOS SIGUIENTES AÑOS: 1 DE 2010 Y 1 DE 2014, DE ESTABLECIMIENTOS DE COMERCIO.  Formula 2/136</t>
  </si>
  <si>
    <t>SE DICTARON 8 FALLOS DE PRIMERA INSTANCIA, DE ESTABLECIMIENTOS DE COMERCIO. SE AUMENTARON LOS  FALLOS DE PRIMERA INSTANCIA.  Formula 8/136</t>
  </si>
  <si>
    <t>se dicta 4 actos administrativos de primera vez en actuaciones administrativas de ley 232 de 1995, las cuales equivalen al 2.9% de la base. Formula 4/136</t>
  </si>
  <si>
    <t>sobre los 24 fallos pendientes para el cumplimiento de la meta realizaon 25 cumpliendo la meta anual por cuanto se cuenta con dos abogados de apoyo.</t>
  </si>
  <si>
    <t>SE DICTO 10 FALLOS DE PRIMERA VEZ EN EXPEDIENTE 100014E/15,100005E/14,100017E/14,10025E/14,1009E/15,10023E/13,100080E/16,100005E/15,10004E/13,10006E/14.  FALTA CUMPLIR LA ETAPA PROCESAL LO QUE ESTABLECE EL EL ARTICULO 47 DE LA LEY 1437 C.P.A.C.A. Formula 10/56</t>
  </si>
  <si>
    <t>Se dicto 22 fallos de primera vez en expedientes: 1000034e/15,100008e/14,100025e/13,1000014e/14,100021e/14,10022e/14,100003e/15,100030e/15,10018e/14,10008e/15, 10013e/14, 100009e/14,100022e/15, 100026e/15,10010e/14, 100027e/15, 10019e/14, 10004e/15, 100031e/15, 10013e/15, 100024e/13 y 100024e/15. Formula 22/56</t>
  </si>
  <si>
    <t>Se realizatron 11 sensibilizaciones en espacio público y manejo de ruido con artistas en la cra 7a.</t>
  </si>
  <si>
    <t>Se realizaron cinco sensibilizaciones a establecimientos de comercio, con el objeto de que los propietarios y/o administradeores de los establecimientos de comercio conozcan de la ley 232 de 1995, entidades en donde deben tramitar los documentos y las sanciones a que se exponen ante su incumplimiento, sensiblización para la no contratación de menores de edad sin el lleno de los requisitos legales; dicha intervervención se realizo en el sector de San Victorino.  Los operativos de espacio publico se realizarion en los sectores de la carrera 9 entre calles 22 a 19, con actividad de venta de equipos para discotecas, con el fin de evitar la ocupacion del espacion publico sus mercancias (bafles, cachivaches).</t>
  </si>
  <si>
    <t>se realizo 1 atividad de prevencion en  cerros orientales.</t>
  </si>
  <si>
    <t>Se incluyen tres del tercer trimestre que no fueron reportados a tiempo.
se realizaron los siguientes operativos: 2 de verificacion en el sector de san victorino de verificacion de venta de polvora, para lo cual se realizó recorrido total en el sector de San Victorino, espacio publico y centro comerciales., 3 a jugueterias junto con la autoridad sanitaria para verificacion de calidad de jugueteria, 3 a parqueaderos publicos, 3 a residencias, 1 a restaurantes, 1 a bares, 1 a recicladoras y 1 a tiendas.  Se supera la meta porque por la epoca navideña, se realizaron diferentes acompañamientos a autoridades locales por peticion de las mismas, para realizar intervenciones integrales de control.</t>
  </si>
  <si>
    <t>se programaron 10 operativos cumpliendo la meta. lo cuales se realizaron en zona de reserva ambiental en los diferentes poligonos</t>
  </si>
  <si>
    <t>se realizaron operaltivos de control a la indebida ocupacion del espacio publico en el sector de san victorino, cra 7 entre calles 26 a jimenez, cra 10 entre 22 y 23.  
Octubre 9, Noviembre 13 y diciembre 13 operativos</t>
  </si>
  <si>
    <t>En el trimestre llegaron 141 derechos de petición para Inspecciones, de los cuales 74 eran requerimientos para generar querellas.  De éstos 10 se archivaron previo a la conciliación quedando 64.   En el trimestre se realizaron 55 conciliaciones y 7 de ellas fueron satisfactorias.  Por lo la formula usada es 7/64</t>
  </si>
  <si>
    <t>Orfeo y Si ACTUA</t>
  </si>
  <si>
    <t xml:space="preserve">Tomando la linea base (718 expedientes) sobre el 25% programado (179)  los inspectores de policía fallaron 25 procesos reportados así
Inspección 3A: 10
Inspección 3C: 1
Inspección 3D: 14
Formula 25 / 718
</t>
  </si>
  <si>
    <t>En el año 2015 se recibieron durante el año 596 expedientes, equivaliendo el  20% a 119 expedientes, la linea base, para fallar en el presente año.  los inspectores de policía fallaron 44 procesos.
Formula 14 del trimestre anterior mas 44 de este trimestre = 56/596</t>
  </si>
  <si>
    <t>En el año 2015 se recibieron durante el año 596 expedientes, equivaliendo el  20% a 119 expedientes, la linea base, para fallar en el presente año.  los inspectores de policía fallaron 86 procesos. 
Se reportaron así
Inspección 3A  37
Inspección 3C: 47
Inspección 3D: 2
Formula 56 del trimestre anterior mas 86  de este trimestre = 142/596</t>
  </si>
  <si>
    <t>En el año 2015 se recibieron durante el año 596 expedientes, equivaliendo el  20% a 119 expedientes, la linea base, para fallar en el presente año.  los inspectores de policía fallaron 66 
Se reportaron así
Inspección 3A: 23
Inspección 3C: 14
Inspección 3D: 29
Formula 142  del trimestre anterior mas 66  de este trimestre = 208/596</t>
  </si>
  <si>
    <t>las querellas radicadas en el periodo 1 de octubre  a 30 de Diciembre fueron 74, de las cuales 10 se cerraron antes de conciliación.  La suma de los tiempos entre ser radicada y la primera conciliaciónde conciliación fue de 903 días.
Formula 903 / 64</t>
  </si>
  <si>
    <t>Del trimestre anterior habian 187 decomisos En el trimeste se recibieron 883 decomisos y se tramitaron 285 . Quedan activas 891</t>
  </si>
  <si>
    <t xml:space="preserve">La meta anual fue superada con antelación a contar con 132 informes técnicos de visita, a los cuales se suma 45 mas producidos entre octubre y noviembre del presente año.
</t>
  </si>
  <si>
    <t>No se reporta para el cuarto trimestre teniendo en cuenta que el Proceso ya no hace parte de la funcionalidad de la Secretaría Distrital De Gobierno según el Acuerdo 637 de 2016 y el Decreto 411 de 2016.</t>
  </si>
  <si>
    <t>Se realizaron tres sensibilizaciones en zona de la Candelaria</t>
  </si>
  <si>
    <t>SDG no dio lineamientos este año para continuar con los PICS</t>
  </si>
  <si>
    <t>En total se tienen 52 actividades (por error en los trimestres anteriores se tomo 40), de éstas se ejecutaron 42.
Las actividades no cumplidas son la 1, 5 y 10</t>
  </si>
  <si>
    <t>El cumplimiento de la meta física es de 80,9</t>
  </si>
  <si>
    <t>Musi</t>
  </si>
  <si>
    <t>Se cumplio cn la asitencia a la rendición de cuentas que fue la primera actividad establecida</t>
  </si>
  <si>
    <t>En en plan de acción se contemplaron 8 acciones de las cuales se cumplieron 8 quedando sin cumplir la acción 4 (Concertar dos acuerdos conrecursos en el ejercicio de territorialización)</t>
  </si>
  <si>
    <t>Carpeta CLG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</si>
</sst>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0" formatCode="dd/mm/yy"/>
    <numFmt numFmtId="181" formatCode="_-* #,##0.00\ _€_-;\-* #,##0.00\ _€_-;_-* \-??\ _€_-;_-@_-"/>
    <numFmt numFmtId="182" formatCode="* #,##0&quot;    &quot;;\-* #,##0&quot;    &quot;;* \-#&quot;    &quot;;@\ "/>
    <numFmt numFmtId="189" formatCode="0.0"/>
    <numFmt numFmtId="190" formatCode="0.0%"/>
  </numFmts>
  <fonts count="27">
    <font>
      <sz val="10"/>
      <name val="Arial"/>
      <family val="2"/>
    </font>
    <font>
      <sz val="11"/>
      <color indexed="8"/>
      <name val="Calibri"/>
      <family val="2"/>
    </font>
    <font>
      <sz val="11"/>
      <color indexed="8"/>
      <name val="Arial"/>
      <family val="2"/>
    </font>
    <font>
      <b/>
      <sz val="10"/>
      <name val="Arial"/>
      <family val="2"/>
      <charset val="1"/>
    </font>
    <font>
      <sz val="10"/>
      <color indexed="8"/>
      <name val="Arial"/>
      <family val="2"/>
      <charset val="1"/>
    </font>
    <font>
      <b/>
      <sz val="10"/>
      <color indexed="8"/>
      <name val="Arial"/>
      <family val="2"/>
      <charset val="1"/>
    </font>
    <font>
      <b/>
      <sz val="9"/>
      <color indexed="8"/>
      <name val="Arial"/>
      <family val="2"/>
      <charset val="1"/>
    </font>
    <font>
      <b/>
      <sz val="10"/>
      <color indexed="9"/>
      <name val="Arial"/>
      <family val="2"/>
      <charset val="1"/>
    </font>
    <font>
      <b/>
      <u/>
      <sz val="10"/>
      <color indexed="10"/>
      <name val="Arial"/>
      <family val="2"/>
      <charset val="1"/>
    </font>
    <font>
      <sz val="10"/>
      <color indexed="10"/>
      <name val="Arial"/>
      <family val="2"/>
      <charset val="1"/>
    </font>
    <font>
      <sz val="11"/>
      <color indexed="8"/>
      <name val="Arial"/>
      <family val="2"/>
      <charset val="1"/>
    </font>
    <font>
      <b/>
      <sz val="10"/>
      <color indexed="10"/>
      <name val="Arial"/>
      <family val="2"/>
      <charset val="1"/>
    </font>
    <font>
      <sz val="10"/>
      <color indexed="8"/>
      <name val="Arial"/>
      <family val="2"/>
      <charset val="128"/>
    </font>
    <font>
      <sz val="10"/>
      <color indexed="8"/>
      <name val="Arial"/>
      <family val="2"/>
    </font>
    <font>
      <sz val="10"/>
      <color indexed="12"/>
      <name val="Arial"/>
      <family val="2"/>
      <charset val="1"/>
    </font>
    <font>
      <sz val="10"/>
      <color indexed="10"/>
      <name val="Arial"/>
      <family val="2"/>
    </font>
    <font>
      <b/>
      <sz val="10"/>
      <color indexed="8"/>
      <name val="Arial"/>
      <family val="2"/>
    </font>
    <font>
      <b/>
      <sz val="10"/>
      <name val="Arial"/>
      <family val="2"/>
    </font>
    <font>
      <sz val="10"/>
      <name val="Arial"/>
      <family val="2"/>
      <charset val="1"/>
    </font>
    <font>
      <sz val="10"/>
      <color indexed="12"/>
      <name val="Arial"/>
      <family val="2"/>
    </font>
    <font>
      <sz val="8"/>
      <name val="Arial"/>
      <family val="2"/>
      <charset val="1"/>
    </font>
    <font>
      <sz val="9"/>
      <name val="Arial"/>
      <family val="2"/>
      <charset val="1"/>
    </font>
    <font>
      <sz val="10"/>
      <color indexed="9"/>
      <name val="Arial"/>
      <family val="2"/>
    </font>
    <font>
      <b/>
      <sz val="10"/>
      <color indexed="9"/>
      <name val="Arial"/>
      <family val="2"/>
    </font>
    <font>
      <sz val="10"/>
      <name val="Arial"/>
      <family val="2"/>
    </font>
    <font>
      <sz val="8"/>
      <name val="Arial"/>
      <family val="2"/>
    </font>
    <font>
      <sz val="12"/>
      <color rgb="FF000000"/>
      <name val="Arial"/>
      <family val="2"/>
    </font>
  </fonts>
  <fills count="16">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indexed="9"/>
        <bgColor indexed="26"/>
      </patternFill>
    </fill>
    <fill>
      <patternFill patternType="solid">
        <fgColor indexed="22"/>
        <bgColor indexed="31"/>
      </patternFill>
    </fill>
    <fill>
      <patternFill patternType="solid">
        <fgColor indexed="11"/>
        <bgColor indexed="49"/>
      </patternFill>
    </fill>
    <fill>
      <patternFill patternType="solid">
        <fgColor indexed="49"/>
        <bgColor indexed="40"/>
      </patternFill>
    </fill>
    <fill>
      <patternFill patternType="solid">
        <fgColor indexed="23"/>
        <bgColor indexed="55"/>
      </patternFill>
    </fill>
    <fill>
      <patternFill patternType="solid">
        <fgColor indexed="62"/>
        <bgColor indexed="56"/>
      </patternFill>
    </fill>
    <fill>
      <patternFill patternType="solid">
        <fgColor theme="0"/>
        <bgColor indexed="26"/>
      </patternFill>
    </fill>
    <fill>
      <patternFill patternType="solid">
        <fgColor theme="0"/>
        <bgColor indexed="22"/>
      </patternFill>
    </fill>
    <fill>
      <patternFill patternType="solid">
        <fgColor theme="0"/>
        <bgColor indexed="31"/>
      </patternFill>
    </fill>
    <fill>
      <patternFill patternType="solid">
        <fgColor theme="0"/>
        <bgColor indexed="64"/>
      </patternFill>
    </fill>
    <fill>
      <patternFill patternType="solid">
        <fgColor theme="0"/>
        <bgColor indexed="41"/>
      </patternFill>
    </fill>
  </fills>
  <borders count="27">
    <border>
      <left/>
      <right/>
      <top/>
      <bottom/>
      <diagonal/>
    </border>
    <border>
      <left style="thin">
        <color indexed="63"/>
      </left>
      <right style="thin">
        <color indexed="63"/>
      </right>
      <top style="thin">
        <color indexed="63"/>
      </top>
      <bottom style="thin">
        <color indexed="63"/>
      </bottom>
      <diagonal/>
    </border>
    <border>
      <left style="thick">
        <color indexed="63"/>
      </left>
      <right/>
      <top/>
      <bottom/>
      <diagonal/>
    </border>
    <border>
      <left style="thick">
        <color indexed="63"/>
      </left>
      <right/>
      <top/>
      <bottom style="thick">
        <color indexed="63"/>
      </bottom>
      <diagonal/>
    </border>
    <border>
      <left style="thick">
        <color indexed="63"/>
      </left>
      <right style="thick">
        <color indexed="63"/>
      </right>
      <top style="thick">
        <color indexed="63"/>
      </top>
      <bottom style="thick">
        <color indexed="63"/>
      </bottom>
      <diagonal/>
    </border>
    <border>
      <left style="thick">
        <color indexed="63"/>
      </left>
      <right/>
      <top style="thick">
        <color indexed="63"/>
      </top>
      <bottom/>
      <diagonal/>
    </border>
    <border>
      <left style="thick">
        <color indexed="8"/>
      </left>
      <right style="thick">
        <color indexed="8"/>
      </right>
      <top style="thick">
        <color indexed="8"/>
      </top>
      <bottom/>
      <diagonal/>
    </border>
    <border>
      <left style="medium">
        <color indexed="63"/>
      </left>
      <right style="medium">
        <color indexed="63"/>
      </right>
      <top style="medium">
        <color indexed="63"/>
      </top>
      <bottom style="medium">
        <color indexed="63"/>
      </bottom>
      <diagonal/>
    </border>
    <border>
      <left style="hair">
        <color indexed="8"/>
      </left>
      <right style="hair">
        <color indexed="8"/>
      </right>
      <top style="hair">
        <color indexed="8"/>
      </top>
      <bottom style="hair">
        <color indexed="8"/>
      </bottom>
      <diagonal/>
    </border>
    <border>
      <left style="thin">
        <color indexed="63"/>
      </left>
      <right/>
      <top style="thin">
        <color indexed="63"/>
      </top>
      <bottom/>
      <diagonal/>
    </border>
    <border>
      <left style="thin">
        <color indexed="63"/>
      </left>
      <right/>
      <top/>
      <bottom style="thin">
        <color indexed="63"/>
      </bottom>
      <diagonal/>
    </border>
    <border>
      <left style="thin">
        <color indexed="63"/>
      </left>
      <right style="thin">
        <color indexed="63"/>
      </right>
      <top/>
      <bottom/>
      <diagonal/>
    </border>
    <border>
      <left style="thin">
        <color indexed="63"/>
      </left>
      <right style="thin">
        <color indexed="63"/>
      </right>
      <top/>
      <bottom style="thin">
        <color indexed="63"/>
      </bottom>
      <diagonal/>
    </border>
    <border>
      <left style="thin">
        <color indexed="63"/>
      </left>
      <right style="thin">
        <color indexed="63"/>
      </right>
      <top style="thin">
        <color indexed="63"/>
      </top>
      <bottom/>
      <diagonal/>
    </border>
    <border>
      <left/>
      <right style="thin">
        <color indexed="63"/>
      </right>
      <top style="thin">
        <color indexed="63"/>
      </top>
      <bottom style="thin">
        <color indexed="63"/>
      </bottom>
      <diagonal/>
    </border>
    <border>
      <left/>
      <right style="thin">
        <color indexed="63"/>
      </right>
      <top style="thin">
        <color indexed="63"/>
      </top>
      <bottom/>
      <diagonal/>
    </border>
    <border>
      <left/>
      <right style="thin">
        <color indexed="63"/>
      </right>
      <top/>
      <bottom/>
      <diagonal/>
    </border>
    <border>
      <left style="thin">
        <color indexed="63"/>
      </left>
      <right style="medium">
        <color indexed="63"/>
      </right>
      <top style="thin">
        <color indexed="63"/>
      </top>
      <bottom style="thin">
        <color indexed="63"/>
      </bottom>
      <diagonal/>
    </border>
    <border>
      <left style="thick">
        <color indexed="63"/>
      </left>
      <right/>
      <top style="thick">
        <color indexed="63"/>
      </top>
      <bottom style="thick">
        <color indexed="63"/>
      </bottom>
      <diagonal/>
    </border>
    <border>
      <left style="thin">
        <color indexed="63"/>
      </left>
      <right/>
      <top style="thin">
        <color indexed="63"/>
      </top>
      <bottom style="thin">
        <color indexed="63"/>
      </bottom>
      <diagonal/>
    </border>
    <border>
      <left style="hair">
        <color indexed="8"/>
      </left>
      <right style="hair">
        <color indexed="8"/>
      </right>
      <top/>
      <bottom style="hair">
        <color indexed="8"/>
      </bottom>
      <diagonal/>
    </border>
    <border>
      <left style="thick">
        <color indexed="63"/>
      </left>
      <right style="thick">
        <color indexed="63"/>
      </right>
      <top/>
      <bottom style="thick">
        <color indexed="63"/>
      </bottom>
      <diagonal/>
    </border>
    <border>
      <left style="thick">
        <color indexed="63"/>
      </left>
      <right style="thick">
        <color indexed="63"/>
      </right>
      <top style="thick">
        <color indexed="63"/>
      </top>
      <bottom/>
      <diagonal/>
    </border>
    <border>
      <left style="thick">
        <color indexed="8"/>
      </left>
      <right style="thick">
        <color indexed="8"/>
      </right>
      <top style="thick">
        <color indexed="63"/>
      </top>
      <bottom/>
      <diagonal/>
    </border>
    <border>
      <left/>
      <right style="thick">
        <color indexed="8"/>
      </right>
      <top style="thick">
        <color indexed="8"/>
      </top>
      <bottom style="thick">
        <color indexed="8"/>
      </bottom>
      <diagonal/>
    </border>
    <border>
      <left style="thick">
        <color indexed="8"/>
      </left>
      <right style="thick">
        <color indexed="8"/>
      </right>
      <top style="thick">
        <color indexed="8"/>
      </top>
      <bottom style="thick">
        <color indexed="8"/>
      </bottom>
      <diagonal/>
    </border>
    <border>
      <left/>
      <right style="thin">
        <color indexed="63"/>
      </right>
      <top/>
      <bottom style="thin">
        <color indexed="63"/>
      </bottom>
      <diagonal/>
    </border>
  </borders>
  <cellStyleXfs count="9">
    <xf numFmtId="0" fontId="0" fillId="0" borderId="0"/>
    <xf numFmtId="0" fontId="24" fillId="2" borderId="0" applyNumberFormat="0" applyBorder="0" applyAlignment="0" applyProtection="0"/>
    <xf numFmtId="0" fontId="10" fillId="0" borderId="0"/>
    <xf numFmtId="181" fontId="24" fillId="0" borderId="0" applyFill="0" applyBorder="0" applyAlignment="0" applyProtection="0"/>
    <xf numFmtId="0" fontId="1" fillId="0" borderId="0"/>
    <xf numFmtId="9" fontId="24" fillId="0" borderId="0" applyFill="0" applyBorder="0" applyAlignment="0" applyProtection="0"/>
    <xf numFmtId="0" fontId="24" fillId="3" borderId="0" applyNumberFormat="0" applyBorder="0" applyAlignment="0" applyProtection="0"/>
    <xf numFmtId="0" fontId="2" fillId="0" borderId="0"/>
    <xf numFmtId="0" fontId="24" fillId="4" borderId="0" applyNumberFormat="0" applyBorder="0" applyAlignment="0" applyProtection="0"/>
  </cellStyleXfs>
  <cellXfs count="231">
    <xf numFmtId="0" fontId="0" fillId="0" borderId="0" xfId="0"/>
    <xf numFmtId="0" fontId="0" fillId="5" borderId="2" xfId="4" applyFont="1" applyFill="1" applyBorder="1" applyAlignment="1" applyProtection="1">
      <alignment horizontal="center"/>
    </xf>
    <xf numFmtId="0" fontId="0" fillId="0" borderId="0" xfId="0" applyNumberFormat="1"/>
    <xf numFmtId="0" fontId="0" fillId="5" borderId="3" xfId="4" applyFont="1" applyFill="1" applyBorder="1" applyAlignment="1" applyProtection="1">
      <alignment horizontal="center" vertical="center" wrapText="1"/>
    </xf>
    <xf numFmtId="0" fontId="4" fillId="5" borderId="4" xfId="4" applyFont="1" applyFill="1" applyBorder="1" applyAlignment="1" applyProtection="1">
      <alignment horizontal="center" wrapText="1"/>
    </xf>
    <xf numFmtId="10" fontId="24" fillId="0" borderId="0" xfId="5" applyNumberFormat="1" applyFill="1" applyBorder="1" applyAlignment="1" applyProtection="1"/>
    <xf numFmtId="0" fontId="5" fillId="5" borderId="4" xfId="4" applyFont="1" applyFill="1" applyBorder="1" applyAlignment="1" applyProtection="1">
      <alignment horizontal="center"/>
    </xf>
    <xf numFmtId="0" fontId="5" fillId="5" borderId="4" xfId="4" applyFont="1" applyFill="1" applyBorder="1" applyAlignment="1" applyProtection="1">
      <alignment horizontal="center" wrapText="1"/>
    </xf>
    <xf numFmtId="0" fontId="5" fillId="6" borderId="5" xfId="4" applyFont="1" applyFill="1" applyBorder="1" applyAlignment="1" applyProtection="1">
      <alignment horizontal="center" vertical="center" wrapText="1"/>
    </xf>
    <xf numFmtId="0" fontId="5" fillId="6" borderId="4" xfId="4" applyFont="1" applyFill="1" applyBorder="1" applyAlignment="1" applyProtection="1">
      <alignment horizontal="center" vertical="center" wrapText="1"/>
    </xf>
    <xf numFmtId="0" fontId="3" fillId="0" borderId="0" xfId="0" applyFont="1"/>
    <xf numFmtId="0" fontId="6" fillId="6" borderId="6" xfId="0" applyFont="1" applyFill="1" applyBorder="1" applyAlignment="1" applyProtection="1">
      <alignment horizontal="center" vertical="center" wrapText="1"/>
      <protection locked="0"/>
    </xf>
    <xf numFmtId="0" fontId="4" fillId="5" borderId="7" xfId="4" applyFont="1" applyFill="1" applyBorder="1" applyAlignment="1" applyProtection="1">
      <alignment horizontal="center" vertical="center" wrapText="1"/>
    </xf>
    <xf numFmtId="0" fontId="0" fillId="0" borderId="7" xfId="0" applyFont="1" applyBorder="1" applyAlignment="1">
      <alignment horizontal="center" vertical="center" wrapText="1"/>
    </xf>
    <xf numFmtId="0" fontId="4" fillId="6" borderId="7" xfId="4" applyFont="1" applyFill="1" applyBorder="1" applyAlignment="1" applyProtection="1">
      <alignment horizontal="center" vertical="center" wrapText="1"/>
    </xf>
    <xf numFmtId="0" fontId="5" fillId="7" borderId="7" xfId="4" applyFont="1" applyFill="1" applyBorder="1" applyAlignment="1" applyProtection="1">
      <alignment horizontal="center" vertical="center" wrapText="1"/>
    </xf>
    <xf numFmtId="0" fontId="4" fillId="0" borderId="7" xfId="4" applyFont="1" applyFill="1" applyBorder="1" applyAlignment="1" applyProtection="1">
      <alignment horizontal="center" vertical="center" wrapText="1"/>
    </xf>
    <xf numFmtId="0" fontId="0" fillId="0" borderId="0" xfId="0" applyFill="1"/>
    <xf numFmtId="0" fontId="0" fillId="0" borderId="7" xfId="0" applyFont="1" applyFill="1" applyBorder="1" applyAlignment="1">
      <alignment horizontal="center" vertical="center" wrapText="1"/>
    </xf>
    <xf numFmtId="0" fontId="0" fillId="5" borderId="0" xfId="0" applyFill="1"/>
    <xf numFmtId="0" fontId="0" fillId="6" borderId="7" xfId="0" applyFill="1" applyBorder="1"/>
    <xf numFmtId="10" fontId="0" fillId="0" borderId="0" xfId="0" applyNumberFormat="1"/>
    <xf numFmtId="0" fontId="0" fillId="0" borderId="8" xfId="0" applyBorder="1"/>
    <xf numFmtId="0" fontId="22" fillId="8" borderId="1" xfId="0" applyFont="1" applyFill="1" applyBorder="1"/>
    <xf numFmtId="0" fontId="22" fillId="8" borderId="1" xfId="0" applyFont="1" applyFill="1" applyBorder="1" applyAlignment="1">
      <alignment horizontal="center" vertical="center" wrapText="1"/>
    </xf>
    <xf numFmtId="0" fontId="0" fillId="6" borderId="1" xfId="0" applyFont="1" applyFill="1" applyBorder="1" applyAlignment="1">
      <alignment vertical="center" wrapText="1"/>
    </xf>
    <xf numFmtId="9" fontId="17" fillId="0" borderId="1" xfId="5" applyFont="1" applyFill="1" applyBorder="1" applyAlignment="1" applyProtection="1">
      <alignment horizontal="center" vertical="center"/>
    </xf>
    <xf numFmtId="9" fontId="17" fillId="0" borderId="1" xfId="0" applyNumberFormat="1" applyFont="1" applyBorder="1" applyAlignment="1">
      <alignment horizontal="center" vertical="center"/>
    </xf>
    <xf numFmtId="0" fontId="23" fillId="9" borderId="9" xfId="0" applyFont="1" applyFill="1" applyBorder="1" applyAlignment="1">
      <alignment vertical="center" wrapText="1"/>
    </xf>
    <xf numFmtId="0" fontId="23" fillId="9" borderId="10" xfId="0" applyFont="1" applyFill="1" applyBorder="1" applyAlignment="1">
      <alignment vertical="center" wrapText="1"/>
    </xf>
    <xf numFmtId="0" fontId="23" fillId="9" borderId="11" xfId="0" applyFont="1" applyFill="1" applyBorder="1" applyAlignment="1">
      <alignment horizontal="center" vertical="center"/>
    </xf>
    <xf numFmtId="0" fontId="23" fillId="9" borderId="12" xfId="0" applyFont="1" applyFill="1" applyBorder="1" applyAlignment="1">
      <alignment horizontal="center" vertical="center" wrapText="1"/>
    </xf>
    <xf numFmtId="0" fontId="23" fillId="9" borderId="13" xfId="0" applyFont="1" applyFill="1" applyBorder="1" applyAlignment="1">
      <alignment vertical="center" textRotation="90" wrapText="1"/>
    </xf>
    <xf numFmtId="0" fontId="17" fillId="6" borderId="14" xfId="0" applyFont="1" applyFill="1" applyBorder="1" applyAlignment="1">
      <alignment horizontal="center" vertical="center" wrapText="1"/>
    </xf>
    <xf numFmtId="1" fontId="17" fillId="0" borderId="1" xfId="5" applyNumberFormat="1" applyFont="1" applyFill="1" applyBorder="1" applyAlignment="1" applyProtection="1">
      <alignment horizontal="center" vertical="center" wrapText="1"/>
    </xf>
    <xf numFmtId="9" fontId="17" fillId="0" borderId="1" xfId="5" applyNumberFormat="1" applyFont="1" applyFill="1" applyBorder="1" applyAlignment="1" applyProtection="1">
      <alignment horizontal="center" vertical="center" wrapText="1"/>
    </xf>
    <xf numFmtId="0" fontId="23" fillId="9" borderId="11" xfId="0" applyFont="1" applyFill="1" applyBorder="1" applyAlignment="1">
      <alignment vertical="center" textRotation="90" wrapText="1"/>
    </xf>
    <xf numFmtId="10" fontId="17" fillId="6" borderId="14" xfId="0" applyNumberFormat="1" applyFont="1" applyFill="1" applyBorder="1" applyAlignment="1">
      <alignment horizontal="center" vertical="center" wrapText="1"/>
    </xf>
    <xf numFmtId="0" fontId="23" fillId="9" borderId="12" xfId="0" applyFont="1" applyFill="1" applyBorder="1" applyAlignment="1">
      <alignment vertical="center" textRotation="90" wrapText="1"/>
    </xf>
    <xf numFmtId="0" fontId="0" fillId="0" borderId="0" xfId="0" applyFont="1" applyBorder="1" applyAlignment="1">
      <alignment horizontal="center" vertical="center" wrapText="1"/>
    </xf>
    <xf numFmtId="9" fontId="3" fillId="0" borderId="1" xfId="4" applyNumberFormat="1" applyFont="1" applyFill="1" applyBorder="1" applyAlignment="1" applyProtection="1">
      <alignment horizontal="center" vertical="center" wrapText="1"/>
    </xf>
    <xf numFmtId="0" fontId="3" fillId="0" borderId="1" xfId="4" applyNumberFormat="1" applyFont="1" applyFill="1" applyBorder="1" applyAlignment="1" applyProtection="1">
      <alignment horizontal="center" vertical="center" wrapText="1"/>
    </xf>
    <xf numFmtId="10" fontId="3" fillId="0" borderId="1" xfId="4" applyNumberFormat="1" applyFont="1" applyFill="1" applyBorder="1" applyAlignment="1" applyProtection="1">
      <alignment horizontal="center" vertical="center" wrapText="1"/>
    </xf>
    <xf numFmtId="0" fontId="22" fillId="9" borderId="15" xfId="0" applyFont="1" applyFill="1" applyBorder="1" applyAlignment="1">
      <alignment vertical="center" textRotation="90" wrapText="1"/>
    </xf>
    <xf numFmtId="1" fontId="3" fillId="0" borderId="1" xfId="4" applyNumberFormat="1" applyFont="1" applyFill="1" applyBorder="1" applyAlignment="1" applyProtection="1">
      <alignment horizontal="center" vertical="center" wrapText="1"/>
    </xf>
    <xf numFmtId="0" fontId="22" fillId="9" borderId="16" xfId="0" applyFont="1" applyFill="1" applyBorder="1" applyAlignment="1">
      <alignment vertical="center" textRotation="90" wrapText="1"/>
    </xf>
    <xf numFmtId="0" fontId="22" fillId="9" borderId="13" xfId="0" applyFont="1" applyFill="1" applyBorder="1" applyAlignment="1">
      <alignment vertical="center" textRotation="90" wrapText="1"/>
    </xf>
    <xf numFmtId="9" fontId="17" fillId="0" borderId="1" xfId="5" applyFont="1" applyFill="1" applyBorder="1" applyAlignment="1" applyProtection="1">
      <alignment horizontal="center" vertical="center" wrapText="1"/>
    </xf>
    <xf numFmtId="0" fontId="22" fillId="9" borderId="11" xfId="0" applyFont="1" applyFill="1" applyBorder="1" applyAlignment="1">
      <alignment vertical="center" textRotation="90" wrapText="1"/>
    </xf>
    <xf numFmtId="10" fontId="17" fillId="0" borderId="1" xfId="5" applyNumberFormat="1" applyFont="1" applyFill="1" applyBorder="1" applyAlignment="1" applyProtection="1">
      <alignment horizontal="center" vertical="center" wrapText="1"/>
    </xf>
    <xf numFmtId="0" fontId="22" fillId="9" borderId="12" xfId="0" applyFont="1" applyFill="1" applyBorder="1" applyAlignment="1">
      <alignment vertical="center" textRotation="90" wrapText="1"/>
    </xf>
    <xf numFmtId="0" fontId="24" fillId="11" borderId="7" xfId="4" applyFont="1" applyFill="1" applyBorder="1" applyAlignment="1" applyProtection="1">
      <alignment horizontal="center" vertical="center" wrapText="1"/>
    </xf>
    <xf numFmtId="9" fontId="8" fillId="11" borderId="7" xfId="4" applyNumberFormat="1" applyFont="1" applyFill="1" applyBorder="1" applyAlignment="1" applyProtection="1">
      <alignment horizontal="center" vertical="center" wrapText="1"/>
    </xf>
    <xf numFmtId="0" fontId="9" fillId="12" borderId="7" xfId="4" applyNumberFormat="1" applyFont="1" applyFill="1" applyBorder="1" applyAlignment="1" applyProtection="1">
      <alignment horizontal="center" vertical="center" wrapText="1"/>
    </xf>
    <xf numFmtId="0" fontId="24" fillId="12" borderId="7" xfId="4" applyNumberFormat="1" applyFont="1" applyFill="1" applyBorder="1" applyAlignment="1" applyProtection="1">
      <alignment horizontal="center" vertical="center" wrapText="1"/>
    </xf>
    <xf numFmtId="9" fontId="4" fillId="11" borderId="7" xfId="5" applyFont="1" applyFill="1" applyBorder="1" applyAlignment="1" applyProtection="1">
      <alignment horizontal="center" vertical="center" wrapText="1"/>
    </xf>
    <xf numFmtId="0" fontId="9" fillId="11" borderId="7" xfId="4" applyNumberFormat="1" applyFont="1" applyFill="1" applyBorder="1" applyAlignment="1" applyProtection="1">
      <alignment horizontal="center" vertical="center" wrapText="1"/>
    </xf>
    <xf numFmtId="0" fontId="24" fillId="11" borderId="7" xfId="4" applyNumberFormat="1" applyFont="1" applyFill="1" applyBorder="1" applyAlignment="1" applyProtection="1">
      <alignment horizontal="center" vertical="center" wrapText="1"/>
    </xf>
    <xf numFmtId="9" fontId="4" fillId="12" borderId="8" xfId="5" applyFont="1" applyFill="1" applyBorder="1" applyAlignment="1" applyProtection="1">
      <alignment horizontal="center" vertical="center" wrapText="1"/>
    </xf>
    <xf numFmtId="1" fontId="3" fillId="12" borderId="7" xfId="4" applyNumberFormat="1" applyFont="1" applyFill="1" applyBorder="1" applyAlignment="1" applyProtection="1">
      <alignment horizontal="center" vertical="center" wrapText="1"/>
    </xf>
    <xf numFmtId="9" fontId="3" fillId="12" borderId="8" xfId="5" applyFont="1" applyFill="1" applyBorder="1" applyAlignment="1" applyProtection="1">
      <alignment horizontal="center" vertical="center" wrapText="1"/>
    </xf>
    <xf numFmtId="9" fontId="3" fillId="12" borderId="7" xfId="5" applyFont="1" applyFill="1" applyBorder="1" applyAlignment="1" applyProtection="1">
      <alignment horizontal="center" vertical="center" wrapText="1"/>
    </xf>
    <xf numFmtId="182" fontId="4" fillId="11" borderId="7" xfId="3" applyNumberFormat="1" applyFont="1" applyFill="1" applyBorder="1" applyAlignment="1" applyProtection="1">
      <alignment horizontal="center" vertical="center" wrapText="1"/>
    </xf>
    <xf numFmtId="182" fontId="4" fillId="11" borderId="7" xfId="4" applyNumberFormat="1" applyFont="1" applyFill="1" applyBorder="1" applyAlignment="1" applyProtection="1">
      <alignment horizontal="center" vertical="center" wrapText="1"/>
    </xf>
    <xf numFmtId="10" fontId="4" fillId="11" borderId="7" xfId="4" applyNumberFormat="1" applyFont="1" applyFill="1" applyBorder="1" applyAlignment="1" applyProtection="1">
      <alignment horizontal="center" vertical="center" wrapText="1"/>
    </xf>
    <xf numFmtId="10" fontId="4" fillId="11" borderId="4" xfId="2" applyNumberFormat="1" applyFont="1" applyFill="1" applyBorder="1" applyAlignment="1" applyProtection="1">
      <alignment horizontal="center" vertical="center" wrapText="1"/>
    </xf>
    <xf numFmtId="0" fontId="0" fillId="13" borderId="7" xfId="0" applyFont="1" applyFill="1" applyBorder="1" applyAlignment="1" applyProtection="1">
      <alignment horizontal="center" vertical="center" wrapText="1"/>
      <protection locked="0"/>
    </xf>
    <xf numFmtId="9" fontId="0" fillId="13" borderId="7" xfId="0" applyNumberFormat="1" applyFill="1" applyBorder="1" applyAlignment="1">
      <alignment horizontal="left" vertical="center" wrapText="1"/>
    </xf>
    <xf numFmtId="9" fontId="0" fillId="13" borderId="7" xfId="0" applyNumberFormat="1" applyFill="1" applyBorder="1" applyAlignment="1">
      <alignment horizontal="center" vertical="center" wrapText="1"/>
    </xf>
    <xf numFmtId="0" fontId="0" fillId="14" borderId="7" xfId="0" applyFont="1" applyFill="1" applyBorder="1" applyAlignment="1" applyProtection="1">
      <alignment horizontal="center" vertical="center" wrapText="1"/>
      <protection locked="0"/>
    </xf>
    <xf numFmtId="0" fontId="0" fillId="14" borderId="7" xfId="0" applyFill="1" applyBorder="1" applyAlignment="1">
      <alignment horizontal="justify" vertical="center" wrapText="1"/>
    </xf>
    <xf numFmtId="0" fontId="0" fillId="11" borderId="7" xfId="0" applyFont="1" applyFill="1" applyBorder="1" applyAlignment="1" applyProtection="1">
      <alignment horizontal="center" vertical="center" wrapText="1"/>
      <protection locked="0"/>
    </xf>
    <xf numFmtId="9" fontId="0" fillId="11" borderId="7" xfId="0" applyNumberFormat="1" applyFill="1" applyBorder="1" applyAlignment="1">
      <alignment horizontal="left" vertical="center" wrapText="1"/>
    </xf>
    <xf numFmtId="0" fontId="0" fillId="13" borderId="7" xfId="0" applyFill="1" applyBorder="1" applyAlignment="1" applyProtection="1">
      <alignment horizontal="center" vertical="center" wrapText="1"/>
      <protection locked="0"/>
    </xf>
    <xf numFmtId="0" fontId="0" fillId="14" borderId="7" xfId="0" applyFont="1" applyFill="1" applyBorder="1" applyAlignment="1">
      <alignment horizontal="justify" vertical="center" wrapText="1"/>
    </xf>
    <xf numFmtId="0" fontId="0" fillId="14" borderId="7" xfId="0" applyFill="1" applyBorder="1" applyAlignment="1">
      <alignment horizontal="center" vertical="center" wrapText="1"/>
    </xf>
    <xf numFmtId="9" fontId="0" fillId="14" borderId="7" xfId="0" applyNumberFormat="1" applyFill="1" applyBorder="1" applyAlignment="1">
      <alignment horizontal="left" vertical="center" wrapText="1"/>
    </xf>
    <xf numFmtId="9" fontId="4" fillId="12" borderId="7" xfId="5" applyFont="1" applyFill="1" applyBorder="1" applyAlignment="1" applyProtection="1">
      <alignment horizontal="center" vertical="center" wrapText="1"/>
    </xf>
    <xf numFmtId="9" fontId="0" fillId="13" borderId="7" xfId="0" applyNumberFormat="1" applyFill="1" applyBorder="1" applyAlignment="1">
      <alignment horizontal="justify" vertical="center" wrapText="1"/>
    </xf>
    <xf numFmtId="9" fontId="0" fillId="13" borderId="7" xfId="0" applyNumberFormat="1" applyFont="1" applyFill="1" applyBorder="1" applyAlignment="1">
      <alignment horizontal="justify" vertical="center" wrapText="1"/>
    </xf>
    <xf numFmtId="0" fontId="0" fillId="11" borderId="7" xfId="0" applyFill="1" applyBorder="1" applyAlignment="1">
      <alignment horizontal="justify" vertical="center" wrapText="1"/>
    </xf>
    <xf numFmtId="0" fontId="4" fillId="14" borderId="7" xfId="4" applyFont="1" applyFill="1" applyBorder="1" applyAlignment="1" applyProtection="1">
      <alignment horizontal="center" vertical="center" wrapText="1"/>
    </xf>
    <xf numFmtId="9" fontId="11" fillId="14" borderId="7" xfId="5" applyNumberFormat="1" applyFont="1" applyFill="1" applyBorder="1" applyAlignment="1" applyProtection="1">
      <alignment horizontal="center" vertical="center" wrapText="1"/>
    </xf>
    <xf numFmtId="0" fontId="24" fillId="14" borderId="7" xfId="4" applyFont="1" applyFill="1" applyBorder="1" applyAlignment="1" applyProtection="1">
      <alignment horizontal="center" vertical="center" wrapText="1"/>
    </xf>
    <xf numFmtId="9" fontId="9" fillId="12" borderId="7" xfId="4" applyNumberFormat="1" applyFont="1" applyFill="1" applyBorder="1" applyAlignment="1" applyProtection="1">
      <alignment horizontal="center" vertical="center" wrapText="1"/>
    </xf>
    <xf numFmtId="9" fontId="24" fillId="12" borderId="7" xfId="5" applyFont="1" applyFill="1" applyBorder="1" applyAlignment="1" applyProtection="1">
      <alignment horizontal="center" vertical="center" wrapText="1"/>
    </xf>
    <xf numFmtId="9" fontId="9" fillId="14" borderId="7" xfId="4" applyNumberFormat="1" applyFont="1" applyFill="1" applyBorder="1" applyAlignment="1" applyProtection="1">
      <alignment horizontal="center" vertical="center" wrapText="1"/>
    </xf>
    <xf numFmtId="9" fontId="24" fillId="14" borderId="7" xfId="4" applyNumberFormat="1" applyFont="1" applyFill="1" applyBorder="1" applyAlignment="1" applyProtection="1">
      <alignment horizontal="center" vertical="center" wrapText="1"/>
    </xf>
    <xf numFmtId="9" fontId="4" fillId="14" borderId="7" xfId="5" applyFont="1" applyFill="1" applyBorder="1" applyAlignment="1" applyProtection="1">
      <alignment horizontal="center" vertical="center" wrapText="1"/>
    </xf>
    <xf numFmtId="0" fontId="24" fillId="14" borderId="7" xfId="4" applyNumberFormat="1" applyFont="1" applyFill="1" applyBorder="1" applyAlignment="1" applyProtection="1">
      <alignment horizontal="center" vertical="center" wrapText="1"/>
    </xf>
    <xf numFmtId="9" fontId="3" fillId="12" borderId="7" xfId="5" applyNumberFormat="1" applyFont="1" applyFill="1" applyBorder="1" applyAlignment="1" applyProtection="1">
      <alignment horizontal="center" vertical="center" wrapText="1"/>
    </xf>
    <xf numFmtId="9" fontId="3" fillId="14" borderId="7" xfId="5" applyFont="1" applyFill="1" applyBorder="1" applyAlignment="1" applyProtection="1">
      <alignment horizontal="center" vertical="center" wrapText="1"/>
    </xf>
    <xf numFmtId="10" fontId="3" fillId="12" borderId="7" xfId="5" applyNumberFormat="1" applyFont="1" applyFill="1" applyBorder="1" applyAlignment="1" applyProtection="1">
      <alignment horizontal="center" vertical="center" wrapText="1"/>
    </xf>
    <xf numFmtId="0" fontId="4" fillId="14" borderId="7" xfId="4" applyFont="1" applyFill="1" applyBorder="1" applyAlignment="1">
      <alignment horizontal="center" vertical="center" wrapText="1"/>
    </xf>
    <xf numFmtId="9" fontId="0" fillId="13" borderId="7" xfId="0" applyNumberFormat="1" applyFont="1" applyFill="1" applyBorder="1" applyAlignment="1" applyProtection="1">
      <alignment horizontal="center" vertical="center" wrapText="1"/>
      <protection locked="0"/>
    </xf>
    <xf numFmtId="0" fontId="0" fillId="13" borderId="7" xfId="0" applyFill="1" applyBorder="1" applyAlignment="1">
      <alignment horizontal="justify" vertical="center" wrapText="1"/>
    </xf>
    <xf numFmtId="10" fontId="0" fillId="14" borderId="7" xfId="0" applyNumberFormat="1" applyFont="1" applyFill="1" applyBorder="1" applyAlignment="1" applyProtection="1">
      <alignment horizontal="center" vertical="center" wrapText="1"/>
      <protection locked="0"/>
    </xf>
    <xf numFmtId="9" fontId="0" fillId="14" borderId="7" xfId="0" applyNumberFormat="1" applyFont="1" applyFill="1" applyBorder="1" applyAlignment="1" applyProtection="1">
      <alignment horizontal="center" vertical="center" wrapText="1"/>
      <protection locked="0"/>
    </xf>
    <xf numFmtId="9" fontId="0" fillId="14" borderId="7" xfId="0" applyNumberFormat="1" applyFill="1" applyBorder="1" applyAlignment="1">
      <alignment horizontal="center" vertical="center" wrapText="1"/>
    </xf>
    <xf numFmtId="9" fontId="0" fillId="13" borderId="7" xfId="0" applyNumberFormat="1" applyFill="1" applyBorder="1" applyAlignment="1" applyProtection="1">
      <alignment horizontal="center" vertical="center" wrapText="1"/>
      <protection locked="0"/>
    </xf>
    <xf numFmtId="9" fontId="24" fillId="14" borderId="7" xfId="5" applyFill="1" applyBorder="1" applyAlignment="1" applyProtection="1">
      <alignment horizontal="center" vertical="center" wrapText="1"/>
      <protection locked="0"/>
    </xf>
    <xf numFmtId="0" fontId="4" fillId="11" borderId="7" xfId="4" applyFont="1" applyFill="1" applyBorder="1" applyAlignment="1" applyProtection="1">
      <alignment horizontal="center" vertical="center" wrapText="1"/>
    </xf>
    <xf numFmtId="9" fontId="11" fillId="11" borderId="7" xfId="5" applyNumberFormat="1" applyFont="1" applyFill="1" applyBorder="1" applyAlignment="1" applyProtection="1">
      <alignment horizontal="center" vertical="center" wrapText="1"/>
    </xf>
    <xf numFmtId="9" fontId="9" fillId="11" borderId="7" xfId="4" applyNumberFormat="1" applyFont="1" applyFill="1" applyBorder="1" applyAlignment="1" applyProtection="1">
      <alignment horizontal="center" vertical="center" wrapText="1"/>
    </xf>
    <xf numFmtId="9" fontId="24" fillId="11" borderId="7" xfId="5" applyFont="1" applyFill="1" applyBorder="1" applyAlignment="1" applyProtection="1">
      <alignment horizontal="center" vertical="center" wrapText="1"/>
    </xf>
    <xf numFmtId="9" fontId="5" fillId="12" borderId="7" xfId="5" applyFont="1" applyFill="1" applyBorder="1" applyAlignment="1" applyProtection="1">
      <alignment horizontal="center" vertical="center" wrapText="1"/>
    </xf>
    <xf numFmtId="10" fontId="24" fillId="11" borderId="7" xfId="4" applyNumberFormat="1" applyFont="1" applyFill="1" applyBorder="1" applyAlignment="1" applyProtection="1">
      <alignment horizontal="center" vertical="center" wrapText="1"/>
    </xf>
    <xf numFmtId="3" fontId="4" fillId="11" borderId="4" xfId="2" applyNumberFormat="1" applyFont="1" applyFill="1" applyBorder="1" applyAlignment="1" applyProtection="1">
      <alignment horizontal="center" vertical="center" wrapText="1"/>
    </xf>
    <xf numFmtId="9" fontId="24" fillId="14" borderId="7" xfId="5" applyFont="1" applyFill="1" applyBorder="1" applyAlignment="1" applyProtection="1">
      <alignment horizontal="center" vertical="center" wrapText="1"/>
    </xf>
    <xf numFmtId="10" fontId="24" fillId="14" borderId="7" xfId="4" applyNumberFormat="1" applyFont="1" applyFill="1" applyBorder="1" applyAlignment="1" applyProtection="1">
      <alignment horizontal="center" vertical="center" wrapText="1"/>
    </xf>
    <xf numFmtId="10" fontId="4" fillId="14" borderId="7" xfId="4" applyNumberFormat="1" applyFont="1" applyFill="1" applyBorder="1" applyAlignment="1" applyProtection="1">
      <alignment horizontal="center" vertical="center" wrapText="1"/>
    </xf>
    <xf numFmtId="10" fontId="13" fillId="11" borderId="17" xfId="4" applyNumberFormat="1" applyFont="1" applyFill="1" applyBorder="1" applyAlignment="1" applyProtection="1">
      <alignment horizontal="center" vertical="center" wrapText="1"/>
    </xf>
    <xf numFmtId="9" fontId="24" fillId="13" borderId="7" xfId="5" applyFill="1" applyBorder="1" applyAlignment="1" applyProtection="1">
      <alignment horizontal="center" vertical="center" wrapText="1"/>
      <protection locked="0"/>
    </xf>
    <xf numFmtId="10" fontId="10" fillId="14" borderId="7" xfId="0" applyNumberFormat="1" applyFont="1" applyFill="1" applyBorder="1" applyAlignment="1" applyProtection="1">
      <alignment horizontal="center" vertical="center" wrapText="1"/>
      <protection locked="0"/>
    </xf>
    <xf numFmtId="9" fontId="0" fillId="14" borderId="7" xfId="0" applyNumberFormat="1" applyFont="1" applyFill="1" applyBorder="1" applyAlignment="1">
      <alignment horizontal="center" vertical="center" wrapText="1"/>
    </xf>
    <xf numFmtId="9" fontId="0" fillId="11" borderId="7" xfId="0" applyNumberFormat="1" applyFont="1" applyFill="1" applyBorder="1" applyAlignment="1" applyProtection="1">
      <alignment horizontal="center" vertical="center" wrapText="1"/>
    </xf>
    <xf numFmtId="9" fontId="24" fillId="14" borderId="7" xfId="5" applyNumberFormat="1" applyFont="1" applyFill="1" applyBorder="1" applyAlignment="1" applyProtection="1">
      <alignment horizontal="center" vertical="center" wrapText="1"/>
      <protection locked="0"/>
    </xf>
    <xf numFmtId="9" fontId="0" fillId="14" borderId="8" xfId="0" applyNumberFormat="1" applyFill="1" applyBorder="1" applyAlignment="1">
      <alignment horizontal="left" vertical="center" wrapText="1"/>
    </xf>
    <xf numFmtId="10" fontId="11" fillId="11" borderId="7" xfId="5" applyNumberFormat="1" applyFont="1" applyFill="1" applyBorder="1" applyAlignment="1" applyProtection="1">
      <alignment horizontal="center" vertical="center" wrapText="1"/>
    </xf>
    <xf numFmtId="9" fontId="24" fillId="12" borderId="7" xfId="4" applyNumberFormat="1" applyFont="1" applyFill="1" applyBorder="1" applyAlignment="1" applyProtection="1">
      <alignment horizontal="center" vertical="center" wrapText="1"/>
    </xf>
    <xf numFmtId="9" fontId="24" fillId="11" borderId="7" xfId="4" applyNumberFormat="1" applyFont="1" applyFill="1" applyBorder="1" applyAlignment="1" applyProtection="1">
      <alignment horizontal="center" vertical="center" wrapText="1"/>
    </xf>
    <xf numFmtId="9" fontId="3" fillId="12" borderId="7" xfId="4" applyNumberFormat="1" applyFont="1" applyFill="1" applyBorder="1" applyAlignment="1" applyProtection="1">
      <alignment horizontal="center" vertical="center" wrapText="1"/>
    </xf>
    <xf numFmtId="9" fontId="0" fillId="14" borderId="7" xfId="0" applyNumberFormat="1" applyFill="1" applyBorder="1" applyAlignment="1">
      <alignment horizontal="justify" vertical="center" wrapText="1"/>
    </xf>
    <xf numFmtId="0" fontId="16" fillId="11" borderId="7" xfId="4" applyFont="1" applyFill="1" applyBorder="1" applyAlignment="1" applyProtection="1">
      <alignment horizontal="center" vertical="center" wrapText="1"/>
    </xf>
    <xf numFmtId="0" fontId="0" fillId="14" borderId="7" xfId="0" applyFont="1" applyFill="1" applyBorder="1" applyAlignment="1">
      <alignment horizontal="center" vertical="center" wrapText="1"/>
    </xf>
    <xf numFmtId="0" fontId="0" fillId="13" borderId="7" xfId="0" applyNumberFormat="1" applyFill="1" applyBorder="1" applyAlignment="1" applyProtection="1">
      <alignment horizontal="center" vertical="center" wrapText="1"/>
      <protection locked="0"/>
    </xf>
    <xf numFmtId="0" fontId="24" fillId="12" borderId="7" xfId="5" applyNumberFormat="1" applyFont="1" applyFill="1" applyBorder="1" applyAlignment="1" applyProtection="1">
      <alignment horizontal="center" vertical="center" wrapText="1"/>
    </xf>
    <xf numFmtId="0" fontId="24" fillId="11" borderId="7" xfId="5" applyNumberFormat="1" applyFont="1" applyFill="1" applyBorder="1" applyAlignment="1" applyProtection="1">
      <alignment horizontal="center" vertical="center" wrapText="1"/>
    </xf>
    <xf numFmtId="0" fontId="3" fillId="12" borderId="7" xfId="5" applyNumberFormat="1" applyFont="1" applyFill="1" applyBorder="1" applyAlignment="1" applyProtection="1">
      <alignment horizontal="center" vertical="center" wrapText="1"/>
    </xf>
    <xf numFmtId="0" fontId="0" fillId="13" borderId="7" xfId="0" applyNumberFormat="1" applyFont="1" applyFill="1" applyBorder="1" applyAlignment="1" applyProtection="1">
      <alignment horizontal="center" vertical="center" wrapText="1"/>
      <protection locked="0"/>
    </xf>
    <xf numFmtId="0" fontId="0" fillId="14" borderId="7" xfId="0" applyNumberFormat="1" applyFont="1" applyFill="1" applyBorder="1" applyAlignment="1" applyProtection="1">
      <alignment horizontal="center" vertical="center" wrapText="1"/>
      <protection locked="0"/>
    </xf>
    <xf numFmtId="9" fontId="0" fillId="14" borderId="7" xfId="0" applyNumberFormat="1" applyFont="1" applyFill="1" applyBorder="1" applyAlignment="1">
      <alignment horizontal="justify" vertical="center" wrapText="1"/>
    </xf>
    <xf numFmtId="10" fontId="0" fillId="13" borderId="7" xfId="0" applyNumberFormat="1" applyFont="1" applyFill="1" applyBorder="1" applyAlignment="1" applyProtection="1">
      <alignment horizontal="center" vertical="center" wrapText="1"/>
      <protection locked="0"/>
    </xf>
    <xf numFmtId="9" fontId="18" fillId="11" borderId="8" xfId="0" applyNumberFormat="1" applyFont="1" applyFill="1" applyBorder="1" applyAlignment="1">
      <alignment horizontal="center" vertical="center" wrapText="1"/>
    </xf>
    <xf numFmtId="0" fontId="0" fillId="13" borderId="7" xfId="0" applyFont="1" applyFill="1" applyBorder="1" applyAlignment="1">
      <alignment horizontal="justify" vertical="center" wrapText="1"/>
    </xf>
    <xf numFmtId="0" fontId="4" fillId="11" borderId="18" xfId="2" applyFont="1" applyFill="1" applyBorder="1" applyAlignment="1" applyProtection="1">
      <alignment horizontal="center" vertical="center" wrapText="1"/>
    </xf>
    <xf numFmtId="9" fontId="0" fillId="11" borderId="7" xfId="0" applyNumberFormat="1" applyFont="1" applyFill="1" applyBorder="1" applyAlignment="1">
      <alignment horizontal="justify" vertical="center" wrapText="1"/>
    </xf>
    <xf numFmtId="9" fontId="0" fillId="11" borderId="7" xfId="0" applyNumberFormat="1" applyFill="1" applyBorder="1" applyAlignment="1">
      <alignment horizontal="justify" vertical="center" wrapText="1"/>
    </xf>
    <xf numFmtId="0" fontId="4" fillId="11" borderId="7" xfId="5" applyNumberFormat="1" applyFont="1" applyFill="1" applyBorder="1" applyAlignment="1" applyProtection="1">
      <alignment horizontal="center" vertical="center" wrapText="1"/>
    </xf>
    <xf numFmtId="0" fontId="18" fillId="11" borderId="8" xfId="0" applyFont="1" applyFill="1" applyBorder="1" applyAlignment="1">
      <alignment horizontal="center" vertical="center" wrapText="1"/>
    </xf>
    <xf numFmtId="0" fontId="4" fillId="11" borderId="7" xfId="0" applyNumberFormat="1" applyFont="1" applyFill="1" applyBorder="1" applyAlignment="1" applyProtection="1">
      <alignment horizontal="center" vertical="center" wrapText="1"/>
      <protection locked="0"/>
    </xf>
    <xf numFmtId="0" fontId="4" fillId="14" borderId="7" xfId="0" applyNumberFormat="1" applyFont="1" applyFill="1" applyBorder="1" applyAlignment="1" applyProtection="1">
      <alignment horizontal="center" vertical="center" wrapText="1"/>
      <protection locked="0"/>
    </xf>
    <xf numFmtId="0" fontId="24" fillId="11" borderId="19" xfId="4" applyFont="1" applyFill="1" applyBorder="1" applyAlignment="1" applyProtection="1">
      <alignment horizontal="center" vertical="center" wrapText="1"/>
    </xf>
    <xf numFmtId="0" fontId="26" fillId="14" borderId="0" xfId="0" applyFont="1" applyFill="1" applyAlignment="1">
      <alignment wrapText="1"/>
    </xf>
    <xf numFmtId="0" fontId="26" fillId="14" borderId="0" xfId="0" applyFont="1" applyFill="1" applyAlignment="1">
      <alignment vertical="center" wrapText="1"/>
    </xf>
    <xf numFmtId="9" fontId="4" fillId="12" borderId="7" xfId="5" applyNumberFormat="1" applyFont="1" applyFill="1" applyBorder="1" applyAlignment="1" applyProtection="1">
      <alignment horizontal="center" vertical="center" wrapText="1"/>
    </xf>
    <xf numFmtId="9" fontId="4" fillId="11" borderId="7" xfId="5" applyNumberFormat="1" applyFont="1" applyFill="1" applyBorder="1" applyAlignment="1" applyProtection="1">
      <alignment horizontal="center" vertical="center" wrapText="1"/>
    </xf>
    <xf numFmtId="189" fontId="0" fillId="13" borderId="7" xfId="0" applyNumberFormat="1" applyFont="1" applyFill="1" applyBorder="1" applyAlignment="1" applyProtection="1">
      <alignment horizontal="center" vertical="center" wrapText="1"/>
      <protection locked="0"/>
    </xf>
    <xf numFmtId="189" fontId="0" fillId="14" borderId="7" xfId="0" applyNumberFormat="1" applyFont="1" applyFill="1" applyBorder="1" applyAlignment="1" applyProtection="1">
      <alignment horizontal="center" vertical="center" wrapText="1"/>
      <protection locked="0"/>
    </xf>
    <xf numFmtId="2" fontId="0" fillId="13" borderId="7" xfId="0" applyNumberFormat="1" applyFont="1" applyFill="1" applyBorder="1" applyAlignment="1" applyProtection="1">
      <alignment horizontal="center" vertical="center" wrapText="1"/>
      <protection locked="0"/>
    </xf>
    <xf numFmtId="1" fontId="4" fillId="11" borderId="7" xfId="0" applyNumberFormat="1" applyFont="1" applyFill="1" applyBorder="1" applyAlignment="1" applyProtection="1">
      <alignment horizontal="center" vertical="center" wrapText="1"/>
      <protection locked="0"/>
    </xf>
    <xf numFmtId="0" fontId="0" fillId="14" borderId="0" xfId="0" applyFont="1" applyFill="1" applyAlignment="1">
      <alignment horizontal="center" vertical="center" wrapText="1"/>
    </xf>
    <xf numFmtId="0" fontId="0" fillId="13" borderId="7" xfId="0" applyNumberFormat="1" applyFont="1" applyFill="1" applyBorder="1" applyAlignment="1">
      <alignment horizontal="justify" vertical="center" wrapText="1"/>
    </xf>
    <xf numFmtId="0" fontId="18" fillId="14" borderId="7" xfId="4" applyFont="1" applyFill="1" applyBorder="1" applyAlignment="1" applyProtection="1">
      <alignment horizontal="center" vertical="center" wrapText="1"/>
    </xf>
    <xf numFmtId="0" fontId="4" fillId="12" borderId="7" xfId="5" applyNumberFormat="1" applyFont="1" applyFill="1" applyBorder="1" applyAlignment="1" applyProtection="1">
      <alignment horizontal="center" vertical="center" wrapText="1"/>
    </xf>
    <xf numFmtId="0" fontId="0" fillId="14" borderId="7" xfId="0" applyNumberFormat="1" applyFill="1" applyBorder="1" applyAlignment="1">
      <alignment horizontal="justify" vertical="center" wrapText="1"/>
    </xf>
    <xf numFmtId="0" fontId="9" fillId="12" borderId="7" xfId="5" applyNumberFormat="1" applyFont="1" applyFill="1" applyBorder="1" applyAlignment="1" applyProtection="1">
      <alignment horizontal="center" vertical="center" wrapText="1"/>
    </xf>
    <xf numFmtId="0" fontId="9" fillId="11" borderId="7" xfId="5" applyNumberFormat="1" applyFont="1" applyFill="1" applyBorder="1" applyAlignment="1" applyProtection="1">
      <alignment horizontal="center" vertical="center" wrapText="1"/>
    </xf>
    <xf numFmtId="1" fontId="24" fillId="11" borderId="7" xfId="5" applyNumberFormat="1" applyFill="1" applyBorder="1" applyAlignment="1" applyProtection="1">
      <alignment horizontal="center" vertical="center" wrapText="1"/>
    </xf>
    <xf numFmtId="1" fontId="3" fillId="12" borderId="7" xfId="5" applyNumberFormat="1" applyFont="1" applyFill="1" applyBorder="1" applyAlignment="1" applyProtection="1">
      <alignment horizontal="center" vertical="center" wrapText="1"/>
    </xf>
    <xf numFmtId="9" fontId="18" fillId="14" borderId="20" xfId="0" applyNumberFormat="1" applyFont="1" applyFill="1" applyBorder="1" applyAlignment="1">
      <alignment horizontal="center" vertical="center" wrapText="1"/>
    </xf>
    <xf numFmtId="0" fontId="4" fillId="11" borderId="21" xfId="2" applyFont="1" applyFill="1" applyBorder="1" applyAlignment="1" applyProtection="1">
      <alignment horizontal="center" vertical="center" wrapText="1"/>
    </xf>
    <xf numFmtId="1" fontId="20" fillId="11" borderId="7" xfId="0" applyNumberFormat="1" applyFont="1" applyFill="1" applyBorder="1" applyAlignment="1">
      <alignment horizontal="center" vertical="center" wrapText="1"/>
    </xf>
    <xf numFmtId="9" fontId="21" fillId="11" borderId="7" xfId="0" applyNumberFormat="1" applyFont="1" applyFill="1" applyBorder="1" applyAlignment="1">
      <alignment horizontal="center" vertical="center" wrapText="1"/>
    </xf>
    <xf numFmtId="9" fontId="0" fillId="15" borderId="7" xfId="0" applyNumberFormat="1" applyFill="1" applyBorder="1" applyAlignment="1">
      <alignment horizontal="center" vertical="center" wrapText="1"/>
    </xf>
    <xf numFmtId="9" fontId="18" fillId="14" borderId="8" xfId="0" applyNumberFormat="1" applyFont="1" applyFill="1" applyBorder="1" applyAlignment="1">
      <alignment horizontal="center" vertical="center" wrapText="1"/>
    </xf>
    <xf numFmtId="0" fontId="4" fillId="11" borderId="4" xfId="2" applyFont="1" applyFill="1" applyBorder="1" applyAlignment="1" applyProtection="1">
      <alignment horizontal="center" vertical="center" wrapText="1"/>
    </xf>
    <xf numFmtId="0" fontId="0" fillId="14" borderId="0" xfId="0" applyFill="1" applyAlignment="1">
      <alignment vertical="center" wrapText="1"/>
    </xf>
    <xf numFmtId="10" fontId="11" fillId="14" borderId="7" xfId="5" applyNumberFormat="1" applyFont="1" applyFill="1" applyBorder="1" applyAlignment="1" applyProtection="1">
      <alignment horizontal="center" vertical="center" wrapText="1"/>
    </xf>
    <xf numFmtId="9" fontId="9" fillId="12" borderId="7" xfId="5" applyNumberFormat="1" applyFont="1" applyFill="1" applyBorder="1" applyAlignment="1" applyProtection="1">
      <alignment horizontal="center" vertical="center" wrapText="1"/>
    </xf>
    <xf numFmtId="9" fontId="9" fillId="14" borderId="7" xfId="5" applyNumberFormat="1" applyFont="1" applyFill="1" applyBorder="1" applyAlignment="1" applyProtection="1">
      <alignment horizontal="center" vertical="center" wrapText="1"/>
    </xf>
    <xf numFmtId="1" fontId="24" fillId="14" borderId="7" xfId="4" applyNumberFormat="1" applyFont="1" applyFill="1" applyBorder="1" applyAlignment="1" applyProtection="1">
      <alignment horizontal="center" vertical="center" wrapText="1"/>
    </xf>
    <xf numFmtId="1" fontId="9" fillId="12" borderId="7" xfId="5" applyNumberFormat="1" applyFont="1" applyFill="1" applyBorder="1" applyAlignment="1" applyProtection="1">
      <alignment horizontal="center" vertical="center" wrapText="1"/>
    </xf>
    <xf numFmtId="1" fontId="9" fillId="14" borderId="7" xfId="5" applyNumberFormat="1" applyFont="1" applyFill="1" applyBorder="1" applyAlignment="1" applyProtection="1">
      <alignment horizontal="center" vertical="center" wrapText="1"/>
    </xf>
    <xf numFmtId="0" fontId="3" fillId="12" borderId="7" xfId="4" applyNumberFormat="1" applyFont="1" applyFill="1" applyBorder="1" applyAlignment="1" applyProtection="1">
      <alignment horizontal="center" vertical="center" wrapText="1"/>
    </xf>
    <xf numFmtId="0" fontId="4" fillId="11" borderId="7" xfId="4" applyFont="1" applyFill="1" applyBorder="1" applyAlignment="1">
      <alignment horizontal="center" vertical="center" wrapText="1"/>
    </xf>
    <xf numFmtId="0" fontId="4" fillId="14" borderId="7" xfId="0" applyFont="1" applyFill="1" applyBorder="1" applyAlignment="1" applyProtection="1">
      <alignment horizontal="center" vertical="center" wrapText="1"/>
      <protection locked="0"/>
    </xf>
    <xf numFmtId="9" fontId="9" fillId="11" borderId="7" xfId="5" applyNumberFormat="1" applyFont="1" applyFill="1" applyBorder="1" applyAlignment="1" applyProtection="1">
      <alignment horizontal="center" vertical="center" wrapText="1"/>
    </xf>
    <xf numFmtId="1" fontId="4" fillId="11" borderId="7" xfId="4" applyNumberFormat="1" applyFont="1" applyFill="1" applyBorder="1" applyAlignment="1" applyProtection="1">
      <alignment horizontal="center" vertical="center" wrapText="1"/>
    </xf>
    <xf numFmtId="9" fontId="9" fillId="12" borderId="7" xfId="5" applyFont="1" applyFill="1" applyBorder="1" applyAlignment="1" applyProtection="1">
      <alignment horizontal="center" vertical="center" wrapText="1"/>
    </xf>
    <xf numFmtId="9" fontId="9" fillId="11" borderId="7" xfId="5" applyFont="1" applyFill="1" applyBorder="1" applyAlignment="1" applyProtection="1">
      <alignment horizontal="center" vertical="center" wrapText="1"/>
    </xf>
    <xf numFmtId="0" fontId="24" fillId="11" borderId="7" xfId="4" applyFont="1" applyFill="1" applyBorder="1" applyAlignment="1" applyProtection="1">
      <alignment vertical="center" wrapText="1"/>
      <protection locked="0"/>
    </xf>
    <xf numFmtId="9" fontId="4" fillId="11" borderId="7" xfId="5" applyFont="1" applyFill="1" applyBorder="1" applyAlignment="1" applyProtection="1">
      <alignment horizontal="center" vertical="center" wrapText="1"/>
      <protection locked="0"/>
    </xf>
    <xf numFmtId="9" fontId="4" fillId="14" borderId="7" xfId="0" applyNumberFormat="1" applyFont="1" applyFill="1" applyBorder="1" applyAlignment="1">
      <alignment horizontal="center" vertical="center" wrapText="1"/>
    </xf>
    <xf numFmtId="9" fontId="4" fillId="11" borderId="7" xfId="0" applyNumberFormat="1" applyFont="1" applyFill="1" applyBorder="1" applyAlignment="1">
      <alignment horizontal="center" vertical="center" wrapText="1"/>
    </xf>
    <xf numFmtId="10" fontId="24" fillId="14" borderId="7" xfId="5" applyNumberFormat="1" applyFont="1" applyFill="1" applyBorder="1" applyAlignment="1" applyProtection="1">
      <alignment horizontal="center" vertical="center" wrapText="1"/>
    </xf>
    <xf numFmtId="10" fontId="4" fillId="14" borderId="7" xfId="5" applyNumberFormat="1" applyFont="1" applyFill="1" applyBorder="1" applyAlignment="1" applyProtection="1">
      <alignment horizontal="center" vertical="center" wrapText="1"/>
    </xf>
    <xf numFmtId="0" fontId="24" fillId="14" borderId="7" xfId="4" applyFont="1" applyFill="1" applyBorder="1" applyAlignment="1" applyProtection="1">
      <alignment horizontal="center" vertical="center" wrapText="1"/>
      <protection locked="0"/>
    </xf>
    <xf numFmtId="0" fontId="0" fillId="13" borderId="7" xfId="0" applyFont="1" applyFill="1" applyBorder="1" applyAlignment="1">
      <alignment horizontal="center" vertical="center" wrapText="1"/>
    </xf>
    <xf numFmtId="10" fontId="0" fillId="14" borderId="7" xfId="0" applyNumberFormat="1" applyFill="1" applyBorder="1" applyAlignment="1" applyProtection="1">
      <alignment horizontal="center" vertical="center" wrapText="1"/>
      <protection locked="0"/>
    </xf>
    <xf numFmtId="10" fontId="4" fillId="14" borderId="7" xfId="5" applyNumberFormat="1" applyFont="1" applyFill="1" applyBorder="1" applyAlignment="1" applyProtection="1">
      <alignment horizontal="center" vertical="center" wrapText="1"/>
      <protection locked="0"/>
    </xf>
    <xf numFmtId="1" fontId="9" fillId="11" borderId="7" xfId="5" applyNumberFormat="1" applyFont="1" applyFill="1" applyBorder="1" applyAlignment="1" applyProtection="1">
      <alignment horizontal="center" vertical="center" wrapText="1"/>
    </xf>
    <xf numFmtId="0" fontId="18" fillId="11" borderId="7" xfId="4" applyFont="1" applyFill="1" applyBorder="1" applyAlignment="1" applyProtection="1">
      <alignment horizontal="center" vertical="center" wrapText="1"/>
    </xf>
    <xf numFmtId="10" fontId="4" fillId="11" borderId="7" xfId="5" applyNumberFormat="1" applyFont="1" applyFill="1" applyBorder="1" applyAlignment="1" applyProtection="1">
      <alignment horizontal="center" vertical="center" wrapText="1"/>
    </xf>
    <xf numFmtId="190" fontId="3" fillId="12" borderId="7" xfId="5" applyNumberFormat="1" applyFont="1" applyFill="1" applyBorder="1" applyAlignment="1" applyProtection="1">
      <alignment horizontal="center" vertical="center" wrapText="1"/>
    </xf>
    <xf numFmtId="1" fontId="18" fillId="11" borderId="7" xfId="4" applyNumberFormat="1" applyFont="1" applyFill="1" applyBorder="1" applyAlignment="1" applyProtection="1">
      <alignment horizontal="center" vertical="center" wrapText="1"/>
    </xf>
    <xf numFmtId="10" fontId="18" fillId="11" borderId="7" xfId="4" applyNumberFormat="1" applyFont="1" applyFill="1" applyBorder="1" applyAlignment="1" applyProtection="1">
      <alignment horizontal="center" vertical="center" wrapText="1"/>
    </xf>
    <xf numFmtId="0" fontId="4" fillId="11" borderId="7" xfId="4" applyNumberFormat="1" applyFont="1" applyFill="1" applyBorder="1" applyAlignment="1" applyProtection="1">
      <alignment horizontal="center" vertical="center" wrapText="1"/>
    </xf>
    <xf numFmtId="190" fontId="9" fillId="14" borderId="7" xfId="5" applyNumberFormat="1" applyFont="1" applyFill="1" applyBorder="1" applyAlignment="1" applyProtection="1">
      <alignment horizontal="center" vertical="center" wrapText="1"/>
    </xf>
    <xf numFmtId="190" fontId="24" fillId="14" borderId="7" xfId="5" applyNumberFormat="1" applyFont="1" applyFill="1" applyBorder="1" applyAlignment="1" applyProtection="1">
      <alignment horizontal="center" vertical="center" wrapText="1"/>
    </xf>
    <xf numFmtId="0" fontId="4" fillId="11" borderId="7" xfId="4" applyFont="1" applyFill="1" applyBorder="1" applyAlignment="1" applyProtection="1">
      <alignment horizontal="center" vertical="center" wrapText="1"/>
    </xf>
    <xf numFmtId="0" fontId="24" fillId="11" borderId="7" xfId="4" applyFont="1" applyFill="1" applyBorder="1" applyAlignment="1" applyProtection="1">
      <alignment horizontal="center" vertical="center" wrapText="1"/>
    </xf>
    <xf numFmtId="10" fontId="24" fillId="14" borderId="7" xfId="4" applyNumberFormat="1" applyFont="1" applyFill="1" applyBorder="1" applyAlignment="1" applyProtection="1">
      <alignment horizontal="center" vertical="center" wrapText="1"/>
    </xf>
    <xf numFmtId="0" fontId="0" fillId="0" borderId="7" xfId="0" applyFont="1" applyBorder="1" applyAlignment="1">
      <alignment horizontal="center" vertical="center" wrapText="1"/>
    </xf>
    <xf numFmtId="0" fontId="0" fillId="6" borderId="7" xfId="0" applyFill="1" applyBorder="1" applyAlignment="1">
      <alignment horizontal="center" vertical="center"/>
    </xf>
    <xf numFmtId="0" fontId="4" fillId="6" borderId="7" xfId="4" applyFont="1" applyFill="1" applyBorder="1" applyAlignment="1" applyProtection="1">
      <alignment horizontal="center" vertical="center" wrapText="1"/>
    </xf>
    <xf numFmtId="0" fontId="0" fillId="5" borderId="7" xfId="4" applyFont="1" applyFill="1" applyBorder="1" applyAlignment="1" applyProtection="1">
      <alignment horizontal="center" vertical="center" wrapText="1"/>
    </xf>
    <xf numFmtId="0" fontId="4" fillId="11" borderId="7" xfId="4" applyFont="1" applyFill="1" applyBorder="1" applyAlignment="1" applyProtection="1">
      <alignment horizontal="center" vertical="center" wrapText="1"/>
    </xf>
    <xf numFmtId="0" fontId="5" fillId="6" borderId="25" xfId="0" applyFont="1" applyFill="1" applyBorder="1" applyAlignment="1" applyProtection="1">
      <alignment horizontal="center" vertical="center" wrapText="1"/>
      <protection locked="0"/>
    </xf>
    <xf numFmtId="0" fontId="5" fillId="6" borderId="4" xfId="4" applyFont="1" applyFill="1" applyBorder="1" applyAlignment="1" applyProtection="1">
      <alignment horizontal="center" vertical="center" wrapText="1"/>
    </xf>
    <xf numFmtId="10" fontId="4" fillId="6" borderId="7" xfId="4" applyNumberFormat="1" applyFont="1" applyFill="1" applyBorder="1" applyAlignment="1" applyProtection="1">
      <alignment horizontal="center" vertical="center" wrapText="1"/>
    </xf>
    <xf numFmtId="0" fontId="6" fillId="6" borderId="22" xfId="4" applyFont="1" applyFill="1" applyBorder="1" applyAlignment="1" applyProtection="1">
      <alignment horizontal="center" vertical="center" wrapText="1"/>
    </xf>
    <xf numFmtId="0" fontId="5" fillId="6" borderId="24" xfId="0" applyFont="1" applyFill="1" applyBorder="1" applyAlignment="1" applyProtection="1">
      <alignment horizontal="center" vertical="center" wrapText="1"/>
      <protection locked="0"/>
    </xf>
    <xf numFmtId="190" fontId="7" fillId="10" borderId="22" xfId="4" applyNumberFormat="1" applyFont="1" applyFill="1" applyBorder="1" applyAlignment="1" applyProtection="1">
      <alignment horizontal="center" vertical="center" wrapText="1"/>
    </xf>
    <xf numFmtId="0" fontId="5" fillId="6" borderId="22" xfId="4" applyFont="1" applyFill="1" applyBorder="1" applyAlignment="1" applyProtection="1">
      <alignment horizontal="center" vertical="center" wrapText="1"/>
    </xf>
    <xf numFmtId="0" fontId="5" fillId="6" borderId="23" xfId="4" applyFont="1" applyFill="1" applyBorder="1" applyAlignment="1" applyProtection="1">
      <alignment horizontal="center" vertical="center" wrapText="1"/>
    </xf>
    <xf numFmtId="0" fontId="5" fillId="6" borderId="22" xfId="4" applyFont="1" applyFill="1" applyBorder="1" applyAlignment="1" applyProtection="1">
      <alignment horizontal="center" vertical="center" textRotation="90" wrapText="1"/>
    </xf>
    <xf numFmtId="0" fontId="3" fillId="6" borderId="4" xfId="4" applyFont="1" applyFill="1" applyBorder="1" applyAlignment="1" applyProtection="1">
      <alignment horizontal="center" wrapText="1"/>
    </xf>
    <xf numFmtId="0" fontId="5" fillId="5" borderId="4" xfId="4" applyFont="1" applyFill="1" applyBorder="1" applyAlignment="1" applyProtection="1">
      <alignment horizontal="center"/>
    </xf>
    <xf numFmtId="0" fontId="3" fillId="6" borderId="4" xfId="4" applyFont="1" applyFill="1" applyBorder="1" applyAlignment="1" applyProtection="1">
      <alignment horizontal="center" vertical="center" wrapText="1"/>
    </xf>
    <xf numFmtId="180" fontId="5" fillId="5" borderId="4" xfId="4" applyNumberFormat="1" applyFont="1" applyFill="1" applyBorder="1" applyAlignment="1" applyProtection="1">
      <alignment horizontal="center" vertical="center"/>
    </xf>
    <xf numFmtId="0" fontId="5" fillId="5" borderId="4" xfId="4" applyFont="1" applyFill="1" applyBorder="1" applyAlignment="1" applyProtection="1">
      <alignment horizontal="center" wrapText="1"/>
    </xf>
    <xf numFmtId="0" fontId="5" fillId="6" borderId="5" xfId="4" applyFont="1" applyFill="1" applyBorder="1" applyAlignment="1" applyProtection="1">
      <alignment horizontal="center" vertical="center" wrapText="1"/>
    </xf>
    <xf numFmtId="0" fontId="4" fillId="5" borderId="4" xfId="4" applyFont="1" applyFill="1" applyBorder="1" applyAlignment="1" applyProtection="1">
      <alignment horizontal="center" wrapText="1"/>
    </xf>
    <xf numFmtId="0" fontId="0" fillId="5" borderId="22" xfId="4" applyFont="1" applyFill="1" applyBorder="1" applyAlignment="1" applyProtection="1">
      <alignment horizontal="center" wrapText="1"/>
    </xf>
    <xf numFmtId="0" fontId="3" fillId="5" borderId="2" xfId="4" applyFont="1" applyFill="1" applyBorder="1" applyAlignment="1" applyProtection="1">
      <alignment horizontal="center"/>
    </xf>
    <xf numFmtId="0" fontId="3" fillId="5" borderId="3" xfId="4" applyFont="1" applyFill="1" applyBorder="1" applyAlignment="1" applyProtection="1">
      <alignment horizontal="center" vertical="center" wrapText="1"/>
    </xf>
    <xf numFmtId="0" fontId="22" fillId="9" borderId="1" xfId="0" applyFont="1" applyFill="1" applyBorder="1" applyAlignment="1">
      <alignment horizontal="center" vertical="center" textRotation="90" wrapText="1"/>
    </xf>
    <xf numFmtId="0" fontId="23" fillId="9" borderId="26"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3" fillId="9" borderId="1" xfId="0" applyFont="1" applyFill="1" applyBorder="1" applyAlignment="1">
      <alignment horizontal="center" vertical="center" wrapText="1"/>
    </xf>
  </cellXfs>
  <cellStyles count="9">
    <cellStyle name="Amarillo" xfId="1"/>
    <cellStyle name="Excel Built-in Normal_Hoja1" xfId="2"/>
    <cellStyle name="Millares" xfId="3" builtinId="3"/>
    <cellStyle name="Normal" xfId="0" builtinId="0"/>
    <cellStyle name="Normal_Hoja1" xfId="4"/>
    <cellStyle name="Porcentaje" xfId="5" builtinId="5"/>
    <cellStyle name="Rojo" xfId="6"/>
    <cellStyle name="TableStyleLight1" xfId="7"/>
    <cellStyle name="Verde" xfId="8"/>
  </cellStyles>
  <dxfs count="174">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C0504D"/>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DDD9C3"/>
      <rgbColor rgb="003366FF"/>
      <rgbColor rgb="0033CCCC"/>
      <rgbColor rgb="0099CC00"/>
      <rgbColor rgb="00FFCC00"/>
      <rgbColor rgb="00FF9900"/>
      <rgbColor rgb="00FF6600"/>
      <rgbColor rgb="00666699"/>
      <rgbColor rgb="00969696"/>
      <rgbColor rgb="00004586"/>
      <rgbColor rgb="00339966"/>
      <rgbColor rgb="00003300"/>
      <rgbColor rgb="00333300"/>
      <rgbColor rgb="00993300"/>
      <rgbColor rgb="00993366"/>
      <rgbColor rgb="00333399"/>
      <rgbColor rgb="001A1A1A"/>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San Crístobal</a:t>
            </a:r>
          </a:p>
        </c:rich>
      </c:tx>
      <c:layout>
        <c:manualLayout>
          <c:xMode val="edge"/>
          <c:yMode val="edge"/>
          <c:x val="0.50385631102024842"/>
          <c:y val="3.8109756097560975E-2"/>
        </c:manualLayout>
      </c:layout>
      <c:overlay val="0"/>
      <c:spPr>
        <a:noFill/>
        <a:ln w="25400">
          <a:noFill/>
        </a:ln>
      </c:spPr>
    </c:title>
    <c:autoTitleDeleted val="0"/>
    <c:view3D>
      <c:rotX val="23"/>
      <c:hPercent val="67"/>
      <c:rotY val="6"/>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13881756784320765"/>
          <c:y val="0.23323170731707318"/>
          <c:w val="0.80591310220084433"/>
          <c:h val="0.47865853658536583"/>
        </c:manualLayout>
      </c:layout>
      <c:bar3DChart>
        <c:barDir val="col"/>
        <c:grouping val="clustered"/>
        <c:varyColors val="0"/>
        <c:ser>
          <c:idx val="0"/>
          <c:order val="0"/>
          <c:tx>
            <c:strRef>
              <c:f>Hoja2!$B$4</c:f>
              <c:strCache>
                <c:ptCount val="1"/>
                <c:pt idx="0">
                  <c:v>% De Ejecución III Trimestre</c:v>
                </c:pt>
              </c:strCache>
            </c:strRef>
          </c:tx>
          <c:spPr>
            <a:solidFill>
              <a:srgbClr val="004586"/>
            </a:solidFill>
            <a:ln w="25400">
              <a:noFill/>
            </a:ln>
          </c:spPr>
          <c:invertIfNegative val="0"/>
          <c:dLbls>
            <c:spPr>
              <a:noFill/>
              <a:ln w="25400">
                <a:noFill/>
              </a:ln>
            </c:spPr>
            <c:txPr>
              <a:bodyPr/>
              <a:lstStyle/>
              <a:p>
                <a:pPr>
                  <a:defRPr sz="1100" b="1" i="0" u="none" strike="noStrike" baseline="0">
                    <a:solidFill>
                      <a:srgbClr val="000000"/>
                    </a:solidFill>
                    <a:latin typeface="Arial"/>
                    <a:ea typeface="Arial"/>
                    <a:cs typeface="Arial"/>
                  </a:defRPr>
                </a:pPr>
                <a:endParaRPr lang="es-CO"/>
              </a:p>
            </c:txPr>
            <c:showLegendKey val="0"/>
            <c:showVal val="1"/>
            <c:showCatName val="0"/>
            <c:showSerName val="0"/>
            <c:showPercent val="0"/>
            <c:showBubbleSize val="0"/>
            <c:showLeaderLines val="0"/>
          </c:dLbls>
          <c:cat>
            <c:strRef>
              <c:f>Hoja2!$C$3:$I$3</c:f>
              <c:strCache>
                <c:ptCount val="7"/>
                <c:pt idx="0">
                  <c:v>GESTIÓN DE 
COMUNICACIONES</c:v>
                </c:pt>
                <c:pt idx="1">
                  <c:v>GESTIÓN Y ADQUISICIÓN
 DE RECURSOS</c:v>
                </c:pt>
                <c:pt idx="2">
                  <c:v>GESTIÓN NORMATIVA 
Y JURÍDICA LOCAL</c:v>
                </c:pt>
                <c:pt idx="3">
                  <c:v>GESTIÓN PARA LA
CONVIVENCIA Y SEGURIDAD
INTEGRAL</c:v>
                </c:pt>
                <c:pt idx="4">
                  <c:v>GESTIÓN PARA 
EL DESARROLLO LOCAL</c:v>
                </c:pt>
                <c:pt idx="5">
                  <c:v>AGENCIAMIENTO DE LA 
POLÍTICA PÚBLICA</c:v>
                </c:pt>
                <c:pt idx="6">
                  <c:v>PLAN DE GESTIÓN</c:v>
                </c:pt>
              </c:strCache>
            </c:strRef>
          </c:cat>
          <c:val>
            <c:numRef>
              <c:f>Hoja2!$C$4:$I$4</c:f>
              <c:numCache>
                <c:formatCode>0%</c:formatCode>
                <c:ptCount val="7"/>
                <c:pt idx="0">
                  <c:v>2</c:v>
                </c:pt>
                <c:pt idx="1">
                  <c:v>0.80597866662709705</c:v>
                </c:pt>
                <c:pt idx="2">
                  <c:v>1.2094647248236083</c:v>
                </c:pt>
                <c:pt idx="3">
                  <c:v>1.2305882352941175</c:v>
                </c:pt>
                <c:pt idx="4">
                  <c:v>0.97682926829268302</c:v>
                </c:pt>
                <c:pt idx="5">
                  <c:v>0</c:v>
                </c:pt>
                <c:pt idx="6">
                  <c:v>1.0971197327835691</c:v>
                </c:pt>
              </c:numCache>
            </c:numRef>
          </c:val>
        </c:ser>
        <c:ser>
          <c:idx val="1"/>
          <c:order val="1"/>
          <c:tx>
            <c:strRef>
              <c:f>Hoja2!$B$5</c:f>
              <c:strCache>
                <c:ptCount val="1"/>
                <c:pt idx="0">
                  <c:v>% De Avance Anual</c:v>
                </c:pt>
              </c:strCache>
            </c:strRef>
          </c:tx>
          <c:spPr>
            <a:solidFill>
              <a:srgbClr val="C0504D"/>
            </a:solidFill>
            <a:ln w="25400">
              <a:noFill/>
            </a:ln>
          </c:spPr>
          <c:invertIfNegative val="0"/>
          <c:dLbls>
            <c:spPr>
              <a:noFill/>
              <a:ln w="25400">
                <a:noFill/>
              </a:ln>
            </c:spPr>
            <c:txPr>
              <a:bodyPr/>
              <a:lstStyle/>
              <a:p>
                <a:pPr>
                  <a:defRPr sz="1100" b="1" i="0" u="none" strike="noStrike" baseline="0">
                    <a:solidFill>
                      <a:srgbClr val="000000"/>
                    </a:solidFill>
                    <a:latin typeface="Arial"/>
                    <a:ea typeface="Arial"/>
                    <a:cs typeface="Arial"/>
                  </a:defRPr>
                </a:pPr>
                <a:endParaRPr lang="es-CO"/>
              </a:p>
            </c:txPr>
            <c:showLegendKey val="0"/>
            <c:showVal val="1"/>
            <c:showCatName val="0"/>
            <c:showSerName val="0"/>
            <c:showPercent val="0"/>
            <c:showBubbleSize val="0"/>
            <c:showLeaderLines val="0"/>
          </c:dLbls>
          <c:cat>
            <c:strRef>
              <c:f>Hoja2!$C$3:$I$3</c:f>
              <c:strCache>
                <c:ptCount val="7"/>
                <c:pt idx="0">
                  <c:v>GESTIÓN DE 
COMUNICACIONES</c:v>
                </c:pt>
                <c:pt idx="1">
                  <c:v>GESTIÓN Y ADQUISICIÓN
 DE RECURSOS</c:v>
                </c:pt>
                <c:pt idx="2">
                  <c:v>GESTIÓN NORMATIVA 
Y JURÍDICA LOCAL</c:v>
                </c:pt>
                <c:pt idx="3">
                  <c:v>GESTIÓN PARA LA
CONVIVENCIA Y SEGURIDAD
INTEGRAL</c:v>
                </c:pt>
                <c:pt idx="4">
                  <c:v>GESTIÓN PARA 
EL DESARROLLO LOCAL</c:v>
                </c:pt>
                <c:pt idx="5">
                  <c:v>AGENCIAMIENTO DE LA 
POLÍTICA PÚBLICA</c:v>
                </c:pt>
                <c:pt idx="6">
                  <c:v>PLAN DE GESTIÓN</c:v>
                </c:pt>
              </c:strCache>
            </c:strRef>
          </c:cat>
          <c:val>
            <c:numRef>
              <c:f>Hoja2!$C$5:$I$5</c:f>
              <c:numCache>
                <c:formatCode>0%</c:formatCode>
                <c:ptCount val="7"/>
                <c:pt idx="0">
                  <c:v>0.7142857142857143</c:v>
                </c:pt>
                <c:pt idx="1">
                  <c:v>0.84849452025213179</c:v>
                </c:pt>
                <c:pt idx="2">
                  <c:v>0.97441446379113639</c:v>
                </c:pt>
                <c:pt idx="3">
                  <c:v>0.72854391460726309</c:v>
                </c:pt>
                <c:pt idx="4">
                  <c:v>0.47588235294117659</c:v>
                </c:pt>
                <c:pt idx="5">
                  <c:v>1</c:v>
                </c:pt>
                <c:pt idx="6">
                  <c:v>0</c:v>
                </c:pt>
              </c:numCache>
            </c:numRef>
          </c:val>
        </c:ser>
        <c:dLbls>
          <c:showLegendKey val="0"/>
          <c:showVal val="0"/>
          <c:showCatName val="0"/>
          <c:showSerName val="0"/>
          <c:showPercent val="0"/>
          <c:showBubbleSize val="0"/>
        </c:dLbls>
        <c:gapWidth val="150"/>
        <c:shape val="box"/>
        <c:axId val="115065216"/>
        <c:axId val="115066752"/>
        <c:axId val="0"/>
      </c:bar3DChart>
      <c:catAx>
        <c:axId val="115065216"/>
        <c:scaling>
          <c:orientation val="minMax"/>
        </c:scaling>
        <c:delete val="0"/>
        <c:axPos val="b"/>
        <c:numFmt formatCode="General" sourceLinked="1"/>
        <c:majorTickMark val="out"/>
        <c:minorTickMark val="none"/>
        <c:tickLblPos val="nextTo"/>
        <c:spPr>
          <a:ln w="3175">
            <a:solidFill>
              <a:srgbClr val="808080"/>
            </a:solidFill>
            <a:prstDash val="solid"/>
          </a:ln>
        </c:spPr>
        <c:txPr>
          <a:bodyPr rot="-5400000" vert="horz"/>
          <a:lstStyle/>
          <a:p>
            <a:pPr>
              <a:defRPr sz="1000" b="0" i="0" u="none" strike="noStrike" baseline="0">
                <a:solidFill>
                  <a:srgbClr val="000000"/>
                </a:solidFill>
                <a:latin typeface="Calibri"/>
                <a:ea typeface="Calibri"/>
                <a:cs typeface="Calibri"/>
              </a:defRPr>
            </a:pPr>
            <a:endParaRPr lang="es-CO"/>
          </a:p>
        </c:txPr>
        <c:crossAx val="115066752"/>
        <c:crossesAt val="0"/>
        <c:auto val="1"/>
        <c:lblAlgn val="ctr"/>
        <c:lblOffset val="100"/>
        <c:tickLblSkip val="2"/>
        <c:tickMarkSkip val="1"/>
        <c:noMultiLvlLbl val="0"/>
      </c:catAx>
      <c:valAx>
        <c:axId val="115066752"/>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15065216"/>
        <c:crossesAt val="1"/>
        <c:crossBetween val="between"/>
      </c:valAx>
      <c:spPr>
        <a:noFill/>
        <a:ln w="25400">
          <a:noFill/>
        </a:ln>
      </c:spPr>
    </c:plotArea>
    <c:legend>
      <c:legendPos val="r"/>
      <c:layout>
        <c:manualLayout>
          <c:xMode val="edge"/>
          <c:yMode val="edge"/>
          <c:x val="0.16323920949470005"/>
          <c:y val="0.94512195121951215"/>
          <c:w val="0.40745528274261344"/>
          <c:h val="5.0304878048780477E-2"/>
        </c:manualLayout>
      </c:layout>
      <c:overlay val="0"/>
      <c:spPr>
        <a:noFill/>
        <a:ln w="25400">
          <a:noFill/>
        </a:ln>
      </c:spPr>
      <c:txPr>
        <a:bodyPr/>
        <a:lstStyle/>
        <a:p>
          <a:pPr>
            <a:defRPr sz="55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rgbClr val="DDD9C3"/>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1123950</xdr:colOff>
      <xdr:row>9</xdr:row>
      <xdr:rowOff>904875</xdr:rowOff>
    </xdr:from>
    <xdr:to>
      <xdr:col>7</xdr:col>
      <xdr:colOff>9525</xdr:colOff>
      <xdr:row>19</xdr:row>
      <xdr:rowOff>95250</xdr:rowOff>
    </xdr:to>
    <xdr:graphicFrame macro="">
      <xdr:nvGraphicFramePr>
        <xdr:cNvPr id="2190"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2"/>
  <sheetViews>
    <sheetView tabSelected="1" topLeftCell="A8" zoomScaleNormal="100" workbookViewId="0">
      <pane xSplit="8" ySplit="4" topLeftCell="AA12" activePane="bottomRight" state="frozen"/>
      <selection activeCell="A8" sqref="A8"/>
      <selection pane="topRight" activeCell="I8" sqref="I8"/>
      <selection pane="bottomLeft" activeCell="A12" sqref="A12"/>
      <selection pane="bottomRight" activeCell="E28" sqref="E28"/>
    </sheetView>
  </sheetViews>
  <sheetFormatPr baseColWidth="10" defaultColWidth="11.5703125" defaultRowHeight="12.75" customHeight="1"/>
  <cols>
    <col min="1" max="2" width="2.85546875" customWidth="1"/>
    <col min="3" max="3" width="6.7109375" customWidth="1"/>
    <col min="4" max="4" width="6.5703125" customWidth="1"/>
    <col min="5" max="5" width="45" customWidth="1"/>
    <col min="6" max="6" width="8.7109375" customWidth="1"/>
    <col min="7" max="7" width="8.42578125" customWidth="1"/>
    <col min="8" max="8" width="7.7109375" customWidth="1"/>
    <col min="9" max="9" width="5.7109375" customWidth="1"/>
    <col min="10" max="10" width="7.140625" customWidth="1"/>
    <col min="11" max="11" width="6.140625" customWidth="1"/>
    <col min="12" max="13" width="5.7109375" customWidth="1"/>
    <col min="14" max="14" width="6.85546875" customWidth="1"/>
    <col min="15" max="15" width="6" customWidth="1"/>
    <col min="16" max="19" width="5.7109375" customWidth="1"/>
    <col min="20" max="20" width="6.7109375" customWidth="1"/>
    <col min="21" max="23" width="5.7109375" customWidth="1"/>
    <col min="24" max="24" width="6.28515625" customWidth="1"/>
    <col min="25" max="25" width="26.28515625" customWidth="1"/>
    <col min="26" max="26" width="66.42578125" customWidth="1"/>
    <col min="27" max="27" width="24.28515625" customWidth="1"/>
    <col min="28" max="28" width="22.28515625" customWidth="1"/>
    <col min="29" max="29" width="14.85546875" customWidth="1"/>
    <col min="30" max="30" width="22" customWidth="1"/>
    <col min="31" max="31" width="92.140625" customWidth="1"/>
    <col min="32" max="32" width="13" customWidth="1"/>
    <col min="33" max="33" width="15.7109375" bestFit="1" customWidth="1"/>
    <col min="34" max="34" width="46.7109375" customWidth="1"/>
    <col min="35" max="35" width="17.5703125" customWidth="1"/>
    <col min="36" max="36" width="13.5703125" customWidth="1"/>
    <col min="37" max="37" width="15.7109375" bestFit="1" customWidth="1"/>
    <col min="38" max="38" width="62" customWidth="1"/>
    <col min="39" max="39" width="12.7109375" customWidth="1"/>
    <col min="40" max="40" width="14.28515625" customWidth="1"/>
    <col min="42" max="42" width="61.7109375" customWidth="1"/>
    <col min="43" max="43" width="12.85546875" customWidth="1"/>
    <col min="44" max="44" width="13" customWidth="1"/>
    <col min="46" max="46" width="55.42578125" customWidth="1"/>
    <col min="47" max="47" width="17.5703125" customWidth="1"/>
  </cols>
  <sheetData>
    <row r="1" spans="1:47" ht="12.75" customHeight="1">
      <c r="A1" s="224"/>
      <c r="B1" s="224"/>
      <c r="C1" s="224"/>
      <c r="D1" s="224"/>
      <c r="E1" s="224"/>
      <c r="F1" s="225" t="s">
        <v>122</v>
      </c>
      <c r="G1" s="225"/>
      <c r="H1" s="225"/>
      <c r="I1" s="225"/>
      <c r="J1" s="225"/>
      <c r="K1" s="225"/>
      <c r="L1" s="225"/>
      <c r="M1" s="225"/>
      <c r="N1" s="225"/>
      <c r="O1" s="225"/>
      <c r="P1" s="225"/>
      <c r="Q1" s="225"/>
      <c r="R1" s="225"/>
      <c r="S1" s="225"/>
      <c r="T1" s="225"/>
      <c r="U1" s="225"/>
      <c r="V1" s="225"/>
      <c r="W1" s="225"/>
      <c r="X1" s="225"/>
      <c r="Y1" s="225"/>
      <c r="Z1" s="225"/>
      <c r="AA1" s="225"/>
      <c r="AB1" s="225"/>
      <c r="AC1" s="225"/>
      <c r="AD1" s="1"/>
      <c r="AE1" s="1"/>
    </row>
    <row r="2" spans="1:47" ht="12.75" customHeight="1">
      <c r="A2" s="224"/>
      <c r="B2" s="224"/>
      <c r="C2" s="224"/>
      <c r="D2" s="224"/>
      <c r="E2" s="224"/>
      <c r="F2" s="225" t="s">
        <v>123</v>
      </c>
      <c r="G2" s="225"/>
      <c r="H2" s="225"/>
      <c r="I2" s="225"/>
      <c r="J2" s="225"/>
      <c r="K2" s="225"/>
      <c r="L2" s="225"/>
      <c r="M2" s="225"/>
      <c r="N2" s="225"/>
      <c r="O2" s="225"/>
      <c r="P2" s="225"/>
      <c r="Q2" s="225"/>
      <c r="R2" s="225"/>
      <c r="S2" s="225"/>
      <c r="T2" s="225"/>
      <c r="U2" s="225"/>
      <c r="V2" s="225"/>
      <c r="W2" s="225"/>
      <c r="X2" s="225"/>
      <c r="Y2" s="225"/>
      <c r="Z2" s="225"/>
      <c r="AA2" s="225"/>
      <c r="AB2" s="225"/>
      <c r="AC2" s="225"/>
      <c r="AD2" s="1"/>
      <c r="AE2" s="1"/>
      <c r="AH2" s="2"/>
    </row>
    <row r="3" spans="1:47" ht="15.6" customHeight="1">
      <c r="A3" s="224"/>
      <c r="B3" s="224"/>
      <c r="C3" s="224"/>
      <c r="D3" s="224"/>
      <c r="E3" s="224"/>
      <c r="F3" s="226" t="s">
        <v>124</v>
      </c>
      <c r="G3" s="226"/>
      <c r="H3" s="226"/>
      <c r="I3" s="226"/>
      <c r="J3" s="226"/>
      <c r="K3" s="226"/>
      <c r="L3" s="226"/>
      <c r="M3" s="226"/>
      <c r="N3" s="226"/>
      <c r="O3" s="226"/>
      <c r="P3" s="226"/>
      <c r="Q3" s="226"/>
      <c r="R3" s="226"/>
      <c r="S3" s="226"/>
      <c r="T3" s="226"/>
      <c r="U3" s="226"/>
      <c r="V3" s="226"/>
      <c r="W3" s="226"/>
      <c r="X3" s="226"/>
      <c r="Y3" s="226"/>
      <c r="Z3" s="226"/>
      <c r="AA3" s="226"/>
      <c r="AB3" s="226"/>
      <c r="AC3" s="226"/>
      <c r="AD3" s="3"/>
      <c r="AE3" s="3"/>
    </row>
    <row r="4" spans="1:47" ht="41.1" customHeight="1">
      <c r="A4" s="217" t="s">
        <v>125</v>
      </c>
      <c r="B4" s="217"/>
      <c r="C4" s="217"/>
      <c r="D4" s="217"/>
      <c r="E4" s="217"/>
      <c r="F4" s="223" t="s">
        <v>126</v>
      </c>
      <c r="G4" s="223"/>
      <c r="H4" s="223"/>
      <c r="I4" s="223"/>
      <c r="J4" s="223"/>
      <c r="K4" s="223"/>
      <c r="L4" s="223"/>
      <c r="M4" s="223"/>
      <c r="N4" s="223"/>
      <c r="O4" s="223"/>
      <c r="P4" s="223"/>
      <c r="Q4" s="223"/>
      <c r="R4" s="223"/>
      <c r="S4" s="223"/>
      <c r="T4" s="223"/>
      <c r="U4" s="223"/>
      <c r="V4" s="223"/>
      <c r="W4" s="223"/>
      <c r="X4" s="223"/>
      <c r="Y4" s="223"/>
      <c r="Z4" s="223"/>
      <c r="AA4" s="223"/>
      <c r="AB4" s="223"/>
      <c r="AC4" s="223"/>
      <c r="AD4" s="4"/>
      <c r="AE4" s="4"/>
      <c r="AL4" s="5"/>
    </row>
    <row r="5" spans="1:47" ht="15.6" customHeight="1">
      <c r="A5" s="217" t="s">
        <v>127</v>
      </c>
      <c r="B5" s="217"/>
      <c r="C5" s="217"/>
      <c r="D5" s="217"/>
      <c r="E5" s="217"/>
      <c r="F5" s="218" t="s">
        <v>128</v>
      </c>
      <c r="G5" s="218"/>
      <c r="H5" s="218"/>
      <c r="I5" s="218"/>
      <c r="J5" s="218"/>
      <c r="K5" s="218"/>
      <c r="L5" s="218"/>
      <c r="M5" s="218"/>
      <c r="N5" s="218"/>
      <c r="O5" s="218"/>
      <c r="P5" s="218"/>
      <c r="Q5" s="218"/>
      <c r="R5" s="218"/>
      <c r="S5" s="218"/>
      <c r="T5" s="218"/>
      <c r="U5" s="218"/>
      <c r="V5" s="218"/>
      <c r="W5" s="218"/>
      <c r="X5" s="218"/>
      <c r="Y5" s="218"/>
      <c r="Z5" s="218"/>
      <c r="AA5" s="218"/>
      <c r="AB5" s="218"/>
      <c r="AC5" s="218"/>
      <c r="AD5" s="6"/>
      <c r="AE5" s="6"/>
    </row>
    <row r="6" spans="1:47" ht="15.6" customHeight="1">
      <c r="A6" s="219" t="s">
        <v>129</v>
      </c>
      <c r="B6" s="219"/>
      <c r="C6" s="219"/>
      <c r="D6" s="219"/>
      <c r="E6" s="219"/>
      <c r="F6" s="220">
        <v>42355</v>
      </c>
      <c r="G6" s="220"/>
      <c r="H6" s="220"/>
      <c r="I6" s="220"/>
      <c r="J6" s="220"/>
      <c r="K6" s="220"/>
      <c r="L6" s="220"/>
      <c r="M6" s="220"/>
      <c r="N6" s="220"/>
      <c r="O6" s="220"/>
      <c r="P6" s="220"/>
      <c r="Q6" s="220"/>
      <c r="R6" s="220"/>
      <c r="S6" s="220"/>
      <c r="T6" s="220"/>
      <c r="U6" s="220"/>
      <c r="V6" s="220"/>
      <c r="W6" s="220"/>
      <c r="X6" s="220"/>
      <c r="Y6" s="220"/>
      <c r="Z6" s="220"/>
      <c r="AA6" s="220"/>
      <c r="AB6" s="220"/>
      <c r="AC6" s="220"/>
      <c r="AD6" s="6"/>
      <c r="AE6" s="6"/>
    </row>
    <row r="7" spans="1:47" ht="15.6" customHeight="1">
      <c r="A7" s="217" t="s">
        <v>130</v>
      </c>
      <c r="B7" s="217"/>
      <c r="C7" s="217"/>
      <c r="D7" s="217"/>
      <c r="E7" s="217"/>
      <c r="F7" s="221" t="s">
        <v>131</v>
      </c>
      <c r="G7" s="221"/>
      <c r="H7" s="221"/>
      <c r="I7" s="221"/>
      <c r="J7" s="221"/>
      <c r="K7" s="221"/>
      <c r="L7" s="221"/>
      <c r="M7" s="221"/>
      <c r="N7" s="221"/>
      <c r="O7" s="221"/>
      <c r="P7" s="221"/>
      <c r="Q7" s="221"/>
      <c r="R7" s="221"/>
      <c r="S7" s="221"/>
      <c r="T7" s="221"/>
      <c r="U7" s="221"/>
      <c r="V7" s="221"/>
      <c r="W7" s="221"/>
      <c r="X7" s="221"/>
      <c r="Y7" s="221"/>
      <c r="Z7" s="221"/>
      <c r="AA7" s="221"/>
      <c r="AB7" s="221"/>
      <c r="AC7" s="221"/>
      <c r="AD7" s="7"/>
      <c r="AE7" s="7"/>
    </row>
    <row r="8" spans="1:47" ht="15.6" customHeight="1">
      <c r="A8" s="222" t="s">
        <v>132</v>
      </c>
      <c r="B8" s="222" t="s">
        <v>133</v>
      </c>
      <c r="C8" s="209" t="s">
        <v>134</v>
      </c>
      <c r="D8" s="215" t="s">
        <v>135</v>
      </c>
      <c r="E8" s="214" t="s">
        <v>136</v>
      </c>
      <c r="F8" s="216" t="s">
        <v>137</v>
      </c>
      <c r="G8" s="214" t="s">
        <v>138</v>
      </c>
      <c r="H8" s="214" t="s">
        <v>139</v>
      </c>
      <c r="I8" s="209" t="s">
        <v>140</v>
      </c>
      <c r="J8" s="209"/>
      <c r="K8" s="209"/>
      <c r="L8" s="209"/>
      <c r="M8" s="209"/>
      <c r="N8" s="209"/>
      <c r="O8" s="209"/>
      <c r="P8" s="209"/>
      <c r="Q8" s="209"/>
      <c r="R8" s="209"/>
      <c r="S8" s="209"/>
      <c r="T8" s="209"/>
      <c r="U8" s="209"/>
      <c r="V8" s="209"/>
      <c r="W8" s="209"/>
      <c r="X8" s="209"/>
      <c r="Y8" s="209" t="s">
        <v>141</v>
      </c>
      <c r="Z8" s="209"/>
      <c r="AA8" s="209"/>
      <c r="AB8" s="209"/>
      <c r="AC8" s="209"/>
      <c r="AD8" s="209"/>
      <c r="AE8" s="209"/>
      <c r="AF8" s="10"/>
      <c r="AG8" s="10"/>
      <c r="AH8" s="10"/>
      <c r="AI8" s="10"/>
      <c r="AJ8" s="10"/>
      <c r="AK8" s="10"/>
      <c r="AL8" s="10"/>
      <c r="AM8" s="10"/>
      <c r="AN8" s="10"/>
      <c r="AO8" s="10"/>
      <c r="AP8" s="10"/>
      <c r="AQ8" s="10"/>
      <c r="AR8" s="10"/>
      <c r="AS8" s="10"/>
      <c r="AT8" s="10"/>
      <c r="AU8" s="10"/>
    </row>
    <row r="9" spans="1:47" ht="15" customHeight="1" thickTop="1" thickBot="1">
      <c r="A9" s="222"/>
      <c r="B9" s="222"/>
      <c r="C9" s="209"/>
      <c r="D9" s="215"/>
      <c r="E9" s="214"/>
      <c r="F9" s="216"/>
      <c r="G9" s="214"/>
      <c r="H9" s="214"/>
      <c r="I9" s="209" t="s">
        <v>142</v>
      </c>
      <c r="J9" s="209"/>
      <c r="K9" s="209"/>
      <c r="L9" s="209" t="s">
        <v>143</v>
      </c>
      <c r="M9" s="209"/>
      <c r="N9" s="209"/>
      <c r="O9" s="209" t="s">
        <v>144</v>
      </c>
      <c r="P9" s="209"/>
      <c r="Q9" s="209"/>
      <c r="R9" s="209" t="s">
        <v>145</v>
      </c>
      <c r="S9" s="209"/>
      <c r="T9" s="209"/>
      <c r="U9" s="209" t="s">
        <v>146</v>
      </c>
      <c r="V9" s="209"/>
      <c r="W9" s="209"/>
      <c r="X9" s="9" t="s">
        <v>147</v>
      </c>
      <c r="Y9" s="214" t="s">
        <v>148</v>
      </c>
      <c r="Z9" s="214" t="s">
        <v>149</v>
      </c>
      <c r="AA9" s="209" t="s">
        <v>150</v>
      </c>
      <c r="AB9" s="209"/>
      <c r="AC9" s="211" t="s">
        <v>151</v>
      </c>
      <c r="AD9" s="211" t="s">
        <v>152</v>
      </c>
      <c r="AE9" s="211" t="s">
        <v>153</v>
      </c>
      <c r="AF9" s="10"/>
      <c r="AG9" s="10"/>
      <c r="AH9" s="10"/>
      <c r="AI9" s="10"/>
      <c r="AJ9" s="10"/>
      <c r="AK9" s="10"/>
      <c r="AL9" s="10"/>
      <c r="AM9" s="10"/>
      <c r="AN9" s="10"/>
      <c r="AO9" s="10"/>
      <c r="AP9" s="10"/>
      <c r="AQ9" s="10"/>
      <c r="AR9" s="10"/>
      <c r="AS9" s="10"/>
      <c r="AT9" s="10"/>
      <c r="AU9" s="10"/>
    </row>
    <row r="10" spans="1:47" ht="22.5" customHeight="1" thickTop="1" thickBot="1">
      <c r="A10" s="222"/>
      <c r="B10" s="222"/>
      <c r="C10" s="209"/>
      <c r="D10" s="215"/>
      <c r="E10" s="214"/>
      <c r="F10" s="216"/>
      <c r="G10" s="214"/>
      <c r="H10" s="214"/>
      <c r="I10" s="214" t="s">
        <v>154</v>
      </c>
      <c r="J10" s="214" t="s">
        <v>155</v>
      </c>
      <c r="K10" s="209" t="s">
        <v>156</v>
      </c>
      <c r="L10" s="209" t="s">
        <v>154</v>
      </c>
      <c r="M10" s="209" t="s">
        <v>155</v>
      </c>
      <c r="N10" s="209" t="s">
        <v>156</v>
      </c>
      <c r="O10" s="209" t="s">
        <v>154</v>
      </c>
      <c r="P10" s="209" t="s">
        <v>155</v>
      </c>
      <c r="Q10" s="209" t="s">
        <v>156</v>
      </c>
      <c r="R10" s="209" t="s">
        <v>154</v>
      </c>
      <c r="S10" s="209" t="s">
        <v>155</v>
      </c>
      <c r="T10" s="209" t="s">
        <v>156</v>
      </c>
      <c r="U10" s="209" t="s">
        <v>154</v>
      </c>
      <c r="V10" s="209" t="s">
        <v>155</v>
      </c>
      <c r="W10" s="209" t="s">
        <v>156</v>
      </c>
      <c r="X10" s="213">
        <f>SUM(X12:X61)</f>
        <v>0.85291468247127744</v>
      </c>
      <c r="Y10" s="214"/>
      <c r="Z10" s="214"/>
      <c r="AA10" s="211" t="s">
        <v>157</v>
      </c>
      <c r="AB10" s="211" t="s">
        <v>158</v>
      </c>
      <c r="AC10" s="211"/>
      <c r="AD10" s="211"/>
      <c r="AE10" s="211"/>
      <c r="AF10" s="212" t="s">
        <v>159</v>
      </c>
      <c r="AG10" s="212" t="s">
        <v>159</v>
      </c>
      <c r="AH10" s="212" t="s">
        <v>159</v>
      </c>
      <c r="AI10" s="212" t="s">
        <v>159</v>
      </c>
      <c r="AJ10" s="208" t="s">
        <v>160</v>
      </c>
      <c r="AK10" s="208" t="s">
        <v>159</v>
      </c>
      <c r="AL10" s="208" t="s">
        <v>159</v>
      </c>
      <c r="AM10" s="208" t="s">
        <v>159</v>
      </c>
      <c r="AN10" s="208" t="s">
        <v>161</v>
      </c>
      <c r="AO10" s="208" t="s">
        <v>161</v>
      </c>
      <c r="AP10" s="208" t="s">
        <v>161</v>
      </c>
      <c r="AQ10" s="208" t="s">
        <v>161</v>
      </c>
      <c r="AR10" s="208" t="s">
        <v>162</v>
      </c>
      <c r="AS10" s="208" t="s">
        <v>161</v>
      </c>
      <c r="AT10" s="208" t="s">
        <v>161</v>
      </c>
      <c r="AU10" s="208" t="s">
        <v>161</v>
      </c>
    </row>
    <row r="11" spans="1:47" ht="10.5" customHeight="1" thickTop="1" thickBot="1">
      <c r="A11" s="222"/>
      <c r="B11" s="222"/>
      <c r="C11" s="8" t="s">
        <v>163</v>
      </c>
      <c r="D11" s="215"/>
      <c r="E11" s="214"/>
      <c r="F11" s="216"/>
      <c r="G11" s="214"/>
      <c r="H11" s="214"/>
      <c r="I11" s="214"/>
      <c r="J11" s="214"/>
      <c r="K11" s="209"/>
      <c r="L11" s="209"/>
      <c r="M11" s="209"/>
      <c r="N11" s="209"/>
      <c r="O11" s="209"/>
      <c r="P11" s="209"/>
      <c r="Q11" s="209"/>
      <c r="R11" s="209"/>
      <c r="S11" s="209"/>
      <c r="T11" s="209"/>
      <c r="U11" s="209"/>
      <c r="V11" s="209"/>
      <c r="W11" s="209"/>
      <c r="X11" s="213"/>
      <c r="Y11" s="214"/>
      <c r="Z11" s="214"/>
      <c r="AA11" s="211"/>
      <c r="AB11" s="211"/>
      <c r="AC11" s="211"/>
      <c r="AD11" s="211"/>
      <c r="AE11" s="211"/>
      <c r="AF11" s="11" t="s">
        <v>164</v>
      </c>
      <c r="AG11" s="11" t="s">
        <v>165</v>
      </c>
      <c r="AH11" s="11" t="s">
        <v>166</v>
      </c>
      <c r="AI11" s="11" t="s">
        <v>167</v>
      </c>
      <c r="AJ11" s="11" t="s">
        <v>164</v>
      </c>
      <c r="AK11" s="11" t="s">
        <v>165</v>
      </c>
      <c r="AL11" s="11" t="s">
        <v>166</v>
      </c>
      <c r="AM11" s="11" t="s">
        <v>167</v>
      </c>
      <c r="AN11" s="11" t="s">
        <v>164</v>
      </c>
      <c r="AO11" s="11" t="s">
        <v>165</v>
      </c>
      <c r="AP11" s="11" t="s">
        <v>166</v>
      </c>
      <c r="AQ11" s="11" t="s">
        <v>167</v>
      </c>
      <c r="AR11" s="11" t="s">
        <v>164</v>
      </c>
      <c r="AS11" s="11" t="s">
        <v>165</v>
      </c>
      <c r="AT11" s="11" t="s">
        <v>166</v>
      </c>
      <c r="AU11" s="11" t="s">
        <v>167</v>
      </c>
    </row>
    <row r="12" spans="1:47" ht="129.19999999999999" customHeight="1" thickTop="1" thickBot="1">
      <c r="A12" s="206" t="s">
        <v>168</v>
      </c>
      <c r="B12" s="207"/>
      <c r="C12" s="207" t="s">
        <v>169</v>
      </c>
      <c r="D12" s="12">
        <v>8</v>
      </c>
      <c r="E12" s="51" t="s">
        <v>170</v>
      </c>
      <c r="F12" s="52">
        <v>0.03</v>
      </c>
      <c r="G12" s="51" t="s">
        <v>171</v>
      </c>
      <c r="H12" s="51" t="s">
        <v>172</v>
      </c>
      <c r="I12" s="53">
        <v>0</v>
      </c>
      <c r="J12" s="54">
        <f>AG12</f>
        <v>4</v>
      </c>
      <c r="K12" s="55">
        <v>1</v>
      </c>
      <c r="L12" s="56">
        <v>1</v>
      </c>
      <c r="M12" s="57">
        <f>AK12</f>
        <v>3</v>
      </c>
      <c r="N12" s="55">
        <f>IF(ISERROR(M12/L12),"",(M12/L12))</f>
        <v>3</v>
      </c>
      <c r="O12" s="53">
        <v>0</v>
      </c>
      <c r="P12" s="54">
        <f>AO12</f>
        <v>7</v>
      </c>
      <c r="Q12" s="58" t="str">
        <f>IF(ISERROR(P12/O12),"",(P12/O12))</f>
        <v/>
      </c>
      <c r="R12" s="56">
        <v>1</v>
      </c>
      <c r="S12" s="57">
        <f>AS12</f>
        <v>9</v>
      </c>
      <c r="T12" s="55">
        <f>IF(ISERROR(S12/R12),"",(S12/R12))</f>
        <v>9</v>
      </c>
      <c r="U12" s="59">
        <f t="shared" ref="U12:V14" si="0">SUM(I12,L12,O12,R12)</f>
        <v>2</v>
      </c>
      <c r="V12" s="59">
        <f t="shared" si="0"/>
        <v>23</v>
      </c>
      <c r="W12" s="60">
        <f>IF((IF(ISERROR(V12/U12),0,(V12/U12)))&gt;1,1,(IF(ISERROR(V12/U12),0,(V12/U12))))</f>
        <v>1</v>
      </c>
      <c r="X12" s="61">
        <f>F12*W12</f>
        <v>0.03</v>
      </c>
      <c r="Y12" s="62" t="s">
        <v>173</v>
      </c>
      <c r="Z12" s="62" t="s">
        <v>174</v>
      </c>
      <c r="AA12" s="63" t="s">
        <v>175</v>
      </c>
      <c r="AB12" s="64" t="s">
        <v>176</v>
      </c>
      <c r="AC12" s="64" t="s">
        <v>177</v>
      </c>
      <c r="AD12" s="65" t="s">
        <v>178</v>
      </c>
      <c r="AE12" s="64"/>
      <c r="AF12" s="66">
        <f>I12</f>
        <v>0</v>
      </c>
      <c r="AG12" s="66">
        <v>4</v>
      </c>
      <c r="AH12" s="67" t="s">
        <v>450</v>
      </c>
      <c r="AI12" s="68" t="s">
        <v>396</v>
      </c>
      <c r="AJ12" s="69">
        <f>L12</f>
        <v>1</v>
      </c>
      <c r="AK12" s="69">
        <v>3</v>
      </c>
      <c r="AL12" s="70" t="s">
        <v>447</v>
      </c>
      <c r="AM12" s="68" t="s">
        <v>396</v>
      </c>
      <c r="AN12" s="66">
        <f>O12</f>
        <v>0</v>
      </c>
      <c r="AO12" s="66">
        <v>7</v>
      </c>
      <c r="AP12" s="67" t="s">
        <v>451</v>
      </c>
      <c r="AQ12" s="68" t="s">
        <v>396</v>
      </c>
      <c r="AR12" s="69">
        <f>R12</f>
        <v>1</v>
      </c>
      <c r="AS12" s="71">
        <v>9</v>
      </c>
      <c r="AT12" s="72" t="s">
        <v>478</v>
      </c>
      <c r="AU12" s="68" t="s">
        <v>396</v>
      </c>
    </row>
    <row r="13" spans="1:47" ht="169.7" customHeight="1" thickTop="1" thickBot="1">
      <c r="A13" s="206"/>
      <c r="B13" s="207"/>
      <c r="C13" s="207"/>
      <c r="D13" s="12">
        <v>9</v>
      </c>
      <c r="E13" s="51" t="s">
        <v>179</v>
      </c>
      <c r="F13" s="52">
        <v>0.02</v>
      </c>
      <c r="G13" s="51" t="s">
        <v>180</v>
      </c>
      <c r="H13" s="51" t="s">
        <v>172</v>
      </c>
      <c r="I13" s="53">
        <v>1</v>
      </c>
      <c r="J13" s="54">
        <f>AG13</f>
        <v>0</v>
      </c>
      <c r="K13" s="58">
        <f>IF(ISERROR(J13/I13),"",(J13/I13))</f>
        <v>0</v>
      </c>
      <c r="L13" s="56">
        <v>0</v>
      </c>
      <c r="M13" s="57">
        <f>AK13</f>
        <v>0</v>
      </c>
      <c r="N13" s="55" t="str">
        <f>IF(ISERROR(M13/L13),"",(M13/L13))</f>
        <v/>
      </c>
      <c r="O13" s="53">
        <v>0</v>
      </c>
      <c r="P13" s="54">
        <f>AO13</f>
        <v>0</v>
      </c>
      <c r="Q13" s="58" t="str">
        <f>IF(ISERROR(P13/O13),"",(P13/O13))</f>
        <v/>
      </c>
      <c r="R13" s="56">
        <v>0</v>
      </c>
      <c r="S13" s="57">
        <f>AS13</f>
        <v>0</v>
      </c>
      <c r="T13" s="55" t="str">
        <f>IF(ISERROR(S13/R13),"",(S13/R13))</f>
        <v/>
      </c>
      <c r="U13" s="59">
        <f t="shared" si="0"/>
        <v>1</v>
      </c>
      <c r="V13" s="59">
        <f t="shared" si="0"/>
        <v>0</v>
      </c>
      <c r="W13" s="60">
        <f>IF((IF(ISERROR(V13/U13),0,(V13/U13)))&gt;1,1,(IF(ISERROR(V13/U13),0,(V13/U13))))</f>
        <v>0</v>
      </c>
      <c r="X13" s="61">
        <f>F13*W13</f>
        <v>0</v>
      </c>
      <c r="Y13" s="62" t="s">
        <v>181</v>
      </c>
      <c r="Z13" s="62" t="s">
        <v>182</v>
      </c>
      <c r="AA13" s="63" t="s">
        <v>183</v>
      </c>
      <c r="AB13" s="63" t="s">
        <v>184</v>
      </c>
      <c r="AC13" s="64" t="s">
        <v>177</v>
      </c>
      <c r="AD13" s="65" t="s">
        <v>185</v>
      </c>
      <c r="AE13" s="64"/>
      <c r="AF13" s="66">
        <f>I13</f>
        <v>1</v>
      </c>
      <c r="AG13" s="73">
        <v>0</v>
      </c>
      <c r="AH13" s="68" t="s">
        <v>397</v>
      </c>
      <c r="AI13" s="68" t="s">
        <v>378</v>
      </c>
      <c r="AJ13" s="69">
        <f>L13</f>
        <v>0</v>
      </c>
      <c r="AK13" s="69">
        <v>0</v>
      </c>
      <c r="AL13" s="74" t="s">
        <v>395</v>
      </c>
      <c r="AM13" s="75" t="s">
        <v>378</v>
      </c>
      <c r="AN13" s="66">
        <f>O13</f>
        <v>0</v>
      </c>
      <c r="AO13" s="66">
        <v>0</v>
      </c>
      <c r="AP13" s="67" t="s">
        <v>446</v>
      </c>
      <c r="AQ13" s="75" t="s">
        <v>378</v>
      </c>
      <c r="AR13" s="69">
        <f>R13</f>
        <v>0</v>
      </c>
      <c r="AS13" s="69">
        <v>0</v>
      </c>
      <c r="AT13" s="76" t="s">
        <v>479</v>
      </c>
      <c r="AU13" s="75" t="s">
        <v>378</v>
      </c>
    </row>
    <row r="14" spans="1:47" ht="177" customHeight="1" thickTop="1" thickBot="1">
      <c r="A14" s="206"/>
      <c r="B14" s="207"/>
      <c r="C14" s="207"/>
      <c r="D14" s="12">
        <v>10</v>
      </c>
      <c r="E14" s="51" t="s">
        <v>186</v>
      </c>
      <c r="F14" s="52">
        <v>0.02</v>
      </c>
      <c r="G14" s="51" t="s">
        <v>180</v>
      </c>
      <c r="H14" s="51" t="s">
        <v>172</v>
      </c>
      <c r="I14" s="53">
        <v>0</v>
      </c>
      <c r="J14" s="54">
        <f>AG14</f>
        <v>6</v>
      </c>
      <c r="K14" s="77">
        <v>1</v>
      </c>
      <c r="L14" s="56">
        <v>2</v>
      </c>
      <c r="M14" s="57">
        <f>AK14</f>
        <v>6</v>
      </c>
      <c r="N14" s="55">
        <f>IF(ISERROR(M14/L14),"",(M14/L14))</f>
        <v>3</v>
      </c>
      <c r="O14" s="53">
        <v>2</v>
      </c>
      <c r="P14" s="54">
        <f>AO14</f>
        <v>4</v>
      </c>
      <c r="Q14" s="77">
        <f>IF(ISERROR(P14/O14),"",(P14/O14))</f>
        <v>2</v>
      </c>
      <c r="R14" s="56">
        <v>2</v>
      </c>
      <c r="S14" s="57">
        <f>AS14</f>
        <v>5</v>
      </c>
      <c r="T14" s="55">
        <f>IF(ISERROR(S14/R14),"",(S14/R14))</f>
        <v>2.5</v>
      </c>
      <c r="U14" s="59">
        <f t="shared" si="0"/>
        <v>6</v>
      </c>
      <c r="V14" s="59">
        <f t="shared" si="0"/>
        <v>21</v>
      </c>
      <c r="W14" s="60">
        <f>IF((IF(ISERROR(V14/U14),0,(V14/U14)))&gt;1,1,(IF(ISERROR(V14/U14),0,(V14/U14))))</f>
        <v>1</v>
      </c>
      <c r="X14" s="61">
        <f>F14*W14</f>
        <v>0.02</v>
      </c>
      <c r="Y14" s="64" t="s">
        <v>187</v>
      </c>
      <c r="Z14" s="64" t="s">
        <v>188</v>
      </c>
      <c r="AA14" s="64" t="s">
        <v>189</v>
      </c>
      <c r="AB14" s="64" t="s">
        <v>190</v>
      </c>
      <c r="AC14" s="64" t="s">
        <v>177</v>
      </c>
      <c r="AD14" s="65" t="s">
        <v>191</v>
      </c>
      <c r="AE14" s="64"/>
      <c r="AF14" s="66">
        <f>I14</f>
        <v>0</v>
      </c>
      <c r="AG14" s="73">
        <v>6</v>
      </c>
      <c r="AH14" s="78" t="s">
        <v>449</v>
      </c>
      <c r="AI14" s="79" t="s">
        <v>396</v>
      </c>
      <c r="AJ14" s="69">
        <f>L14</f>
        <v>2</v>
      </c>
      <c r="AK14" s="69">
        <v>6</v>
      </c>
      <c r="AL14" s="80" t="s">
        <v>448</v>
      </c>
      <c r="AM14" s="79" t="s">
        <v>396</v>
      </c>
      <c r="AN14" s="66">
        <f>O14</f>
        <v>2</v>
      </c>
      <c r="AO14" s="66">
        <v>4</v>
      </c>
      <c r="AP14" s="78" t="s">
        <v>452</v>
      </c>
      <c r="AQ14" s="79" t="s">
        <v>396</v>
      </c>
      <c r="AR14" s="69">
        <f>R14</f>
        <v>2</v>
      </c>
      <c r="AS14" s="69">
        <v>5</v>
      </c>
      <c r="AT14" s="78" t="s">
        <v>480</v>
      </c>
      <c r="AU14" s="79" t="s">
        <v>396</v>
      </c>
    </row>
    <row r="15" spans="1:47" ht="58.7" customHeight="1" thickBot="1">
      <c r="A15" s="205"/>
      <c r="B15" s="205"/>
      <c r="C15" s="15" t="s">
        <v>192</v>
      </c>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f t="shared" ref="AF15:AF43" si="1">I15</f>
        <v>0</v>
      </c>
      <c r="AG15" s="205"/>
      <c r="AH15" s="205"/>
      <c r="AI15" s="205"/>
      <c r="AJ15" s="205">
        <f t="shared" ref="AJ15:AJ43" si="2">L15</f>
        <v>0</v>
      </c>
      <c r="AK15" s="205"/>
      <c r="AL15" s="205"/>
      <c r="AM15" s="205"/>
      <c r="AN15" s="205">
        <f t="shared" ref="AN15:AN57" si="3">O15</f>
        <v>0</v>
      </c>
      <c r="AO15" s="205"/>
      <c r="AP15" s="205"/>
      <c r="AQ15" s="205"/>
      <c r="AR15" s="205">
        <f t="shared" ref="AR15:AR57" si="4">R15</f>
        <v>0</v>
      </c>
      <c r="AS15" s="205"/>
      <c r="AT15" s="205"/>
      <c r="AU15" s="205"/>
    </row>
    <row r="16" spans="1:47" s="17" customFormat="1" ht="192.75" customHeight="1" thickBot="1">
      <c r="A16" s="206" t="s">
        <v>168</v>
      </c>
      <c r="B16" s="207"/>
      <c r="C16" s="207" t="s">
        <v>193</v>
      </c>
      <c r="D16" s="16">
        <v>1</v>
      </c>
      <c r="E16" s="81" t="s">
        <v>194</v>
      </c>
      <c r="F16" s="82">
        <v>0.02</v>
      </c>
      <c r="G16" s="83" t="s">
        <v>195</v>
      </c>
      <c r="H16" s="83" t="s">
        <v>196</v>
      </c>
      <c r="I16" s="84">
        <v>1</v>
      </c>
      <c r="J16" s="85">
        <f t="shared" ref="J16:J22" si="5">AG16</f>
        <v>1</v>
      </c>
      <c r="K16" s="77">
        <f t="shared" ref="K16:K22" si="6">IF(ISERROR(J16/I16),"",(J16/I16))</f>
        <v>1</v>
      </c>
      <c r="L16" s="86">
        <v>1</v>
      </c>
      <c r="M16" s="87">
        <f t="shared" ref="M16:M22" si="7">AK16</f>
        <v>0</v>
      </c>
      <c r="N16" s="88">
        <f t="shared" ref="N16:N22" si="8">IF(ISERROR(M16/L16),"",(M16/L16))</f>
        <v>0</v>
      </c>
      <c r="O16" s="84">
        <v>1</v>
      </c>
      <c r="P16" s="85">
        <f t="shared" ref="P16:P22" si="9">AO16</f>
        <v>1</v>
      </c>
      <c r="Q16" s="77">
        <f t="shared" ref="Q16:Q22" si="10">IF(ISERROR(P16/O16),"",(P16/O16))</f>
        <v>1</v>
      </c>
      <c r="R16" s="86">
        <v>1</v>
      </c>
      <c r="S16" s="89">
        <f t="shared" ref="S16:S22" si="11">AS16</f>
        <v>1</v>
      </c>
      <c r="T16" s="88">
        <f t="shared" ref="T16:T22" si="12">IF(ISERROR(S16/R16),"",(S16/R16))</f>
        <v>1</v>
      </c>
      <c r="U16" s="61">
        <f>SUM(I16,L16,O16,R16)/4</f>
        <v>1</v>
      </c>
      <c r="V16" s="90">
        <f>SUM(J16,M16,P16,S16)/3</f>
        <v>1</v>
      </c>
      <c r="W16" s="91">
        <f t="shared" ref="W16:W22" si="13">IF((IF(ISERROR(V16/U16),0,(V16/U16)))&gt;1,1,(IF(ISERROR(V16/U16),0,(V16/U16))))</f>
        <v>1</v>
      </c>
      <c r="X16" s="92">
        <f t="shared" ref="X16:X22" si="14">F16*W16</f>
        <v>0.02</v>
      </c>
      <c r="Y16" s="93" t="s">
        <v>197</v>
      </c>
      <c r="Z16" s="93" t="s">
        <v>198</v>
      </c>
      <c r="AA16" s="81" t="s">
        <v>199</v>
      </c>
      <c r="AB16" s="81" t="s">
        <v>200</v>
      </c>
      <c r="AC16" s="83" t="s">
        <v>177</v>
      </c>
      <c r="AD16" s="81" t="s">
        <v>201</v>
      </c>
      <c r="AE16" s="81"/>
      <c r="AF16" s="94">
        <f t="shared" si="1"/>
        <v>1</v>
      </c>
      <c r="AG16" s="94">
        <v>1</v>
      </c>
      <c r="AH16" s="95" t="s">
        <v>421</v>
      </c>
      <c r="AI16" s="95" t="s">
        <v>422</v>
      </c>
      <c r="AJ16" s="96">
        <f t="shared" si="2"/>
        <v>1</v>
      </c>
      <c r="AK16" s="97">
        <v>0</v>
      </c>
      <c r="AL16" s="98" t="s">
        <v>423</v>
      </c>
      <c r="AM16" s="95" t="s">
        <v>422</v>
      </c>
      <c r="AN16" s="94">
        <f t="shared" si="3"/>
        <v>1</v>
      </c>
      <c r="AO16" s="99">
        <v>1</v>
      </c>
      <c r="AP16" s="95" t="s">
        <v>481</v>
      </c>
      <c r="AQ16" s="95" t="s">
        <v>422</v>
      </c>
      <c r="AR16" s="96">
        <f t="shared" si="4"/>
        <v>1</v>
      </c>
      <c r="AS16" s="100">
        <v>1</v>
      </c>
      <c r="AT16" s="95" t="s">
        <v>482</v>
      </c>
      <c r="AU16" s="95" t="s">
        <v>422</v>
      </c>
    </row>
    <row r="17" spans="1:47" ht="105" customHeight="1" thickTop="1" thickBot="1">
      <c r="A17" s="206"/>
      <c r="B17" s="206"/>
      <c r="C17" s="207"/>
      <c r="D17" s="12">
        <v>2</v>
      </c>
      <c r="E17" s="101" t="s">
        <v>202</v>
      </c>
      <c r="F17" s="102">
        <v>0.03</v>
      </c>
      <c r="G17" s="51" t="s">
        <v>195</v>
      </c>
      <c r="H17" s="51" t="s">
        <v>203</v>
      </c>
      <c r="I17" s="84">
        <v>0.2</v>
      </c>
      <c r="J17" s="85">
        <f t="shared" si="5"/>
        <v>0.12424205813260457</v>
      </c>
      <c r="K17" s="77">
        <f t="shared" si="6"/>
        <v>0.6212102906630228</v>
      </c>
      <c r="L17" s="103">
        <v>0.45</v>
      </c>
      <c r="M17" s="104">
        <f t="shared" si="7"/>
        <v>0.18920606226638845</v>
      </c>
      <c r="N17" s="55">
        <f t="shared" si="8"/>
        <v>0.42045791614752986</v>
      </c>
      <c r="O17" s="84">
        <v>0.8</v>
      </c>
      <c r="P17" s="85">
        <f t="shared" si="9"/>
        <v>0.19975964683380387</v>
      </c>
      <c r="Q17" s="77">
        <f t="shared" si="10"/>
        <v>0.24969955854225484</v>
      </c>
      <c r="R17" s="103">
        <v>0.97</v>
      </c>
      <c r="S17" s="104">
        <f t="shared" si="11"/>
        <v>0.89429999999999998</v>
      </c>
      <c r="T17" s="55">
        <f t="shared" si="12"/>
        <v>0.92195876288659795</v>
      </c>
      <c r="U17" s="61">
        <f>R17</f>
        <v>0.97</v>
      </c>
      <c r="V17" s="90">
        <f>+S17</f>
        <v>0.89429999999999998</v>
      </c>
      <c r="W17" s="105">
        <f t="shared" si="13"/>
        <v>0.92195876288659795</v>
      </c>
      <c r="X17" s="92">
        <f t="shared" si="14"/>
        <v>2.7658762886597937E-2</v>
      </c>
      <c r="Y17" s="101" t="s">
        <v>204</v>
      </c>
      <c r="Z17" s="101" t="s">
        <v>205</v>
      </c>
      <c r="AA17" s="101" t="s">
        <v>206</v>
      </c>
      <c r="AB17" s="101" t="s">
        <v>207</v>
      </c>
      <c r="AC17" s="106" t="s">
        <v>177</v>
      </c>
      <c r="AD17" s="64" t="s">
        <v>208</v>
      </c>
      <c r="AE17" s="107" t="s">
        <v>209</v>
      </c>
      <c r="AF17" s="94">
        <f t="shared" si="1"/>
        <v>0.2</v>
      </c>
      <c r="AG17" s="94">
        <f>2350563825/18919228000</f>
        <v>0.12424205813260457</v>
      </c>
      <c r="AH17" s="95" t="s">
        <v>424</v>
      </c>
      <c r="AI17" s="95" t="s">
        <v>398</v>
      </c>
      <c r="AJ17" s="97">
        <f t="shared" si="2"/>
        <v>0.45</v>
      </c>
      <c r="AK17" s="97">
        <f>3579632631/18919228000</f>
        <v>0.18920606226638845</v>
      </c>
      <c r="AL17" s="95" t="s">
        <v>427</v>
      </c>
      <c r="AM17" s="75" t="s">
        <v>426</v>
      </c>
      <c r="AN17" s="94">
        <f t="shared" si="3"/>
        <v>0.8</v>
      </c>
      <c r="AO17" s="94">
        <f>4033863498/20193585451</f>
        <v>0.19975964683380387</v>
      </c>
      <c r="AP17" s="95" t="s">
        <v>483</v>
      </c>
      <c r="AQ17" s="75" t="s">
        <v>426</v>
      </c>
      <c r="AR17" s="96">
        <f t="shared" si="4"/>
        <v>0.97</v>
      </c>
      <c r="AS17" s="96">
        <v>0.89429999999999998</v>
      </c>
      <c r="AT17" s="76" t="s">
        <v>484</v>
      </c>
      <c r="AU17" s="75" t="s">
        <v>426</v>
      </c>
    </row>
    <row r="18" spans="1:47" s="17" customFormat="1" ht="98.45" customHeight="1" thickBot="1">
      <c r="A18" s="206"/>
      <c r="B18" s="206"/>
      <c r="C18" s="207"/>
      <c r="D18" s="16">
        <v>3</v>
      </c>
      <c r="E18" s="81" t="s">
        <v>210</v>
      </c>
      <c r="F18" s="82">
        <v>0.03</v>
      </c>
      <c r="G18" s="83" t="s">
        <v>195</v>
      </c>
      <c r="H18" s="83" t="s">
        <v>203</v>
      </c>
      <c r="I18" s="84">
        <v>0.01</v>
      </c>
      <c r="J18" s="85">
        <f t="shared" si="5"/>
        <v>2.1860465342454775E-2</v>
      </c>
      <c r="K18" s="77">
        <f t="shared" si="6"/>
        <v>2.1860465342454773</v>
      </c>
      <c r="L18" s="86">
        <v>0.06</v>
      </c>
      <c r="M18" s="108">
        <f t="shared" si="7"/>
        <v>3.7709810199443659E-2</v>
      </c>
      <c r="N18" s="88">
        <f t="shared" si="8"/>
        <v>0.62849683665739431</v>
      </c>
      <c r="O18" s="84">
        <v>0.16</v>
      </c>
      <c r="P18" s="85">
        <f t="shared" si="9"/>
        <v>7.030454847311951E-2</v>
      </c>
      <c r="Q18" s="77">
        <f t="shared" si="10"/>
        <v>0.43940342795699694</v>
      </c>
      <c r="R18" s="86">
        <v>0.4</v>
      </c>
      <c r="S18" s="108">
        <f t="shared" si="11"/>
        <v>0.13420000000000001</v>
      </c>
      <c r="T18" s="88">
        <f t="shared" si="12"/>
        <v>0.33550000000000002</v>
      </c>
      <c r="U18" s="61">
        <f>R18</f>
        <v>0.4</v>
      </c>
      <c r="V18" s="90">
        <f>+S18</f>
        <v>0.13420000000000001</v>
      </c>
      <c r="W18" s="105">
        <f t="shared" si="13"/>
        <v>0.33550000000000002</v>
      </c>
      <c r="X18" s="92">
        <f t="shared" si="14"/>
        <v>1.0065000000000001E-2</v>
      </c>
      <c r="Y18" s="81" t="s">
        <v>211</v>
      </c>
      <c r="Z18" s="81" t="s">
        <v>212</v>
      </c>
      <c r="AA18" s="81" t="s">
        <v>213</v>
      </c>
      <c r="AB18" s="81" t="s">
        <v>214</v>
      </c>
      <c r="AC18" s="109" t="s">
        <v>177</v>
      </c>
      <c r="AD18" s="110" t="s">
        <v>215</v>
      </c>
      <c r="AE18" s="111" t="s">
        <v>209</v>
      </c>
      <c r="AF18" s="94">
        <f t="shared" si="1"/>
        <v>0.01</v>
      </c>
      <c r="AG18" s="94">
        <f>413583128/18919228000</f>
        <v>2.1860465342454775E-2</v>
      </c>
      <c r="AH18" s="95" t="s">
        <v>425</v>
      </c>
      <c r="AI18" s="95" t="s">
        <v>398</v>
      </c>
      <c r="AJ18" s="97">
        <f t="shared" si="2"/>
        <v>0.06</v>
      </c>
      <c r="AK18" s="100">
        <f>713440497/18919228000</f>
        <v>3.7709810199443659E-2</v>
      </c>
      <c r="AL18" s="95" t="s">
        <v>428</v>
      </c>
      <c r="AM18" s="98" t="s">
        <v>426</v>
      </c>
      <c r="AN18" s="94">
        <f t="shared" si="3"/>
        <v>0.16</v>
      </c>
      <c r="AO18" s="112">
        <f>1330107782/18919228000</f>
        <v>7.030454847311951E-2</v>
      </c>
      <c r="AP18" s="95" t="s">
        <v>485</v>
      </c>
      <c r="AQ18" s="95" t="s">
        <v>426</v>
      </c>
      <c r="AR18" s="96">
        <f t="shared" si="4"/>
        <v>0.4</v>
      </c>
      <c r="AS18" s="96">
        <v>0.13420000000000001</v>
      </c>
      <c r="AT18" s="76" t="s">
        <v>486</v>
      </c>
      <c r="AU18" s="95" t="s">
        <v>426</v>
      </c>
    </row>
    <row r="19" spans="1:47" s="17" customFormat="1" ht="178.5" customHeight="1" thickBot="1">
      <c r="A19" s="206"/>
      <c r="B19" s="206"/>
      <c r="C19" s="207"/>
      <c r="D19" s="16">
        <v>4</v>
      </c>
      <c r="E19" s="81" t="s">
        <v>216</v>
      </c>
      <c r="F19" s="82">
        <v>0.03</v>
      </c>
      <c r="G19" s="83" t="s">
        <v>195</v>
      </c>
      <c r="H19" s="83" t="s">
        <v>203</v>
      </c>
      <c r="I19" s="84">
        <v>0.03</v>
      </c>
      <c r="J19" s="85">
        <f t="shared" si="5"/>
        <v>0.19353113499925775</v>
      </c>
      <c r="K19" s="77">
        <f t="shared" si="6"/>
        <v>6.4510378333085923</v>
      </c>
      <c r="L19" s="86">
        <v>0.27</v>
      </c>
      <c r="M19" s="108">
        <f t="shared" si="7"/>
        <v>0.46315717426913533</v>
      </c>
      <c r="N19" s="88">
        <f t="shared" si="8"/>
        <v>1.7153969417375381</v>
      </c>
      <c r="O19" s="84">
        <v>0.5</v>
      </c>
      <c r="P19" s="85">
        <f t="shared" si="9"/>
        <v>0.46315717426913533</v>
      </c>
      <c r="Q19" s="77">
        <f t="shared" si="10"/>
        <v>0.92631434853827066</v>
      </c>
      <c r="R19" s="86">
        <v>0.93</v>
      </c>
      <c r="S19" s="108">
        <f t="shared" si="11"/>
        <v>0.77516277352235907</v>
      </c>
      <c r="T19" s="88">
        <f t="shared" si="12"/>
        <v>0.83350835862619255</v>
      </c>
      <c r="U19" s="61">
        <f>R19</f>
        <v>0.93</v>
      </c>
      <c r="V19" s="90">
        <f>+S19</f>
        <v>0.77516277352235907</v>
      </c>
      <c r="W19" s="105">
        <f t="shared" si="13"/>
        <v>0.83350835862619255</v>
      </c>
      <c r="X19" s="92">
        <f t="shared" si="14"/>
        <v>2.5005250758785777E-2</v>
      </c>
      <c r="Y19" s="81" t="s">
        <v>217</v>
      </c>
      <c r="Z19" s="81" t="s">
        <v>218</v>
      </c>
      <c r="AA19" s="81" t="s">
        <v>219</v>
      </c>
      <c r="AB19" s="81" t="s">
        <v>220</v>
      </c>
      <c r="AC19" s="109" t="s">
        <v>177</v>
      </c>
      <c r="AD19" s="110" t="s">
        <v>221</v>
      </c>
      <c r="AE19" s="111" t="s">
        <v>222</v>
      </c>
      <c r="AF19" s="94">
        <f t="shared" si="1"/>
        <v>0.03</v>
      </c>
      <c r="AG19" s="94">
        <f>(3660896741+151010935)/19696612000</f>
        <v>0.19353113499925775</v>
      </c>
      <c r="AH19" s="95" t="s">
        <v>444</v>
      </c>
      <c r="AI19" s="95" t="s">
        <v>398</v>
      </c>
      <c r="AJ19" s="97">
        <f t="shared" si="2"/>
        <v>0.27</v>
      </c>
      <c r="AK19" s="97">
        <f>5500339049/11875750511</f>
        <v>0.46315717426913533</v>
      </c>
      <c r="AL19" s="95" t="s">
        <v>487</v>
      </c>
      <c r="AM19" s="98" t="s">
        <v>426</v>
      </c>
      <c r="AN19" s="94">
        <f t="shared" si="3"/>
        <v>0.5</v>
      </c>
      <c r="AO19" s="112">
        <f>5500339049/11875750511</f>
        <v>0.46315717426913533</v>
      </c>
      <c r="AP19" s="95" t="s">
        <v>488</v>
      </c>
      <c r="AQ19" s="95" t="s">
        <v>426</v>
      </c>
      <c r="AR19" s="96">
        <f t="shared" si="4"/>
        <v>0.93</v>
      </c>
      <c r="AS19" s="113">
        <f>9443183277/12182193985</f>
        <v>0.77516277352235907</v>
      </c>
      <c r="AT19" s="95" t="s">
        <v>489</v>
      </c>
      <c r="AU19" s="95" t="s">
        <v>426</v>
      </c>
    </row>
    <row r="20" spans="1:47" s="17" customFormat="1" ht="92.45" customHeight="1" thickBot="1">
      <c r="A20" s="206"/>
      <c r="B20" s="206"/>
      <c r="C20" s="207"/>
      <c r="D20" s="16">
        <v>5</v>
      </c>
      <c r="E20" s="81" t="s">
        <v>223</v>
      </c>
      <c r="F20" s="82">
        <v>0.03</v>
      </c>
      <c r="G20" s="83" t="s">
        <v>195</v>
      </c>
      <c r="H20" s="83" t="s">
        <v>196</v>
      </c>
      <c r="I20" s="84">
        <v>0.97</v>
      </c>
      <c r="J20" s="85">
        <f t="shared" si="5"/>
        <v>0.9996511328164055</v>
      </c>
      <c r="K20" s="77">
        <f t="shared" si="6"/>
        <v>1.0305681781612428</v>
      </c>
      <c r="L20" s="86">
        <v>0.97</v>
      </c>
      <c r="M20" s="108">
        <f t="shared" si="7"/>
        <v>0.99560000000000004</v>
      </c>
      <c r="N20" s="88">
        <f t="shared" si="8"/>
        <v>1.0263917525773196</v>
      </c>
      <c r="O20" s="84">
        <v>0.97</v>
      </c>
      <c r="P20" s="85">
        <f t="shared" si="9"/>
        <v>0.99564033141159225</v>
      </c>
      <c r="Q20" s="77">
        <f t="shared" si="10"/>
        <v>1.026433331352157</v>
      </c>
      <c r="R20" s="86">
        <v>0.97</v>
      </c>
      <c r="S20" s="108">
        <f t="shared" si="11"/>
        <v>0.99880000000000002</v>
      </c>
      <c r="T20" s="88">
        <f t="shared" si="12"/>
        <v>1.0296907216494846</v>
      </c>
      <c r="U20" s="61">
        <f>SUM(I20,L20,O20,R20)/4</f>
        <v>0.97</v>
      </c>
      <c r="V20" s="90">
        <f>SUM(J20,M20,P20,S20)/4</f>
        <v>0.99742286605699948</v>
      </c>
      <c r="W20" s="105">
        <f t="shared" si="13"/>
        <v>1</v>
      </c>
      <c r="X20" s="92">
        <f t="shared" si="14"/>
        <v>0.03</v>
      </c>
      <c r="Y20" s="81" t="s">
        <v>224</v>
      </c>
      <c r="Z20" s="81" t="s">
        <v>225</v>
      </c>
      <c r="AA20" s="81" t="s">
        <v>226</v>
      </c>
      <c r="AB20" s="81" t="s">
        <v>227</v>
      </c>
      <c r="AC20" s="109" t="s">
        <v>177</v>
      </c>
      <c r="AD20" s="110" t="s">
        <v>228</v>
      </c>
      <c r="AE20" s="110"/>
      <c r="AF20" s="94">
        <f t="shared" si="1"/>
        <v>0.97</v>
      </c>
      <c r="AG20" s="94">
        <f>4268072289/4269561799</f>
        <v>0.9996511328164055</v>
      </c>
      <c r="AH20" s="95" t="s">
        <v>400</v>
      </c>
      <c r="AI20" s="95" t="s">
        <v>398</v>
      </c>
      <c r="AJ20" s="97">
        <f t="shared" si="2"/>
        <v>0.97</v>
      </c>
      <c r="AK20" s="97">
        <v>0.99560000000000004</v>
      </c>
      <c r="AL20" s="95" t="s">
        <v>437</v>
      </c>
      <c r="AM20" s="114"/>
      <c r="AN20" s="94">
        <f t="shared" si="3"/>
        <v>0.97</v>
      </c>
      <c r="AO20" s="94">
        <f>2167341256/2176831520</f>
        <v>0.99564033141159225</v>
      </c>
      <c r="AP20" s="95" t="s">
        <v>490</v>
      </c>
      <c r="AQ20" s="95" t="s">
        <v>426</v>
      </c>
      <c r="AR20" s="97">
        <f t="shared" si="4"/>
        <v>0.97</v>
      </c>
      <c r="AS20" s="97">
        <v>0.99880000000000002</v>
      </c>
      <c r="AT20" s="95" t="s">
        <v>491</v>
      </c>
      <c r="AU20" s="95" t="s">
        <v>426</v>
      </c>
    </row>
    <row r="21" spans="1:47" ht="163.15" customHeight="1" thickBot="1">
      <c r="A21" s="206"/>
      <c r="B21" s="206"/>
      <c r="C21" s="207"/>
      <c r="D21" s="12">
        <v>6</v>
      </c>
      <c r="E21" s="101" t="s">
        <v>229</v>
      </c>
      <c r="F21" s="102">
        <v>0.02</v>
      </c>
      <c r="G21" s="115" t="s">
        <v>195</v>
      </c>
      <c r="H21" s="115" t="s">
        <v>196</v>
      </c>
      <c r="I21" s="84">
        <v>1</v>
      </c>
      <c r="J21" s="85">
        <f t="shared" si="5"/>
        <v>1</v>
      </c>
      <c r="K21" s="77">
        <f t="shared" si="6"/>
        <v>1</v>
      </c>
      <c r="L21" s="103">
        <v>1</v>
      </c>
      <c r="M21" s="104">
        <f t="shared" si="7"/>
        <v>1</v>
      </c>
      <c r="N21" s="55">
        <f t="shared" si="8"/>
        <v>1</v>
      </c>
      <c r="O21" s="84">
        <v>1</v>
      </c>
      <c r="P21" s="85">
        <f t="shared" si="9"/>
        <v>1</v>
      </c>
      <c r="Q21" s="77">
        <f t="shared" si="10"/>
        <v>1</v>
      </c>
      <c r="R21" s="103">
        <v>1</v>
      </c>
      <c r="S21" s="104">
        <f t="shared" si="11"/>
        <v>1</v>
      </c>
      <c r="T21" s="55">
        <f t="shared" si="12"/>
        <v>1</v>
      </c>
      <c r="U21" s="61">
        <f>SUM(I21,L21,O21,R21)/4</f>
        <v>1</v>
      </c>
      <c r="V21" s="61">
        <f>SUM(J21,M21,P21,S21)/4</f>
        <v>1</v>
      </c>
      <c r="W21" s="105">
        <f t="shared" si="13"/>
        <v>1</v>
      </c>
      <c r="X21" s="92">
        <f t="shared" si="14"/>
        <v>0.02</v>
      </c>
      <c r="Y21" s="101" t="s">
        <v>230</v>
      </c>
      <c r="Z21" s="101" t="s">
        <v>231</v>
      </c>
      <c r="AA21" s="51" t="s">
        <v>232</v>
      </c>
      <c r="AB21" s="101" t="s">
        <v>233</v>
      </c>
      <c r="AC21" s="106" t="s">
        <v>177</v>
      </c>
      <c r="AD21" s="64" t="s">
        <v>234</v>
      </c>
      <c r="AE21" s="64" t="s">
        <v>235</v>
      </c>
      <c r="AF21" s="94">
        <f t="shared" si="1"/>
        <v>1</v>
      </c>
      <c r="AG21" s="94">
        <v>1</v>
      </c>
      <c r="AH21" s="95" t="s">
        <v>399</v>
      </c>
      <c r="AI21" s="95" t="s">
        <v>454</v>
      </c>
      <c r="AJ21" s="97">
        <f t="shared" si="2"/>
        <v>1</v>
      </c>
      <c r="AK21" s="97">
        <v>1</v>
      </c>
      <c r="AL21" s="95" t="s">
        <v>419</v>
      </c>
      <c r="AM21" s="95" t="s">
        <v>454</v>
      </c>
      <c r="AN21" s="94">
        <f t="shared" si="3"/>
        <v>1</v>
      </c>
      <c r="AO21" s="112">
        <v>1</v>
      </c>
      <c r="AP21" s="95" t="s">
        <v>470</v>
      </c>
      <c r="AQ21" s="95" t="s">
        <v>454</v>
      </c>
      <c r="AR21" s="97">
        <f t="shared" si="4"/>
        <v>1</v>
      </c>
      <c r="AS21" s="116">
        <v>1</v>
      </c>
      <c r="AT21" s="117" t="s">
        <v>492</v>
      </c>
      <c r="AU21" s="95" t="s">
        <v>454</v>
      </c>
    </row>
    <row r="22" spans="1:47" ht="168.6" customHeight="1" thickBot="1">
      <c r="A22" s="206"/>
      <c r="B22" s="206"/>
      <c r="C22" s="207"/>
      <c r="D22" s="12">
        <v>7</v>
      </c>
      <c r="E22" s="101" t="s">
        <v>236</v>
      </c>
      <c r="F22" s="102">
        <v>0.02</v>
      </c>
      <c r="G22" s="115" t="s">
        <v>195</v>
      </c>
      <c r="H22" s="115" t="s">
        <v>203</v>
      </c>
      <c r="I22" s="84">
        <v>1</v>
      </c>
      <c r="J22" s="85">
        <f t="shared" si="5"/>
        <v>1</v>
      </c>
      <c r="K22" s="77">
        <f t="shared" si="6"/>
        <v>1</v>
      </c>
      <c r="L22" s="103">
        <v>1</v>
      </c>
      <c r="M22" s="104">
        <f t="shared" si="7"/>
        <v>1</v>
      </c>
      <c r="N22" s="55">
        <f t="shared" si="8"/>
        <v>1</v>
      </c>
      <c r="O22" s="84">
        <v>1</v>
      </c>
      <c r="P22" s="85">
        <f t="shared" si="9"/>
        <v>1</v>
      </c>
      <c r="Q22" s="77">
        <f t="shared" si="10"/>
        <v>1</v>
      </c>
      <c r="R22" s="103">
        <v>1</v>
      </c>
      <c r="S22" s="104">
        <f t="shared" si="11"/>
        <v>1</v>
      </c>
      <c r="T22" s="55">
        <f t="shared" si="12"/>
        <v>1</v>
      </c>
      <c r="U22" s="61">
        <f>R22</f>
        <v>1</v>
      </c>
      <c r="V22" s="61">
        <f>SUM(J22,M22,P22,S22)/4</f>
        <v>1</v>
      </c>
      <c r="W22" s="105">
        <f t="shared" si="13"/>
        <v>1</v>
      </c>
      <c r="X22" s="92">
        <f t="shared" si="14"/>
        <v>0.02</v>
      </c>
      <c r="Y22" s="101" t="s">
        <v>237</v>
      </c>
      <c r="Z22" s="101" t="s">
        <v>238</v>
      </c>
      <c r="AA22" s="51" t="s">
        <v>239</v>
      </c>
      <c r="AB22" s="101" t="s">
        <v>240</v>
      </c>
      <c r="AC22" s="106" t="s">
        <v>177</v>
      </c>
      <c r="AD22" s="64" t="s">
        <v>234</v>
      </c>
      <c r="AE22" s="64" t="s">
        <v>241</v>
      </c>
      <c r="AF22" s="94">
        <f t="shared" si="1"/>
        <v>1</v>
      </c>
      <c r="AG22" s="94">
        <v>1</v>
      </c>
      <c r="AH22" s="95" t="s">
        <v>418</v>
      </c>
      <c r="AI22" s="95" t="s">
        <v>453</v>
      </c>
      <c r="AJ22" s="97">
        <f t="shared" si="2"/>
        <v>1</v>
      </c>
      <c r="AK22" s="97">
        <v>1</v>
      </c>
      <c r="AL22" s="95" t="s">
        <v>420</v>
      </c>
      <c r="AM22" s="95" t="s">
        <v>453</v>
      </c>
      <c r="AN22" s="94">
        <f t="shared" si="3"/>
        <v>1</v>
      </c>
      <c r="AO22" s="112">
        <v>1</v>
      </c>
      <c r="AP22" s="95" t="s">
        <v>470</v>
      </c>
      <c r="AQ22" s="95" t="s">
        <v>453</v>
      </c>
      <c r="AR22" s="97">
        <f t="shared" si="4"/>
        <v>1</v>
      </c>
      <c r="AS22" s="116">
        <v>1</v>
      </c>
      <c r="AT22" s="117" t="s">
        <v>493</v>
      </c>
      <c r="AU22" s="95" t="s">
        <v>453</v>
      </c>
    </row>
    <row r="23" spans="1:47" ht="51.4" customHeight="1" thickBot="1">
      <c r="A23" s="204"/>
      <c r="B23" s="204"/>
      <c r="C23" s="15" t="s">
        <v>242</v>
      </c>
      <c r="D23" s="14"/>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f t="shared" si="1"/>
        <v>0</v>
      </c>
      <c r="AG23" s="210"/>
      <c r="AH23" s="210"/>
      <c r="AI23" s="210"/>
      <c r="AJ23" s="210">
        <f t="shared" si="2"/>
        <v>0</v>
      </c>
      <c r="AK23" s="210"/>
      <c r="AL23" s="210"/>
      <c r="AM23" s="210"/>
      <c r="AN23" s="210">
        <f t="shared" si="3"/>
        <v>0</v>
      </c>
      <c r="AO23" s="210"/>
      <c r="AP23" s="210"/>
      <c r="AQ23" s="210"/>
      <c r="AR23" s="210">
        <f t="shared" si="4"/>
        <v>0</v>
      </c>
      <c r="AS23" s="210"/>
      <c r="AT23" s="210"/>
      <c r="AU23" s="210"/>
    </row>
    <row r="24" spans="1:47" ht="189.95" customHeight="1" thickBot="1">
      <c r="A24" s="203" t="s">
        <v>243</v>
      </c>
      <c r="B24" s="203"/>
      <c r="C24" s="203" t="s">
        <v>244</v>
      </c>
      <c r="D24" s="13">
        <v>1</v>
      </c>
      <c r="E24" s="101" t="s">
        <v>245</v>
      </c>
      <c r="F24" s="118">
        <v>0.01</v>
      </c>
      <c r="G24" s="51" t="s">
        <v>195</v>
      </c>
      <c r="H24" s="51" t="s">
        <v>196</v>
      </c>
      <c r="I24" s="84">
        <v>1</v>
      </c>
      <c r="J24" s="119">
        <f t="shared" ref="J24:J43" si="15">AG24</f>
        <v>0.9598214285714286</v>
      </c>
      <c r="K24" s="77">
        <f t="shared" ref="K24:K40" si="16">IF(ISERROR(J24/I24),"",(J24/I24))</f>
        <v>0.9598214285714286</v>
      </c>
      <c r="L24" s="103">
        <v>1</v>
      </c>
      <c r="M24" s="120">
        <f t="shared" ref="M24:M43" si="17">AK24</f>
        <v>0.92473118279569888</v>
      </c>
      <c r="N24" s="55">
        <f t="shared" ref="N24:N40" si="18">IF(ISERROR(M24/L24),"",(M24/L24))</f>
        <v>0.92473118279569888</v>
      </c>
      <c r="O24" s="84">
        <v>1</v>
      </c>
      <c r="P24" s="119">
        <f t="shared" ref="P24:P43" si="19">AO24</f>
        <v>0.85135135135135098</v>
      </c>
      <c r="Q24" s="77">
        <f t="shared" ref="Q24:Q40" si="20">IF(ISERROR(P24/O24),"",(P24/O24))</f>
        <v>0.85135135135135098</v>
      </c>
      <c r="R24" s="103">
        <v>1</v>
      </c>
      <c r="S24" s="120">
        <f t="shared" ref="S24:S43" si="21">AS24</f>
        <v>0.98181818181818181</v>
      </c>
      <c r="T24" s="55">
        <f t="shared" ref="T24:T40" si="22">IF(ISERROR(S24/R24),"",(S24/R24))</f>
        <v>0.98181818181818181</v>
      </c>
      <c r="U24" s="121">
        <f>SUM(I24,L24,O24,R24)/4</f>
        <v>1</v>
      </c>
      <c r="V24" s="121">
        <f>SUM(J24,M24,P24,S24)/4</f>
        <v>0.92943053613416504</v>
      </c>
      <c r="W24" s="105">
        <f t="shared" ref="W24:W40" si="23">IF((IF(ISERROR(V24/U24),0,(V24/U24)))&gt;1,1,(IF(ISERROR(V24/U24),0,(V24/U24))))</f>
        <v>0.92943053613416504</v>
      </c>
      <c r="X24" s="92">
        <f t="shared" ref="X24:X43" si="24">F24*W24</f>
        <v>9.2943053613416503E-3</v>
      </c>
      <c r="Y24" s="101" t="s">
        <v>246</v>
      </c>
      <c r="Z24" s="101" t="s">
        <v>247</v>
      </c>
      <c r="AA24" s="101" t="s">
        <v>248</v>
      </c>
      <c r="AB24" s="101" t="s">
        <v>249</v>
      </c>
      <c r="AC24" s="51" t="s">
        <v>177</v>
      </c>
      <c r="AD24" s="101" t="s">
        <v>250</v>
      </c>
      <c r="AE24" s="101" t="s">
        <v>251</v>
      </c>
      <c r="AF24" s="94">
        <f t="shared" si="1"/>
        <v>1</v>
      </c>
      <c r="AG24" s="99">
        <f>100%-(0.0401785714285714)</f>
        <v>0.9598214285714286</v>
      </c>
      <c r="AH24" s="95" t="s">
        <v>494</v>
      </c>
      <c r="AI24" s="78" t="s">
        <v>476</v>
      </c>
      <c r="AJ24" s="97">
        <f t="shared" si="2"/>
        <v>1</v>
      </c>
      <c r="AK24" s="100">
        <f>100%-7.52688172043011%</f>
        <v>0.92473118279569888</v>
      </c>
      <c r="AL24" s="122" t="s">
        <v>475</v>
      </c>
      <c r="AM24" s="98" t="s">
        <v>476</v>
      </c>
      <c r="AN24" s="94">
        <f t="shared" si="3"/>
        <v>1</v>
      </c>
      <c r="AO24" s="100">
        <f>100%-14.8648648648649%</f>
        <v>0.85135135135135098</v>
      </c>
      <c r="AP24" s="122" t="s">
        <v>477</v>
      </c>
      <c r="AQ24" s="98" t="s">
        <v>476</v>
      </c>
      <c r="AR24" s="97">
        <f t="shared" si="4"/>
        <v>1</v>
      </c>
      <c r="AS24" s="100">
        <v>0.98181818181818181</v>
      </c>
      <c r="AT24" s="117" t="s">
        <v>495</v>
      </c>
      <c r="AU24" s="98" t="s">
        <v>496</v>
      </c>
    </row>
    <row r="25" spans="1:47" ht="168.2" customHeight="1" thickBot="1">
      <c r="A25" s="203"/>
      <c r="B25" s="203"/>
      <c r="C25" s="203"/>
      <c r="D25" s="13">
        <v>2</v>
      </c>
      <c r="E25" s="101" t="s">
        <v>252</v>
      </c>
      <c r="F25" s="118">
        <v>0</v>
      </c>
      <c r="G25" s="51" t="s">
        <v>195</v>
      </c>
      <c r="H25" s="51" t="s">
        <v>172</v>
      </c>
      <c r="I25" s="84">
        <v>0</v>
      </c>
      <c r="J25" s="85" t="str">
        <f t="shared" si="15"/>
        <v>NA</v>
      </c>
      <c r="K25" s="77" t="str">
        <f t="shared" si="16"/>
        <v/>
      </c>
      <c r="L25" s="103">
        <v>0</v>
      </c>
      <c r="M25" s="104">
        <f t="shared" si="17"/>
        <v>0</v>
      </c>
      <c r="N25" s="55" t="str">
        <f t="shared" si="18"/>
        <v/>
      </c>
      <c r="O25" s="84">
        <v>0</v>
      </c>
      <c r="P25" s="85">
        <f t="shared" si="19"/>
        <v>0</v>
      </c>
      <c r="Q25" s="77" t="str">
        <f t="shared" si="20"/>
        <v/>
      </c>
      <c r="R25" s="103">
        <v>0</v>
      </c>
      <c r="S25" s="104">
        <f t="shared" si="21"/>
        <v>0</v>
      </c>
      <c r="T25" s="55" t="str">
        <f t="shared" si="22"/>
        <v/>
      </c>
      <c r="U25" s="61">
        <f t="shared" ref="U25:V37" si="25">SUM(I25,L25,O25,R25)</f>
        <v>0</v>
      </c>
      <c r="V25" s="61">
        <f t="shared" si="25"/>
        <v>0</v>
      </c>
      <c r="W25" s="105">
        <f t="shared" si="23"/>
        <v>0</v>
      </c>
      <c r="X25" s="92">
        <f t="shared" si="24"/>
        <v>0</v>
      </c>
      <c r="Y25" s="109" t="s">
        <v>253</v>
      </c>
      <c r="Z25" s="109" t="s">
        <v>254</v>
      </c>
      <c r="AA25" s="110" t="s">
        <v>255</v>
      </c>
      <c r="AB25" s="110" t="s">
        <v>256</v>
      </c>
      <c r="AC25" s="51" t="s">
        <v>177</v>
      </c>
      <c r="AD25" s="101" t="s">
        <v>257</v>
      </c>
      <c r="AE25" s="123" t="s">
        <v>258</v>
      </c>
      <c r="AF25" s="94">
        <f t="shared" si="1"/>
        <v>0</v>
      </c>
      <c r="AG25" s="99" t="s">
        <v>378</v>
      </c>
      <c r="AH25" s="78" t="s">
        <v>378</v>
      </c>
      <c r="AI25" s="78" t="s">
        <v>378</v>
      </c>
      <c r="AJ25" s="97">
        <f t="shared" si="2"/>
        <v>0</v>
      </c>
      <c r="AK25" s="97"/>
      <c r="AL25" s="74"/>
      <c r="AM25" s="124"/>
      <c r="AN25" s="94">
        <f t="shared" si="3"/>
        <v>0</v>
      </c>
      <c r="AO25" s="99">
        <v>0</v>
      </c>
      <c r="AP25" s="95" t="s">
        <v>388</v>
      </c>
      <c r="AQ25" s="95" t="s">
        <v>378</v>
      </c>
      <c r="AR25" s="97">
        <f t="shared" si="4"/>
        <v>0</v>
      </c>
      <c r="AS25" s="97">
        <v>0</v>
      </c>
      <c r="AT25" s="98" t="s">
        <v>378</v>
      </c>
      <c r="AU25" s="95" t="s">
        <v>378</v>
      </c>
    </row>
    <row r="26" spans="1:47" ht="169.35" customHeight="1" thickBot="1">
      <c r="A26" s="203"/>
      <c r="B26" s="203"/>
      <c r="C26" s="203"/>
      <c r="D26" s="13">
        <v>3</v>
      </c>
      <c r="E26" s="101" t="s">
        <v>259</v>
      </c>
      <c r="F26" s="118">
        <v>0</v>
      </c>
      <c r="G26" s="51" t="s">
        <v>195</v>
      </c>
      <c r="H26" s="51" t="s">
        <v>172</v>
      </c>
      <c r="I26" s="84">
        <v>0</v>
      </c>
      <c r="J26" s="85">
        <f t="shared" si="15"/>
        <v>0</v>
      </c>
      <c r="K26" s="77" t="str">
        <f t="shared" si="16"/>
        <v/>
      </c>
      <c r="L26" s="103">
        <v>0</v>
      </c>
      <c r="M26" s="104">
        <f t="shared" si="17"/>
        <v>0</v>
      </c>
      <c r="N26" s="55" t="str">
        <f t="shared" si="18"/>
        <v/>
      </c>
      <c r="O26" s="84">
        <v>0</v>
      </c>
      <c r="P26" s="85">
        <f t="shared" si="19"/>
        <v>0</v>
      </c>
      <c r="Q26" s="77" t="str">
        <f t="shared" si="20"/>
        <v/>
      </c>
      <c r="R26" s="103">
        <v>0</v>
      </c>
      <c r="S26" s="104">
        <f t="shared" si="21"/>
        <v>0</v>
      </c>
      <c r="T26" s="55" t="str">
        <f t="shared" si="22"/>
        <v/>
      </c>
      <c r="U26" s="61">
        <f t="shared" si="25"/>
        <v>0</v>
      </c>
      <c r="V26" s="61">
        <f t="shared" si="25"/>
        <v>0</v>
      </c>
      <c r="W26" s="61">
        <f t="shared" si="23"/>
        <v>0</v>
      </c>
      <c r="X26" s="92">
        <f t="shared" si="24"/>
        <v>0</v>
      </c>
      <c r="Y26" s="109" t="s">
        <v>260</v>
      </c>
      <c r="Z26" s="109" t="s">
        <v>261</v>
      </c>
      <c r="AA26" s="110" t="s">
        <v>255</v>
      </c>
      <c r="AB26" s="110" t="s">
        <v>262</v>
      </c>
      <c r="AC26" s="51" t="s">
        <v>177</v>
      </c>
      <c r="AD26" s="101" t="s">
        <v>257</v>
      </c>
      <c r="AE26" s="101" t="s">
        <v>263</v>
      </c>
      <c r="AF26" s="94">
        <f t="shared" si="1"/>
        <v>0</v>
      </c>
      <c r="AG26" s="125">
        <v>0</v>
      </c>
      <c r="AH26" s="78" t="s">
        <v>378</v>
      </c>
      <c r="AI26" s="78" t="s">
        <v>378</v>
      </c>
      <c r="AJ26" s="97">
        <f t="shared" si="2"/>
        <v>0</v>
      </c>
      <c r="AK26" s="125">
        <v>0</v>
      </c>
      <c r="AL26" s="78" t="s">
        <v>378</v>
      </c>
      <c r="AM26" s="78" t="s">
        <v>378</v>
      </c>
      <c r="AN26" s="94">
        <f t="shared" si="3"/>
        <v>0</v>
      </c>
      <c r="AO26" s="99">
        <v>0</v>
      </c>
      <c r="AP26" s="95" t="s">
        <v>388</v>
      </c>
      <c r="AQ26" s="95" t="s">
        <v>378</v>
      </c>
      <c r="AR26" s="97">
        <f t="shared" si="4"/>
        <v>0</v>
      </c>
      <c r="AS26" s="97">
        <v>0</v>
      </c>
      <c r="AT26" s="98" t="s">
        <v>378</v>
      </c>
      <c r="AU26" s="95" t="s">
        <v>378</v>
      </c>
    </row>
    <row r="27" spans="1:47" ht="192.6" customHeight="1" thickBot="1">
      <c r="A27" s="203"/>
      <c r="B27" s="203"/>
      <c r="C27" s="203"/>
      <c r="D27" s="13">
        <v>4</v>
      </c>
      <c r="E27" s="101" t="s">
        <v>264</v>
      </c>
      <c r="F27" s="118">
        <v>0</v>
      </c>
      <c r="G27" s="51" t="s">
        <v>195</v>
      </c>
      <c r="H27" s="51" t="s">
        <v>172</v>
      </c>
      <c r="I27" s="84">
        <v>0</v>
      </c>
      <c r="J27" s="119">
        <f t="shared" si="15"/>
        <v>0</v>
      </c>
      <c r="K27" s="77" t="str">
        <f t="shared" si="16"/>
        <v/>
      </c>
      <c r="L27" s="103">
        <v>0</v>
      </c>
      <c r="M27" s="120">
        <f t="shared" si="17"/>
        <v>0</v>
      </c>
      <c r="N27" s="55" t="str">
        <f t="shared" si="18"/>
        <v/>
      </c>
      <c r="O27" s="84">
        <v>0</v>
      </c>
      <c r="P27" s="119">
        <f t="shared" si="19"/>
        <v>0</v>
      </c>
      <c r="Q27" s="77" t="str">
        <f t="shared" si="20"/>
        <v/>
      </c>
      <c r="R27" s="103">
        <v>0</v>
      </c>
      <c r="S27" s="120">
        <f t="shared" si="21"/>
        <v>0</v>
      </c>
      <c r="T27" s="55" t="str">
        <f t="shared" si="22"/>
        <v/>
      </c>
      <c r="U27" s="121">
        <f t="shared" si="25"/>
        <v>0</v>
      </c>
      <c r="V27" s="121">
        <f t="shared" si="25"/>
        <v>0</v>
      </c>
      <c r="W27" s="61">
        <f t="shared" si="23"/>
        <v>0</v>
      </c>
      <c r="X27" s="92">
        <f t="shared" si="24"/>
        <v>0</v>
      </c>
      <c r="Y27" s="109" t="s">
        <v>265</v>
      </c>
      <c r="Z27" s="109" t="s">
        <v>266</v>
      </c>
      <c r="AA27" s="110" t="s">
        <v>267</v>
      </c>
      <c r="AB27" s="110" t="s">
        <v>268</v>
      </c>
      <c r="AC27" s="51" t="s">
        <v>177</v>
      </c>
      <c r="AD27" s="101" t="s">
        <v>257</v>
      </c>
      <c r="AE27" s="101" t="s">
        <v>269</v>
      </c>
      <c r="AF27" s="94">
        <f t="shared" si="1"/>
        <v>0</v>
      </c>
      <c r="AG27" s="125">
        <v>0</v>
      </c>
      <c r="AH27" s="78" t="s">
        <v>378</v>
      </c>
      <c r="AI27" s="78" t="s">
        <v>378</v>
      </c>
      <c r="AJ27" s="97">
        <f t="shared" si="2"/>
        <v>0</v>
      </c>
      <c r="AK27" s="125">
        <v>0</v>
      </c>
      <c r="AL27" s="78" t="s">
        <v>378</v>
      </c>
      <c r="AM27" s="78" t="s">
        <v>378</v>
      </c>
      <c r="AN27" s="94">
        <f t="shared" si="3"/>
        <v>0</v>
      </c>
      <c r="AO27" s="99">
        <v>0</v>
      </c>
      <c r="AP27" s="95" t="s">
        <v>388</v>
      </c>
      <c r="AQ27" s="95" t="s">
        <v>378</v>
      </c>
      <c r="AR27" s="97">
        <f t="shared" si="4"/>
        <v>0</v>
      </c>
      <c r="AS27" s="97">
        <v>0</v>
      </c>
      <c r="AT27" s="98" t="s">
        <v>378</v>
      </c>
      <c r="AU27" s="95" t="s">
        <v>378</v>
      </c>
    </row>
    <row r="28" spans="1:47" ht="212.65" customHeight="1" thickBot="1">
      <c r="A28" s="203"/>
      <c r="B28" s="203"/>
      <c r="C28" s="203"/>
      <c r="D28" s="13">
        <v>5</v>
      </c>
      <c r="E28" s="51" t="s">
        <v>270</v>
      </c>
      <c r="F28" s="118">
        <v>0.04</v>
      </c>
      <c r="G28" s="51" t="s">
        <v>171</v>
      </c>
      <c r="H28" s="51" t="s">
        <v>172</v>
      </c>
      <c r="I28" s="53">
        <v>15</v>
      </c>
      <c r="J28" s="126">
        <f t="shared" si="15"/>
        <v>12</v>
      </c>
      <c r="K28" s="77">
        <f t="shared" si="16"/>
        <v>0.8</v>
      </c>
      <c r="L28" s="56">
        <v>23</v>
      </c>
      <c r="M28" s="127">
        <f t="shared" si="17"/>
        <v>4</v>
      </c>
      <c r="N28" s="55">
        <f t="shared" si="18"/>
        <v>0.17391304347826086</v>
      </c>
      <c r="O28" s="53">
        <v>23</v>
      </c>
      <c r="P28" s="126">
        <f t="shared" si="19"/>
        <v>24</v>
      </c>
      <c r="Q28" s="77">
        <f t="shared" si="20"/>
        <v>1.0434782608695652</v>
      </c>
      <c r="R28" s="56">
        <v>23</v>
      </c>
      <c r="S28" s="127">
        <f t="shared" si="21"/>
        <v>47</v>
      </c>
      <c r="T28" s="55">
        <f t="shared" si="22"/>
        <v>2.0434782608695654</v>
      </c>
      <c r="U28" s="128">
        <f t="shared" si="25"/>
        <v>84</v>
      </c>
      <c r="V28" s="128">
        <f t="shared" si="25"/>
        <v>87</v>
      </c>
      <c r="W28" s="61">
        <f t="shared" si="23"/>
        <v>1</v>
      </c>
      <c r="X28" s="92">
        <f t="shared" si="24"/>
        <v>0.04</v>
      </c>
      <c r="Y28" s="202" t="s">
        <v>271</v>
      </c>
      <c r="Z28" s="109" t="s">
        <v>272</v>
      </c>
      <c r="AA28" s="110" t="s">
        <v>273</v>
      </c>
      <c r="AB28" s="109" t="s">
        <v>274</v>
      </c>
      <c r="AC28" s="51" t="s">
        <v>177</v>
      </c>
      <c r="AD28" s="101" t="s">
        <v>257</v>
      </c>
      <c r="AE28" s="101" t="s">
        <v>275</v>
      </c>
      <c r="AF28" s="129">
        <f t="shared" si="1"/>
        <v>15</v>
      </c>
      <c r="AG28" s="129">
        <v>12</v>
      </c>
      <c r="AH28" s="79" t="s">
        <v>108</v>
      </c>
      <c r="AI28" s="79" t="s">
        <v>109</v>
      </c>
      <c r="AJ28" s="130">
        <f t="shared" si="2"/>
        <v>23</v>
      </c>
      <c r="AK28" s="130">
        <v>4</v>
      </c>
      <c r="AL28" s="131" t="s">
        <v>409</v>
      </c>
      <c r="AM28" s="114" t="s">
        <v>410</v>
      </c>
      <c r="AN28" s="129">
        <f t="shared" si="3"/>
        <v>23</v>
      </c>
      <c r="AO28" s="129">
        <v>24</v>
      </c>
      <c r="AP28" s="78" t="s">
        <v>463</v>
      </c>
      <c r="AQ28" s="114" t="s">
        <v>410</v>
      </c>
      <c r="AR28" s="130">
        <f t="shared" si="4"/>
        <v>23</v>
      </c>
      <c r="AS28" s="130">
        <f>34+7+1+3+2</f>
        <v>47</v>
      </c>
      <c r="AT28" s="98" t="s">
        <v>497</v>
      </c>
      <c r="AU28" s="114" t="s">
        <v>410</v>
      </c>
    </row>
    <row r="29" spans="1:47" ht="212.65" customHeight="1" thickBot="1">
      <c r="A29" s="203"/>
      <c r="B29" s="203"/>
      <c r="C29" s="203"/>
      <c r="D29" s="13">
        <v>6</v>
      </c>
      <c r="E29" s="201" t="s">
        <v>276</v>
      </c>
      <c r="F29" s="118">
        <v>0.04</v>
      </c>
      <c r="G29" s="51" t="s">
        <v>195</v>
      </c>
      <c r="H29" s="51" t="s">
        <v>172</v>
      </c>
      <c r="I29" s="84">
        <v>0.03</v>
      </c>
      <c r="J29" s="85">
        <f t="shared" si="15"/>
        <v>2.9411764705882353E-2</v>
      </c>
      <c r="K29" s="77">
        <f t="shared" si="16"/>
        <v>0.98039215686274517</v>
      </c>
      <c r="L29" s="103">
        <v>0.04</v>
      </c>
      <c r="M29" s="104">
        <f t="shared" si="17"/>
        <v>1.4705882352941176E-2</v>
      </c>
      <c r="N29" s="55">
        <f t="shared" si="18"/>
        <v>0.36764705882352938</v>
      </c>
      <c r="O29" s="84">
        <v>0.04</v>
      </c>
      <c r="P29" s="85">
        <f t="shared" si="19"/>
        <v>5.8823529411764705E-2</v>
      </c>
      <c r="Q29" s="77">
        <f t="shared" si="20"/>
        <v>1.4705882352941175</v>
      </c>
      <c r="R29" s="103">
        <v>0.02</v>
      </c>
      <c r="S29" s="104">
        <f t="shared" si="21"/>
        <v>2.9411764705882353E-2</v>
      </c>
      <c r="T29" s="55">
        <f t="shared" si="22"/>
        <v>1.4705882352941175</v>
      </c>
      <c r="U29" s="61">
        <f t="shared" si="25"/>
        <v>0.13</v>
      </c>
      <c r="V29" s="61">
        <f t="shared" si="25"/>
        <v>0.13235294117647059</v>
      </c>
      <c r="W29" s="61">
        <f t="shared" si="23"/>
        <v>1</v>
      </c>
      <c r="X29" s="92">
        <f t="shared" si="24"/>
        <v>0.04</v>
      </c>
      <c r="Y29" s="109" t="s">
        <v>277</v>
      </c>
      <c r="Z29" s="109" t="s">
        <v>278</v>
      </c>
      <c r="AA29" s="110" t="s">
        <v>279</v>
      </c>
      <c r="AB29" s="110" t="s">
        <v>280</v>
      </c>
      <c r="AC29" s="51" t="s">
        <v>177</v>
      </c>
      <c r="AD29" s="101" t="s">
        <v>257</v>
      </c>
      <c r="AE29" s="200" t="s">
        <v>281</v>
      </c>
      <c r="AF29" s="94">
        <f t="shared" si="1"/>
        <v>0.03</v>
      </c>
      <c r="AG29" s="112">
        <v>2.9411764705882353E-2</v>
      </c>
      <c r="AH29" s="79" t="s">
        <v>498</v>
      </c>
      <c r="AI29" s="79" t="s">
        <v>109</v>
      </c>
      <c r="AJ29" s="97">
        <f t="shared" si="2"/>
        <v>0.04</v>
      </c>
      <c r="AK29" s="100">
        <v>1.4705882352941176E-2</v>
      </c>
      <c r="AL29" s="131" t="s">
        <v>499</v>
      </c>
      <c r="AM29" s="114" t="s">
        <v>410</v>
      </c>
      <c r="AN29" s="94">
        <f t="shared" si="3"/>
        <v>0.04</v>
      </c>
      <c r="AO29" s="112">
        <v>5.8823529411764705E-2</v>
      </c>
      <c r="AP29" s="122" t="s">
        <v>500</v>
      </c>
      <c r="AQ29" s="114" t="s">
        <v>410</v>
      </c>
      <c r="AR29" s="97">
        <f t="shared" si="4"/>
        <v>0.02</v>
      </c>
      <c r="AS29" s="100">
        <v>2.9411764705882353E-2</v>
      </c>
      <c r="AT29" s="98" t="s">
        <v>501</v>
      </c>
      <c r="AU29" s="114" t="s">
        <v>410</v>
      </c>
    </row>
    <row r="30" spans="1:47" ht="212.65" customHeight="1" thickBot="1">
      <c r="A30" s="203"/>
      <c r="B30" s="203"/>
      <c r="C30" s="203"/>
      <c r="D30" s="13">
        <v>7</v>
      </c>
      <c r="E30" s="51" t="s">
        <v>282</v>
      </c>
      <c r="F30" s="118">
        <v>0.04</v>
      </c>
      <c r="G30" s="51" t="s">
        <v>171</v>
      </c>
      <c r="H30" s="51" t="s">
        <v>172</v>
      </c>
      <c r="I30" s="53">
        <v>15</v>
      </c>
      <c r="J30" s="126">
        <f t="shared" si="15"/>
        <v>11</v>
      </c>
      <c r="K30" s="77">
        <f t="shared" si="16"/>
        <v>0.73333333333333328</v>
      </c>
      <c r="L30" s="56">
        <v>30</v>
      </c>
      <c r="M30" s="127">
        <f t="shared" si="17"/>
        <v>15</v>
      </c>
      <c r="N30" s="55">
        <f t="shared" si="18"/>
        <v>0.5</v>
      </c>
      <c r="O30" s="53">
        <v>30</v>
      </c>
      <c r="P30" s="126">
        <f t="shared" si="19"/>
        <v>50</v>
      </c>
      <c r="Q30" s="77">
        <f t="shared" si="20"/>
        <v>1.6666666666666667</v>
      </c>
      <c r="R30" s="56">
        <v>25</v>
      </c>
      <c r="S30" s="127">
        <f t="shared" si="21"/>
        <v>25</v>
      </c>
      <c r="T30" s="55">
        <f t="shared" si="22"/>
        <v>1</v>
      </c>
      <c r="U30" s="128">
        <f t="shared" si="25"/>
        <v>100</v>
      </c>
      <c r="V30" s="128">
        <f t="shared" si="25"/>
        <v>101</v>
      </c>
      <c r="W30" s="61">
        <f t="shared" si="23"/>
        <v>1</v>
      </c>
      <c r="X30" s="92">
        <f t="shared" si="24"/>
        <v>0.04</v>
      </c>
      <c r="Y30" s="109" t="s">
        <v>283</v>
      </c>
      <c r="Z30" s="109" t="s">
        <v>284</v>
      </c>
      <c r="AA30" s="110" t="s">
        <v>273</v>
      </c>
      <c r="AB30" s="110" t="s">
        <v>274</v>
      </c>
      <c r="AC30" s="51" t="s">
        <v>177</v>
      </c>
      <c r="AD30" s="101" t="s">
        <v>257</v>
      </c>
      <c r="AE30" s="101" t="s">
        <v>285</v>
      </c>
      <c r="AF30" s="129">
        <f t="shared" si="1"/>
        <v>15</v>
      </c>
      <c r="AG30" s="129">
        <v>11</v>
      </c>
      <c r="AH30" s="78" t="s">
        <v>385</v>
      </c>
      <c r="AI30" s="79" t="s">
        <v>377</v>
      </c>
      <c r="AJ30" s="130">
        <f t="shared" si="2"/>
        <v>30</v>
      </c>
      <c r="AK30" s="130">
        <v>15</v>
      </c>
      <c r="AL30" s="79" t="s">
        <v>429</v>
      </c>
      <c r="AM30" s="79" t="s">
        <v>430</v>
      </c>
      <c r="AN30" s="129">
        <f t="shared" si="3"/>
        <v>30</v>
      </c>
      <c r="AO30" s="129">
        <v>50</v>
      </c>
      <c r="AP30" s="79" t="s">
        <v>445</v>
      </c>
      <c r="AQ30" s="79" t="s">
        <v>430</v>
      </c>
      <c r="AR30" s="130">
        <f t="shared" si="4"/>
        <v>25</v>
      </c>
      <c r="AS30" s="130">
        <v>25</v>
      </c>
      <c r="AT30" s="98" t="s">
        <v>502</v>
      </c>
      <c r="AU30" s="79" t="s">
        <v>430</v>
      </c>
    </row>
    <row r="31" spans="1:47" ht="212.65" customHeight="1" thickBot="1">
      <c r="A31" s="203"/>
      <c r="B31" s="203"/>
      <c r="C31" s="203"/>
      <c r="D31" s="18">
        <v>8</v>
      </c>
      <c r="E31" s="51" t="s">
        <v>286</v>
      </c>
      <c r="F31" s="118">
        <v>0</v>
      </c>
      <c r="G31" s="51" t="s">
        <v>195</v>
      </c>
      <c r="H31" s="51" t="s">
        <v>172</v>
      </c>
      <c r="I31" s="84">
        <v>0</v>
      </c>
      <c r="J31" s="85">
        <f t="shared" si="15"/>
        <v>0</v>
      </c>
      <c r="K31" s="77" t="str">
        <f t="shared" si="16"/>
        <v/>
      </c>
      <c r="L31" s="103">
        <v>0</v>
      </c>
      <c r="M31" s="104">
        <f t="shared" si="17"/>
        <v>0</v>
      </c>
      <c r="N31" s="55" t="str">
        <f t="shared" si="18"/>
        <v/>
      </c>
      <c r="O31" s="84">
        <v>0</v>
      </c>
      <c r="P31" s="85">
        <f t="shared" si="19"/>
        <v>0</v>
      </c>
      <c r="Q31" s="77" t="str">
        <f t="shared" si="20"/>
        <v/>
      </c>
      <c r="R31" s="103">
        <v>0</v>
      </c>
      <c r="S31" s="104">
        <f t="shared" si="21"/>
        <v>0</v>
      </c>
      <c r="T31" s="55" t="str">
        <f t="shared" si="22"/>
        <v/>
      </c>
      <c r="U31" s="61">
        <f t="shared" si="25"/>
        <v>0</v>
      </c>
      <c r="V31" s="61">
        <f t="shared" si="25"/>
        <v>0</v>
      </c>
      <c r="W31" s="61">
        <f t="shared" si="23"/>
        <v>0</v>
      </c>
      <c r="X31" s="92">
        <f t="shared" si="24"/>
        <v>0</v>
      </c>
      <c r="Y31" s="109" t="s">
        <v>287</v>
      </c>
      <c r="Z31" s="109" t="s">
        <v>288</v>
      </c>
      <c r="AA31" s="110" t="s">
        <v>289</v>
      </c>
      <c r="AB31" s="109" t="s">
        <v>290</v>
      </c>
      <c r="AC31" s="51" t="s">
        <v>177</v>
      </c>
      <c r="AD31" s="101" t="s">
        <v>257</v>
      </c>
      <c r="AE31" s="123" t="s">
        <v>291</v>
      </c>
      <c r="AF31" s="94">
        <f t="shared" si="1"/>
        <v>0</v>
      </c>
      <c r="AG31" s="125">
        <v>0</v>
      </c>
      <c r="AH31" s="78" t="s">
        <v>378</v>
      </c>
      <c r="AI31" s="78" t="s">
        <v>378</v>
      </c>
      <c r="AJ31" s="97">
        <f t="shared" si="2"/>
        <v>0</v>
      </c>
      <c r="AK31" s="125">
        <v>0</v>
      </c>
      <c r="AL31" s="78" t="s">
        <v>378</v>
      </c>
      <c r="AM31" s="78" t="s">
        <v>378</v>
      </c>
      <c r="AN31" s="94">
        <f t="shared" si="3"/>
        <v>0</v>
      </c>
      <c r="AO31" s="99">
        <v>0</v>
      </c>
      <c r="AP31" s="95" t="s">
        <v>388</v>
      </c>
      <c r="AQ31" s="95" t="s">
        <v>378</v>
      </c>
      <c r="AR31" s="97">
        <f t="shared" si="4"/>
        <v>0</v>
      </c>
      <c r="AS31" s="97">
        <v>0</v>
      </c>
      <c r="AT31" s="98" t="s">
        <v>378</v>
      </c>
      <c r="AU31" s="95" t="s">
        <v>378</v>
      </c>
    </row>
    <row r="32" spans="1:47" ht="212.65" customHeight="1" thickBot="1">
      <c r="A32" s="203"/>
      <c r="B32" s="203"/>
      <c r="C32" s="203"/>
      <c r="D32" s="13">
        <v>9</v>
      </c>
      <c r="E32" s="51" t="s">
        <v>292</v>
      </c>
      <c r="F32" s="118">
        <v>0.04</v>
      </c>
      <c r="G32" s="51" t="s">
        <v>195</v>
      </c>
      <c r="H32" s="51" t="s">
        <v>172</v>
      </c>
      <c r="I32" s="84">
        <v>0.13</v>
      </c>
      <c r="J32" s="85">
        <f t="shared" si="15"/>
        <v>1.7857142857142856E-2</v>
      </c>
      <c r="K32" s="77">
        <f t="shared" si="16"/>
        <v>0.13736263736263735</v>
      </c>
      <c r="L32" s="103">
        <v>0.18</v>
      </c>
      <c r="M32" s="104">
        <f t="shared" si="17"/>
        <v>1.7857142857142856E-2</v>
      </c>
      <c r="N32" s="55">
        <f t="shared" si="18"/>
        <v>9.9206349206349201E-2</v>
      </c>
      <c r="O32" s="84">
        <v>0.18</v>
      </c>
      <c r="P32" s="85">
        <f t="shared" si="19"/>
        <v>0.17857142857142858</v>
      </c>
      <c r="Q32" s="77">
        <f t="shared" si="20"/>
        <v>0.99206349206349209</v>
      </c>
      <c r="R32" s="103">
        <v>0.11</v>
      </c>
      <c r="S32" s="104">
        <f t="shared" si="21"/>
        <v>0.39285714285714285</v>
      </c>
      <c r="T32" s="55">
        <f t="shared" si="22"/>
        <v>3.5714285714285712</v>
      </c>
      <c r="U32" s="61">
        <f t="shared" si="25"/>
        <v>0.6</v>
      </c>
      <c r="V32" s="61">
        <f t="shared" si="25"/>
        <v>0.60714285714285721</v>
      </c>
      <c r="W32" s="61">
        <f t="shared" si="23"/>
        <v>1</v>
      </c>
      <c r="X32" s="92">
        <f t="shared" si="24"/>
        <v>0.04</v>
      </c>
      <c r="Y32" s="109" t="s">
        <v>293</v>
      </c>
      <c r="Z32" s="109" t="s">
        <v>294</v>
      </c>
      <c r="AA32" s="110" t="s">
        <v>295</v>
      </c>
      <c r="AB32" s="109" t="s">
        <v>296</v>
      </c>
      <c r="AC32" s="51" t="s">
        <v>177</v>
      </c>
      <c r="AD32" s="101" t="s">
        <v>257</v>
      </c>
      <c r="AE32" s="101" t="s">
        <v>297</v>
      </c>
      <c r="AF32" s="94">
        <f t="shared" si="1"/>
        <v>0.13</v>
      </c>
      <c r="AG32" s="132">
        <v>1.7857142857142856E-2</v>
      </c>
      <c r="AH32" s="78" t="s">
        <v>384</v>
      </c>
      <c r="AI32" s="79" t="s">
        <v>379</v>
      </c>
      <c r="AJ32" s="97">
        <f t="shared" si="2"/>
        <v>0.18</v>
      </c>
      <c r="AK32" s="97">
        <v>1.7857142857142856E-2</v>
      </c>
      <c r="AL32" s="78" t="s">
        <v>431</v>
      </c>
      <c r="AM32" s="79" t="s">
        <v>379</v>
      </c>
      <c r="AN32" s="94">
        <f t="shared" si="3"/>
        <v>0.18</v>
      </c>
      <c r="AO32" s="112">
        <v>0.17857142857142858</v>
      </c>
      <c r="AP32" s="78" t="s">
        <v>503</v>
      </c>
      <c r="AQ32" s="79" t="s">
        <v>379</v>
      </c>
      <c r="AR32" s="97">
        <f t="shared" si="4"/>
        <v>0.11</v>
      </c>
      <c r="AS32" s="100">
        <v>0.39285714285714285</v>
      </c>
      <c r="AT32" s="76" t="s">
        <v>504</v>
      </c>
      <c r="AU32" s="79" t="s">
        <v>379</v>
      </c>
    </row>
    <row r="33" spans="1:47" ht="212.65" customHeight="1" thickBot="1">
      <c r="A33" s="203"/>
      <c r="B33" s="203"/>
      <c r="C33" s="203"/>
      <c r="D33" s="13">
        <v>10</v>
      </c>
      <c r="E33" s="51" t="s">
        <v>298</v>
      </c>
      <c r="F33" s="118">
        <v>0.04</v>
      </c>
      <c r="G33" s="51" t="s">
        <v>171</v>
      </c>
      <c r="H33" s="51" t="s">
        <v>172</v>
      </c>
      <c r="I33" s="53">
        <v>5</v>
      </c>
      <c r="J33" s="126">
        <f t="shared" si="15"/>
        <v>7</v>
      </c>
      <c r="K33" s="77">
        <f t="shared" si="16"/>
        <v>1.4</v>
      </c>
      <c r="L33" s="56">
        <v>6</v>
      </c>
      <c r="M33" s="127">
        <f t="shared" si="17"/>
        <v>0</v>
      </c>
      <c r="N33" s="55">
        <f t="shared" si="18"/>
        <v>0</v>
      </c>
      <c r="O33" s="53">
        <v>6</v>
      </c>
      <c r="P33" s="126">
        <f t="shared" si="19"/>
        <v>11</v>
      </c>
      <c r="Q33" s="77">
        <f t="shared" si="20"/>
        <v>1.8333333333333333</v>
      </c>
      <c r="R33" s="56">
        <v>5</v>
      </c>
      <c r="S33" s="127">
        <f t="shared" si="21"/>
        <v>5</v>
      </c>
      <c r="T33" s="55">
        <f t="shared" si="22"/>
        <v>1</v>
      </c>
      <c r="U33" s="128">
        <f t="shared" si="25"/>
        <v>22</v>
      </c>
      <c r="V33" s="128">
        <f t="shared" si="25"/>
        <v>23</v>
      </c>
      <c r="W33" s="61">
        <f t="shared" si="23"/>
        <v>1</v>
      </c>
      <c r="X33" s="92">
        <f t="shared" si="24"/>
        <v>0.04</v>
      </c>
      <c r="Y33" s="109" t="s">
        <v>299</v>
      </c>
      <c r="Z33" s="109" t="s">
        <v>300</v>
      </c>
      <c r="AA33" s="110" t="s">
        <v>301</v>
      </c>
      <c r="AB33" s="109" t="s">
        <v>302</v>
      </c>
      <c r="AC33" s="51" t="s">
        <v>177</v>
      </c>
      <c r="AD33" s="133" t="s">
        <v>303</v>
      </c>
      <c r="AE33" s="101" t="s">
        <v>304</v>
      </c>
      <c r="AF33" s="129">
        <f t="shared" si="1"/>
        <v>5</v>
      </c>
      <c r="AG33" s="129">
        <v>7</v>
      </c>
      <c r="AH33" s="79" t="s">
        <v>110</v>
      </c>
      <c r="AI33" s="79" t="s">
        <v>111</v>
      </c>
      <c r="AJ33" s="130">
        <f t="shared" si="2"/>
        <v>6</v>
      </c>
      <c r="AK33" s="130">
        <v>0</v>
      </c>
      <c r="AL33" s="122" t="s">
        <v>455</v>
      </c>
      <c r="AM33" s="114"/>
      <c r="AN33" s="129">
        <f t="shared" si="3"/>
        <v>6</v>
      </c>
      <c r="AO33" s="129">
        <v>11</v>
      </c>
      <c r="AP33" s="78" t="s">
        <v>505</v>
      </c>
      <c r="AQ33" s="79" t="s">
        <v>433</v>
      </c>
      <c r="AR33" s="130">
        <f t="shared" si="4"/>
        <v>5</v>
      </c>
      <c r="AS33" s="130">
        <v>5</v>
      </c>
      <c r="AT33" s="76" t="s">
        <v>506</v>
      </c>
      <c r="AU33" s="79" t="s">
        <v>433</v>
      </c>
    </row>
    <row r="34" spans="1:47" ht="127.5" customHeight="1" thickBot="1">
      <c r="A34" s="203"/>
      <c r="B34" s="203"/>
      <c r="C34" s="203"/>
      <c r="D34" s="13">
        <v>11</v>
      </c>
      <c r="E34" s="51" t="s">
        <v>305</v>
      </c>
      <c r="F34" s="118">
        <v>0.04</v>
      </c>
      <c r="G34" s="51" t="s">
        <v>171</v>
      </c>
      <c r="H34" s="51" t="s">
        <v>172</v>
      </c>
      <c r="I34" s="53">
        <v>0</v>
      </c>
      <c r="J34" s="126">
        <f t="shared" si="15"/>
        <v>0</v>
      </c>
      <c r="K34" s="77" t="str">
        <f t="shared" si="16"/>
        <v/>
      </c>
      <c r="L34" s="56">
        <v>1</v>
      </c>
      <c r="M34" s="127">
        <f t="shared" si="17"/>
        <v>1</v>
      </c>
      <c r="N34" s="55">
        <f t="shared" si="18"/>
        <v>1</v>
      </c>
      <c r="O34" s="53">
        <v>1</v>
      </c>
      <c r="P34" s="126">
        <f t="shared" si="19"/>
        <v>1</v>
      </c>
      <c r="Q34" s="77">
        <f t="shared" si="20"/>
        <v>1</v>
      </c>
      <c r="R34" s="56">
        <v>1</v>
      </c>
      <c r="S34" s="127">
        <f t="shared" si="21"/>
        <v>1</v>
      </c>
      <c r="T34" s="55">
        <f t="shared" si="22"/>
        <v>1</v>
      </c>
      <c r="U34" s="128">
        <f t="shared" si="25"/>
        <v>3</v>
      </c>
      <c r="V34" s="128">
        <f t="shared" si="25"/>
        <v>3</v>
      </c>
      <c r="W34" s="61">
        <f t="shared" si="23"/>
        <v>1</v>
      </c>
      <c r="X34" s="92">
        <f t="shared" si="24"/>
        <v>0.04</v>
      </c>
      <c r="Y34" s="109" t="s">
        <v>306</v>
      </c>
      <c r="Z34" s="109" t="s">
        <v>307</v>
      </c>
      <c r="AA34" s="110" t="s">
        <v>301</v>
      </c>
      <c r="AB34" s="109" t="s">
        <v>302</v>
      </c>
      <c r="AC34" s="51" t="s">
        <v>177</v>
      </c>
      <c r="AD34" s="133" t="s">
        <v>303</v>
      </c>
      <c r="AE34" s="101" t="s">
        <v>308</v>
      </c>
      <c r="AF34" s="129">
        <f t="shared" si="1"/>
        <v>0</v>
      </c>
      <c r="AG34" s="129">
        <v>0</v>
      </c>
      <c r="AH34" s="95" t="s">
        <v>386</v>
      </c>
      <c r="AI34" s="134"/>
      <c r="AJ34" s="130">
        <f t="shared" si="2"/>
        <v>1</v>
      </c>
      <c r="AK34" s="130">
        <v>1</v>
      </c>
      <c r="AL34" s="79" t="s">
        <v>432</v>
      </c>
      <c r="AM34" s="79" t="s">
        <v>433</v>
      </c>
      <c r="AN34" s="129">
        <f t="shared" si="3"/>
        <v>1</v>
      </c>
      <c r="AO34" s="129">
        <v>1</v>
      </c>
      <c r="AP34" s="79" t="s">
        <v>432</v>
      </c>
      <c r="AQ34" s="79" t="s">
        <v>433</v>
      </c>
      <c r="AR34" s="130">
        <f t="shared" si="4"/>
        <v>1</v>
      </c>
      <c r="AS34" s="130">
        <v>1</v>
      </c>
      <c r="AT34" s="72" t="s">
        <v>507</v>
      </c>
      <c r="AU34" s="79" t="s">
        <v>433</v>
      </c>
    </row>
    <row r="35" spans="1:47" s="19" customFormat="1" ht="141.19999999999999" customHeight="1" thickTop="1" thickBot="1">
      <c r="A35" s="203"/>
      <c r="B35" s="203"/>
      <c r="C35" s="203"/>
      <c r="D35" s="13">
        <v>12</v>
      </c>
      <c r="E35" s="51" t="s">
        <v>309</v>
      </c>
      <c r="F35" s="118">
        <v>0.03</v>
      </c>
      <c r="G35" s="51" t="s">
        <v>171</v>
      </c>
      <c r="H35" s="51" t="s">
        <v>172</v>
      </c>
      <c r="I35" s="53">
        <v>10</v>
      </c>
      <c r="J35" s="126">
        <f t="shared" si="15"/>
        <v>6</v>
      </c>
      <c r="K35" s="77">
        <f t="shared" si="16"/>
        <v>0.6</v>
      </c>
      <c r="L35" s="56">
        <v>10</v>
      </c>
      <c r="M35" s="127">
        <f t="shared" si="17"/>
        <v>10</v>
      </c>
      <c r="N35" s="55">
        <f t="shared" si="18"/>
        <v>1</v>
      </c>
      <c r="O35" s="53">
        <v>10</v>
      </c>
      <c r="P35" s="126">
        <f t="shared" si="19"/>
        <v>10</v>
      </c>
      <c r="Q35" s="77">
        <f t="shared" si="20"/>
        <v>1</v>
      </c>
      <c r="R35" s="56">
        <v>10</v>
      </c>
      <c r="S35" s="127">
        <f t="shared" si="21"/>
        <v>18</v>
      </c>
      <c r="T35" s="55">
        <f t="shared" si="22"/>
        <v>1.8</v>
      </c>
      <c r="U35" s="128">
        <f t="shared" si="25"/>
        <v>40</v>
      </c>
      <c r="V35" s="128">
        <f t="shared" si="25"/>
        <v>44</v>
      </c>
      <c r="W35" s="61">
        <f t="shared" si="23"/>
        <v>1</v>
      </c>
      <c r="X35" s="92">
        <f t="shared" si="24"/>
        <v>0.03</v>
      </c>
      <c r="Y35" s="64" t="s">
        <v>310</v>
      </c>
      <c r="Z35" s="64" t="s">
        <v>311</v>
      </c>
      <c r="AA35" s="64" t="s">
        <v>312</v>
      </c>
      <c r="AB35" s="64" t="s">
        <v>313</v>
      </c>
      <c r="AC35" s="51" t="s">
        <v>177</v>
      </c>
      <c r="AD35" s="135" t="s">
        <v>314</v>
      </c>
      <c r="AE35" s="101" t="s">
        <v>315</v>
      </c>
      <c r="AF35" s="129">
        <f t="shared" si="1"/>
        <v>10</v>
      </c>
      <c r="AG35" s="129">
        <v>6</v>
      </c>
      <c r="AH35" s="134" t="s">
        <v>112</v>
      </c>
      <c r="AI35" s="134" t="s">
        <v>113</v>
      </c>
      <c r="AJ35" s="130">
        <f t="shared" si="2"/>
        <v>10</v>
      </c>
      <c r="AK35" s="130">
        <v>10</v>
      </c>
      <c r="AL35" s="136" t="s">
        <v>411</v>
      </c>
      <c r="AM35" s="75" t="s">
        <v>465</v>
      </c>
      <c r="AN35" s="129">
        <f t="shared" si="3"/>
        <v>10</v>
      </c>
      <c r="AO35" s="129">
        <v>10</v>
      </c>
      <c r="AP35" s="137" t="s">
        <v>464</v>
      </c>
      <c r="AQ35" s="75" t="s">
        <v>465</v>
      </c>
      <c r="AR35" s="130">
        <f t="shared" si="4"/>
        <v>10</v>
      </c>
      <c r="AS35" s="130">
        <f>3+2+3+3+3+1+1+1+1</f>
        <v>18</v>
      </c>
      <c r="AT35" s="72" t="s">
        <v>508</v>
      </c>
      <c r="AU35" s="75" t="s">
        <v>465</v>
      </c>
    </row>
    <row r="36" spans="1:47" s="19" customFormat="1" ht="162.6" customHeight="1" thickBot="1">
      <c r="A36" s="203"/>
      <c r="B36" s="203"/>
      <c r="C36" s="203"/>
      <c r="D36" s="13">
        <v>13</v>
      </c>
      <c r="E36" s="51" t="s">
        <v>316</v>
      </c>
      <c r="F36" s="118">
        <v>0.04</v>
      </c>
      <c r="G36" s="51" t="s">
        <v>171</v>
      </c>
      <c r="H36" s="51" t="s">
        <v>172</v>
      </c>
      <c r="I36" s="53">
        <v>10</v>
      </c>
      <c r="J36" s="126">
        <f t="shared" si="15"/>
        <v>10</v>
      </c>
      <c r="K36" s="77">
        <f t="shared" si="16"/>
        <v>1</v>
      </c>
      <c r="L36" s="56">
        <v>10</v>
      </c>
      <c r="M36" s="138">
        <f t="shared" si="17"/>
        <v>10</v>
      </c>
      <c r="N36" s="55">
        <f t="shared" si="18"/>
        <v>1</v>
      </c>
      <c r="O36" s="53">
        <v>10</v>
      </c>
      <c r="P36" s="126">
        <f t="shared" si="19"/>
        <v>10</v>
      </c>
      <c r="Q36" s="77">
        <f t="shared" si="20"/>
        <v>1</v>
      </c>
      <c r="R36" s="56">
        <v>10</v>
      </c>
      <c r="S36" s="138">
        <f t="shared" si="21"/>
        <v>10</v>
      </c>
      <c r="T36" s="55">
        <f t="shared" si="22"/>
        <v>1</v>
      </c>
      <c r="U36" s="128">
        <f t="shared" si="25"/>
        <v>40</v>
      </c>
      <c r="V36" s="128">
        <f t="shared" si="25"/>
        <v>40</v>
      </c>
      <c r="W36" s="61">
        <f t="shared" si="23"/>
        <v>1</v>
      </c>
      <c r="X36" s="92">
        <f t="shared" si="24"/>
        <v>0.04</v>
      </c>
      <c r="Y36" s="64" t="s">
        <v>317</v>
      </c>
      <c r="Z36" s="64" t="s">
        <v>318</v>
      </c>
      <c r="AA36" s="64" t="s">
        <v>319</v>
      </c>
      <c r="AB36" s="64" t="s">
        <v>313</v>
      </c>
      <c r="AC36" s="51" t="s">
        <v>177</v>
      </c>
      <c r="AD36" s="139" t="s">
        <v>320</v>
      </c>
      <c r="AE36" s="101" t="s">
        <v>321</v>
      </c>
      <c r="AF36" s="129">
        <f t="shared" si="1"/>
        <v>10</v>
      </c>
      <c r="AG36" s="129">
        <v>10</v>
      </c>
      <c r="AH36" s="95" t="s">
        <v>381</v>
      </c>
      <c r="AI36" s="134" t="s">
        <v>380</v>
      </c>
      <c r="AJ36" s="140">
        <f t="shared" si="2"/>
        <v>10</v>
      </c>
      <c r="AK36" s="141">
        <v>10</v>
      </c>
      <c r="AL36" s="134" t="s">
        <v>434</v>
      </c>
      <c r="AM36" s="134" t="s">
        <v>380</v>
      </c>
      <c r="AN36" s="129">
        <f t="shared" si="3"/>
        <v>10</v>
      </c>
      <c r="AO36" s="129">
        <v>10</v>
      </c>
      <c r="AP36" s="134" t="s">
        <v>434</v>
      </c>
      <c r="AQ36" s="134" t="s">
        <v>380</v>
      </c>
      <c r="AR36" s="130">
        <f t="shared" si="4"/>
        <v>10</v>
      </c>
      <c r="AS36" s="130">
        <v>10</v>
      </c>
      <c r="AT36" s="72" t="s">
        <v>509</v>
      </c>
      <c r="AU36" s="134" t="s">
        <v>380</v>
      </c>
    </row>
    <row r="37" spans="1:47" s="19" customFormat="1" ht="141.75" customHeight="1" thickBot="1">
      <c r="A37" s="203"/>
      <c r="B37" s="203"/>
      <c r="C37" s="203"/>
      <c r="D37" s="13">
        <v>14</v>
      </c>
      <c r="E37" s="83" t="s">
        <v>322</v>
      </c>
      <c r="F37" s="118">
        <v>0.04</v>
      </c>
      <c r="G37" s="51" t="s">
        <v>171</v>
      </c>
      <c r="H37" s="51" t="s">
        <v>172</v>
      </c>
      <c r="I37" s="53">
        <v>27</v>
      </c>
      <c r="J37" s="126">
        <f t="shared" si="15"/>
        <v>27</v>
      </c>
      <c r="K37" s="77">
        <f t="shared" si="16"/>
        <v>1</v>
      </c>
      <c r="L37" s="56">
        <v>27</v>
      </c>
      <c r="M37" s="127">
        <f t="shared" si="17"/>
        <v>27</v>
      </c>
      <c r="N37" s="55">
        <f t="shared" si="18"/>
        <v>1</v>
      </c>
      <c r="O37" s="53">
        <v>27</v>
      </c>
      <c r="P37" s="126">
        <f t="shared" si="19"/>
        <v>24</v>
      </c>
      <c r="Q37" s="77">
        <f t="shared" si="20"/>
        <v>0.88888888888888884</v>
      </c>
      <c r="R37" s="56">
        <v>27</v>
      </c>
      <c r="S37" s="127">
        <f t="shared" si="21"/>
        <v>35</v>
      </c>
      <c r="T37" s="55">
        <f t="shared" si="22"/>
        <v>1.2962962962962963</v>
      </c>
      <c r="U37" s="128">
        <f t="shared" si="25"/>
        <v>108</v>
      </c>
      <c r="V37" s="128">
        <f t="shared" si="25"/>
        <v>113</v>
      </c>
      <c r="W37" s="61">
        <f t="shared" si="23"/>
        <v>1</v>
      </c>
      <c r="X37" s="92">
        <f t="shared" si="24"/>
        <v>0.04</v>
      </c>
      <c r="Y37" s="64" t="s">
        <v>323</v>
      </c>
      <c r="Z37" s="64" t="s">
        <v>324</v>
      </c>
      <c r="AA37" s="64" t="s">
        <v>325</v>
      </c>
      <c r="AB37" s="64" t="s">
        <v>326</v>
      </c>
      <c r="AC37" s="51" t="s">
        <v>177</v>
      </c>
      <c r="AD37" s="142" t="s">
        <v>320</v>
      </c>
      <c r="AE37" s="101" t="s">
        <v>327</v>
      </c>
      <c r="AF37" s="129">
        <f t="shared" si="1"/>
        <v>27</v>
      </c>
      <c r="AG37" s="129">
        <v>27</v>
      </c>
      <c r="AH37" s="134" t="s">
        <v>114</v>
      </c>
      <c r="AI37" s="134" t="s">
        <v>115</v>
      </c>
      <c r="AJ37" s="130">
        <f t="shared" si="2"/>
        <v>27</v>
      </c>
      <c r="AK37" s="130">
        <v>27</v>
      </c>
      <c r="AL37" s="136" t="s">
        <v>412</v>
      </c>
      <c r="AM37" s="124"/>
      <c r="AN37" s="129">
        <f t="shared" si="3"/>
        <v>27</v>
      </c>
      <c r="AO37" s="129">
        <v>24</v>
      </c>
      <c r="AP37" s="143" t="s">
        <v>466</v>
      </c>
      <c r="AQ37" s="142" t="s">
        <v>320</v>
      </c>
      <c r="AR37" s="130">
        <f t="shared" si="4"/>
        <v>27</v>
      </c>
      <c r="AS37" s="130">
        <v>35</v>
      </c>
      <c r="AT37" s="144" t="s">
        <v>510</v>
      </c>
      <c r="AU37" s="142" t="s">
        <v>320</v>
      </c>
    </row>
    <row r="38" spans="1:47" ht="255" customHeight="1" thickBot="1">
      <c r="A38" s="203"/>
      <c r="B38" s="203"/>
      <c r="C38" s="203"/>
      <c r="D38" s="13">
        <v>15</v>
      </c>
      <c r="E38" s="83" t="s">
        <v>328</v>
      </c>
      <c r="F38" s="118">
        <v>0.01</v>
      </c>
      <c r="G38" s="51" t="s">
        <v>195</v>
      </c>
      <c r="H38" s="51" t="s">
        <v>203</v>
      </c>
      <c r="I38" s="84">
        <v>0</v>
      </c>
      <c r="J38" s="85">
        <f t="shared" si="15"/>
        <v>0</v>
      </c>
      <c r="K38" s="77" t="str">
        <f t="shared" si="16"/>
        <v/>
      </c>
      <c r="L38" s="103">
        <v>0</v>
      </c>
      <c r="M38" s="104">
        <f t="shared" si="17"/>
        <v>0</v>
      </c>
      <c r="N38" s="55" t="str">
        <f t="shared" si="18"/>
        <v/>
      </c>
      <c r="O38" s="84">
        <v>0</v>
      </c>
      <c r="P38" s="85">
        <f t="shared" si="19"/>
        <v>0</v>
      </c>
      <c r="Q38" s="77" t="str">
        <f t="shared" si="20"/>
        <v/>
      </c>
      <c r="R38" s="103">
        <v>0.01</v>
      </c>
      <c r="S38" s="104">
        <f t="shared" si="21"/>
        <v>0.109375</v>
      </c>
      <c r="T38" s="55">
        <f t="shared" si="22"/>
        <v>10.9375</v>
      </c>
      <c r="U38" s="61">
        <f>R38</f>
        <v>0.01</v>
      </c>
      <c r="V38" s="61">
        <f>S38</f>
        <v>0.109375</v>
      </c>
      <c r="W38" s="61">
        <f t="shared" si="23"/>
        <v>1</v>
      </c>
      <c r="X38" s="92">
        <f t="shared" si="24"/>
        <v>0.01</v>
      </c>
      <c r="Y38" s="110" t="s">
        <v>329</v>
      </c>
      <c r="Z38" s="110" t="s">
        <v>330</v>
      </c>
      <c r="AA38" s="110" t="s">
        <v>331</v>
      </c>
      <c r="AB38" s="110" t="s">
        <v>332</v>
      </c>
      <c r="AC38" s="51" t="s">
        <v>333</v>
      </c>
      <c r="AD38" s="101" t="s">
        <v>334</v>
      </c>
      <c r="AE38" s="101" t="s">
        <v>335</v>
      </c>
      <c r="AF38" s="94">
        <f t="shared" si="1"/>
        <v>0</v>
      </c>
      <c r="AG38" s="94">
        <v>0</v>
      </c>
      <c r="AH38" s="78" t="s">
        <v>387</v>
      </c>
      <c r="AI38" s="79"/>
      <c r="AJ38" s="97">
        <f t="shared" si="2"/>
        <v>0</v>
      </c>
      <c r="AK38" s="97">
        <v>0</v>
      </c>
      <c r="AL38" s="122" t="s">
        <v>472</v>
      </c>
      <c r="AM38" s="124"/>
      <c r="AN38" s="94">
        <f t="shared" si="3"/>
        <v>0</v>
      </c>
      <c r="AO38" s="97">
        <v>0</v>
      </c>
      <c r="AP38" s="122" t="s">
        <v>471</v>
      </c>
      <c r="AQ38" s="79"/>
      <c r="AR38" s="96">
        <f t="shared" si="4"/>
        <v>0.01</v>
      </c>
      <c r="AS38" s="100">
        <v>0.109375</v>
      </c>
      <c r="AT38" s="144" t="s">
        <v>511</v>
      </c>
      <c r="AU38" s="78" t="s">
        <v>512</v>
      </c>
    </row>
    <row r="39" spans="1:47" ht="204" customHeight="1" thickTop="1" thickBot="1">
      <c r="A39" s="203"/>
      <c r="B39" s="203"/>
      <c r="C39" s="203"/>
      <c r="D39" s="13">
        <v>16</v>
      </c>
      <c r="E39" s="83" t="s">
        <v>336</v>
      </c>
      <c r="F39" s="118">
        <v>0.04</v>
      </c>
      <c r="G39" s="51" t="s">
        <v>195</v>
      </c>
      <c r="H39" s="51" t="s">
        <v>172</v>
      </c>
      <c r="I39" s="84">
        <v>0.05</v>
      </c>
      <c r="J39" s="85">
        <f t="shared" si="15"/>
        <v>0.11977715877437325</v>
      </c>
      <c r="K39" s="77">
        <f t="shared" si="16"/>
        <v>2.395543175487465</v>
      </c>
      <c r="L39" s="103">
        <v>7.0000000000000007E-2</v>
      </c>
      <c r="M39" s="104">
        <f t="shared" si="17"/>
        <v>4.7353760445682451E-2</v>
      </c>
      <c r="N39" s="55">
        <f t="shared" si="18"/>
        <v>0.67648229208117783</v>
      </c>
      <c r="O39" s="84">
        <v>7.0000000000000007E-2</v>
      </c>
      <c r="P39" s="85">
        <f t="shared" si="19"/>
        <v>6.9637883008356549E-2</v>
      </c>
      <c r="Q39" s="77">
        <f t="shared" si="20"/>
        <v>0.99482690011937913</v>
      </c>
      <c r="R39" s="103">
        <v>0.06</v>
      </c>
      <c r="S39" s="104">
        <f t="shared" si="21"/>
        <v>3.4818941504178275E-2</v>
      </c>
      <c r="T39" s="55">
        <f t="shared" si="22"/>
        <v>0.5803156917363046</v>
      </c>
      <c r="U39" s="61">
        <f>SUM(I39,L39,O39,R39)</f>
        <v>0.25</v>
      </c>
      <c r="V39" s="90">
        <f>SUM(J39,M39,P39,S39)</f>
        <v>0.27158774373259054</v>
      </c>
      <c r="W39" s="61">
        <f t="shared" si="23"/>
        <v>1</v>
      </c>
      <c r="X39" s="92">
        <f t="shared" si="24"/>
        <v>0.04</v>
      </c>
      <c r="Y39" s="110" t="s">
        <v>337</v>
      </c>
      <c r="Z39" s="110" t="s">
        <v>338</v>
      </c>
      <c r="AA39" s="110" t="s">
        <v>339</v>
      </c>
      <c r="AB39" s="110" t="s">
        <v>340</v>
      </c>
      <c r="AC39" s="51" t="s">
        <v>177</v>
      </c>
      <c r="AD39" s="135" t="s">
        <v>341</v>
      </c>
      <c r="AE39" s="101" t="s">
        <v>342</v>
      </c>
      <c r="AF39" s="94">
        <f t="shared" si="1"/>
        <v>0.05</v>
      </c>
      <c r="AG39" s="112">
        <v>0.11977715877437325</v>
      </c>
      <c r="AH39" s="78" t="s">
        <v>407</v>
      </c>
      <c r="AI39" s="79" t="s">
        <v>117</v>
      </c>
      <c r="AJ39" s="97">
        <f t="shared" si="2"/>
        <v>7.0000000000000007E-2</v>
      </c>
      <c r="AK39" s="100">
        <v>4.7353760445682451E-2</v>
      </c>
      <c r="AL39" s="122" t="s">
        <v>406</v>
      </c>
      <c r="AM39" s="124" t="s">
        <v>403</v>
      </c>
      <c r="AN39" s="94">
        <f t="shared" si="3"/>
        <v>7.0000000000000007E-2</v>
      </c>
      <c r="AO39" s="112">
        <v>6.9637883008356549E-2</v>
      </c>
      <c r="AP39" s="122" t="s">
        <v>438</v>
      </c>
      <c r="AQ39" s="124" t="s">
        <v>403</v>
      </c>
      <c r="AR39" s="96">
        <f t="shared" si="4"/>
        <v>0.06</v>
      </c>
      <c r="AS39" s="100">
        <v>3.4818941504178275E-2</v>
      </c>
      <c r="AT39" s="122" t="s">
        <v>513</v>
      </c>
      <c r="AU39" s="124" t="s">
        <v>403</v>
      </c>
    </row>
    <row r="40" spans="1:47" ht="153" customHeight="1" thickBot="1">
      <c r="A40" s="203"/>
      <c r="B40" s="203"/>
      <c r="C40" s="203"/>
      <c r="D40" s="13">
        <v>17</v>
      </c>
      <c r="E40" s="83" t="s">
        <v>343</v>
      </c>
      <c r="F40" s="118">
        <v>0.04</v>
      </c>
      <c r="G40" s="51" t="s">
        <v>195</v>
      </c>
      <c r="H40" s="51" t="s">
        <v>203</v>
      </c>
      <c r="I40" s="84">
        <v>0.01</v>
      </c>
      <c r="J40" s="85">
        <f t="shared" si="15"/>
        <v>2.3489932885906041E-2</v>
      </c>
      <c r="K40" s="77">
        <f t="shared" si="16"/>
        <v>2.348993288590604</v>
      </c>
      <c r="L40" s="103">
        <v>0.06</v>
      </c>
      <c r="M40" s="104">
        <f t="shared" si="17"/>
        <v>9.3959731543624164E-2</v>
      </c>
      <c r="N40" s="55">
        <f t="shared" si="18"/>
        <v>1.5659955257270695</v>
      </c>
      <c r="O40" s="84">
        <v>0.13</v>
      </c>
      <c r="P40" s="85">
        <f t="shared" si="19"/>
        <v>0.24161073825503357</v>
      </c>
      <c r="Q40" s="77">
        <f t="shared" si="20"/>
        <v>1.8585441404233352</v>
      </c>
      <c r="R40" s="103">
        <v>0.2</v>
      </c>
      <c r="S40" s="104">
        <f t="shared" si="21"/>
        <v>0.34899328859060402</v>
      </c>
      <c r="T40" s="55">
        <f t="shared" si="22"/>
        <v>1.7449664429530201</v>
      </c>
      <c r="U40" s="61">
        <f>R40</f>
        <v>0.2</v>
      </c>
      <c r="V40" s="90">
        <f>P40</f>
        <v>0.24161073825503357</v>
      </c>
      <c r="W40" s="61">
        <f t="shared" si="23"/>
        <v>1</v>
      </c>
      <c r="X40" s="92">
        <f t="shared" si="24"/>
        <v>0.04</v>
      </c>
      <c r="Y40" s="110" t="s">
        <v>344</v>
      </c>
      <c r="Z40" s="110" t="s">
        <v>345</v>
      </c>
      <c r="AA40" s="110" t="s">
        <v>346</v>
      </c>
      <c r="AB40" s="110" t="s">
        <v>347</v>
      </c>
      <c r="AC40" s="51" t="s">
        <v>177</v>
      </c>
      <c r="AD40" s="101" t="s">
        <v>348</v>
      </c>
      <c r="AE40" s="101" t="s">
        <v>349</v>
      </c>
      <c r="AF40" s="94">
        <f t="shared" si="1"/>
        <v>0.01</v>
      </c>
      <c r="AG40" s="112">
        <v>2.3489932885906041E-2</v>
      </c>
      <c r="AH40" s="79" t="s">
        <v>116</v>
      </c>
      <c r="AI40" s="79" t="s">
        <v>117</v>
      </c>
      <c r="AJ40" s="97">
        <f t="shared" si="2"/>
        <v>0.06</v>
      </c>
      <c r="AK40" s="100">
        <v>9.3959731543624164E-2</v>
      </c>
      <c r="AL40" s="122" t="s">
        <v>514</v>
      </c>
      <c r="AM40" s="124" t="s">
        <v>403</v>
      </c>
      <c r="AN40" s="94">
        <f t="shared" si="3"/>
        <v>0.13</v>
      </c>
      <c r="AO40" s="112">
        <f>+(14+44+86)/596</f>
        <v>0.24161073825503357</v>
      </c>
      <c r="AP40" s="122" t="s">
        <v>515</v>
      </c>
      <c r="AQ40" s="124" t="s">
        <v>403</v>
      </c>
      <c r="AR40" s="96">
        <f t="shared" si="4"/>
        <v>0.2</v>
      </c>
      <c r="AS40" s="100">
        <v>0.34899328859060402</v>
      </c>
      <c r="AT40" s="122" t="s">
        <v>516</v>
      </c>
      <c r="AU40" s="124" t="s">
        <v>403</v>
      </c>
    </row>
    <row r="41" spans="1:47" ht="168" customHeight="1" thickTop="1" thickBot="1">
      <c r="A41" s="203"/>
      <c r="B41" s="203"/>
      <c r="C41" s="203"/>
      <c r="D41" s="13">
        <v>18</v>
      </c>
      <c r="E41" s="51" t="s">
        <v>350</v>
      </c>
      <c r="F41" s="118">
        <v>0.02</v>
      </c>
      <c r="G41" s="51" t="s">
        <v>171</v>
      </c>
      <c r="H41" s="51" t="s">
        <v>196</v>
      </c>
      <c r="I41" s="53">
        <v>15</v>
      </c>
      <c r="J41" s="126">
        <f t="shared" si="15"/>
        <v>7.6216216216216219</v>
      </c>
      <c r="K41" s="145">
        <f>IF(ISERROR(I41/J41),"",(I41/J41))</f>
        <v>1.9680851063829787</v>
      </c>
      <c r="L41" s="56">
        <v>15</v>
      </c>
      <c r="M41" s="127">
        <f t="shared" si="17"/>
        <v>5.6282051282051286</v>
      </c>
      <c r="N41" s="146">
        <f>IF(ISERROR(L41/M41),"",(L41/M41))</f>
        <v>2.665148063781321</v>
      </c>
      <c r="O41" s="53">
        <v>15</v>
      </c>
      <c r="P41" s="126">
        <f t="shared" si="19"/>
        <v>15.508474576271187</v>
      </c>
      <c r="Q41" s="145">
        <f>IF(ISERROR(O41/P41),"",(O41/P41))</f>
        <v>0.96721311475409832</v>
      </c>
      <c r="R41" s="56">
        <v>15</v>
      </c>
      <c r="S41" s="127">
        <f t="shared" si="21"/>
        <v>14.109375</v>
      </c>
      <c r="T41" s="146">
        <f>IF(ISERROR(R41/S41),"",(R41/S41))</f>
        <v>1.0631229235880399</v>
      </c>
      <c r="U41" s="128">
        <f>SUM(I41,L41,O41,R41)/4</f>
        <v>15</v>
      </c>
      <c r="V41" s="128">
        <f>SUM(J41,M41,P41,S41)/4</f>
        <v>10.716919081524484</v>
      </c>
      <c r="W41" s="92">
        <f>IF(SUM(K41,N41,Q41,T41)/4&gt;1,1,SUM(K41,N41,Q41,T41)/4)</f>
        <v>1</v>
      </c>
      <c r="X41" s="92">
        <f t="shared" si="24"/>
        <v>0.02</v>
      </c>
      <c r="Y41" s="110" t="s">
        <v>351</v>
      </c>
      <c r="Z41" s="110" t="s">
        <v>352</v>
      </c>
      <c r="AA41" s="110" t="s">
        <v>353</v>
      </c>
      <c r="AB41" s="109" t="s">
        <v>354</v>
      </c>
      <c r="AC41" s="51" t="s">
        <v>355</v>
      </c>
      <c r="AD41" s="135" t="s">
        <v>356</v>
      </c>
      <c r="AE41" s="101" t="s">
        <v>357</v>
      </c>
      <c r="AF41" s="129">
        <f t="shared" si="1"/>
        <v>15</v>
      </c>
      <c r="AG41" s="147">
        <f>564/74</f>
        <v>7.6216216216216219</v>
      </c>
      <c r="AH41" s="79" t="s">
        <v>118</v>
      </c>
      <c r="AI41" s="79" t="s">
        <v>119</v>
      </c>
      <c r="AJ41" s="130">
        <f t="shared" si="2"/>
        <v>15</v>
      </c>
      <c r="AK41" s="148">
        <f>439/78</f>
        <v>5.6282051282051286</v>
      </c>
      <c r="AL41" s="79" t="s">
        <v>404</v>
      </c>
      <c r="AM41" s="79" t="s">
        <v>119</v>
      </c>
      <c r="AN41" s="129">
        <f t="shared" si="3"/>
        <v>15</v>
      </c>
      <c r="AO41" s="149">
        <f>915/59</f>
        <v>15.508474576271187</v>
      </c>
      <c r="AP41" s="78" t="s">
        <v>467</v>
      </c>
      <c r="AQ41" s="78" t="s">
        <v>462</v>
      </c>
      <c r="AR41" s="140">
        <f t="shared" si="4"/>
        <v>15</v>
      </c>
      <c r="AS41" s="150">
        <f>903/64</f>
        <v>14.109375</v>
      </c>
      <c r="AT41" s="78" t="s">
        <v>517</v>
      </c>
      <c r="AU41" s="78" t="s">
        <v>462</v>
      </c>
    </row>
    <row r="42" spans="1:47" ht="168" customHeight="1" thickTop="1" thickBot="1">
      <c r="A42" s="203"/>
      <c r="B42" s="203"/>
      <c r="C42" s="203"/>
      <c r="D42" s="13">
        <v>19</v>
      </c>
      <c r="E42" s="51" t="s">
        <v>358</v>
      </c>
      <c r="F42" s="118">
        <v>0.03</v>
      </c>
      <c r="G42" s="51" t="s">
        <v>195</v>
      </c>
      <c r="H42" s="51" t="s">
        <v>196</v>
      </c>
      <c r="I42" s="84">
        <v>0.7</v>
      </c>
      <c r="J42" s="85">
        <f t="shared" si="15"/>
        <v>0.12026359143327842</v>
      </c>
      <c r="K42" s="77">
        <f>IF(ISERROR(J42/I42),"",(J42/I42))</f>
        <v>0.17180513061896918</v>
      </c>
      <c r="L42" s="103">
        <v>0.7</v>
      </c>
      <c r="M42" s="104">
        <f t="shared" si="17"/>
        <v>0.71777003484320556</v>
      </c>
      <c r="N42" s="55">
        <f>IF(ISERROR(M42/L42),"",(M42/L42))</f>
        <v>1.0253857640617223</v>
      </c>
      <c r="O42" s="84">
        <v>0.7</v>
      </c>
      <c r="P42" s="85">
        <f t="shared" si="19"/>
        <v>0.49584487534626037</v>
      </c>
      <c r="Q42" s="77">
        <f>IF(ISERROR(P42/O42),"",(P42/O42))</f>
        <v>0.70834982192322915</v>
      </c>
      <c r="R42" s="103">
        <v>0.7</v>
      </c>
      <c r="S42" s="104">
        <f t="shared" si="21"/>
        <v>0.26635514018691586</v>
      </c>
      <c r="T42" s="55">
        <f>IF(ISERROR(S42/R42),"",(S42/R42))</f>
        <v>0.38050734312416556</v>
      </c>
      <c r="U42" s="61">
        <f>SUM(I42,L42,O42,R42)/4</f>
        <v>0.7</v>
      </c>
      <c r="V42" s="61">
        <f>SUM(J42,M42,P42,S42)/4</f>
        <v>0.40005841045241508</v>
      </c>
      <c r="W42" s="61">
        <f>IF((IF(ISERROR(V42/U42),0,(V42/U42)))&gt;1,1,(IF(ISERROR(V42/U42),0,(V42/U42))))</f>
        <v>0.57151201493202153</v>
      </c>
      <c r="X42" s="92">
        <f t="shared" si="24"/>
        <v>1.7145360447960646E-2</v>
      </c>
      <c r="Y42" s="110" t="s">
        <v>359</v>
      </c>
      <c r="Z42" s="110" t="s">
        <v>360</v>
      </c>
      <c r="AA42" s="110" t="s">
        <v>361</v>
      </c>
      <c r="AB42" s="110" t="s">
        <v>362</v>
      </c>
      <c r="AC42" s="51" t="s">
        <v>177</v>
      </c>
      <c r="AD42" s="135" t="s">
        <v>363</v>
      </c>
      <c r="AE42" s="101" t="s">
        <v>364</v>
      </c>
      <c r="AF42" s="94">
        <f t="shared" si="1"/>
        <v>0.7</v>
      </c>
      <c r="AG42" s="132">
        <v>0.12026359143327842</v>
      </c>
      <c r="AH42" s="79" t="s">
        <v>120</v>
      </c>
      <c r="AI42" s="79" t="s">
        <v>121</v>
      </c>
      <c r="AJ42" s="97">
        <f t="shared" si="2"/>
        <v>0.7</v>
      </c>
      <c r="AK42" s="96">
        <v>0.71777003484320556</v>
      </c>
      <c r="AL42" s="151" t="s">
        <v>405</v>
      </c>
      <c r="AM42" s="152" t="s">
        <v>383</v>
      </c>
      <c r="AN42" s="94">
        <f t="shared" si="3"/>
        <v>0.7</v>
      </c>
      <c r="AO42" s="112">
        <v>0.49584487534626037</v>
      </c>
      <c r="AP42" s="78" t="s">
        <v>468</v>
      </c>
      <c r="AQ42" s="152" t="s">
        <v>383</v>
      </c>
      <c r="AR42" s="96">
        <f t="shared" si="4"/>
        <v>0.7</v>
      </c>
      <c r="AS42" s="100">
        <v>0.26635514018691586</v>
      </c>
      <c r="AT42" s="78" t="s">
        <v>518</v>
      </c>
      <c r="AU42" s="152" t="s">
        <v>383</v>
      </c>
    </row>
    <row r="43" spans="1:47" ht="181.35" customHeight="1" thickBot="1">
      <c r="A43" s="203"/>
      <c r="B43" s="203"/>
      <c r="C43" s="203"/>
      <c r="D43" s="13">
        <v>20</v>
      </c>
      <c r="E43" s="153" t="s">
        <v>365</v>
      </c>
      <c r="F43" s="118">
        <v>0.03</v>
      </c>
      <c r="G43" s="51" t="s">
        <v>171</v>
      </c>
      <c r="H43" s="51" t="s">
        <v>172</v>
      </c>
      <c r="I43" s="53">
        <v>20</v>
      </c>
      <c r="J43" s="126">
        <f t="shared" si="15"/>
        <v>40</v>
      </c>
      <c r="K43" s="77">
        <f>IF(ISERROR(J43/I43),"",(J43/I43))</f>
        <v>2</v>
      </c>
      <c r="L43" s="56">
        <v>30</v>
      </c>
      <c r="M43" s="127">
        <f t="shared" si="17"/>
        <v>36</v>
      </c>
      <c r="N43" s="55">
        <f>IF(ISERROR(M43/L43),"",(M43/L43))</f>
        <v>1.2</v>
      </c>
      <c r="O43" s="53">
        <v>30</v>
      </c>
      <c r="P43" s="126">
        <f t="shared" si="19"/>
        <v>56</v>
      </c>
      <c r="Q43" s="154">
        <f>IF(ISERROR(P43/O43),"",(P43/O43))</f>
        <v>1.8666666666666667</v>
      </c>
      <c r="R43" s="56">
        <v>30</v>
      </c>
      <c r="S43" s="127">
        <f t="shared" si="21"/>
        <v>45</v>
      </c>
      <c r="T43" s="138">
        <f>IF(ISERROR(S43/R43),"",(S43/R43))</f>
        <v>1.5</v>
      </c>
      <c r="U43" s="128">
        <f>SUM(I43,L43,O43,R43)</f>
        <v>110</v>
      </c>
      <c r="V43" s="128">
        <f>SUM(J43,M43,P43,S43)</f>
        <v>177</v>
      </c>
      <c r="W43" s="61">
        <f>IF((IF(ISERROR(V43/U43),0,(V43/U43)))&gt;1,1,(IF(ISERROR(V43/U43),0,(V43/U43))))</f>
        <v>1</v>
      </c>
      <c r="X43" s="92">
        <f t="shared" si="24"/>
        <v>0.03</v>
      </c>
      <c r="Y43" s="110" t="s">
        <v>366</v>
      </c>
      <c r="Z43" s="110" t="s">
        <v>367</v>
      </c>
      <c r="AA43" s="110" t="s">
        <v>368</v>
      </c>
      <c r="AB43" s="110" t="s">
        <v>369</v>
      </c>
      <c r="AC43" s="51" t="s">
        <v>177</v>
      </c>
      <c r="AD43" s="101" t="s">
        <v>370</v>
      </c>
      <c r="AE43" s="101"/>
      <c r="AF43" s="129">
        <f t="shared" si="1"/>
        <v>20</v>
      </c>
      <c r="AG43" s="129">
        <v>40</v>
      </c>
      <c r="AH43" s="152" t="s">
        <v>382</v>
      </c>
      <c r="AI43" s="152" t="s">
        <v>383</v>
      </c>
      <c r="AJ43" s="130">
        <f t="shared" si="2"/>
        <v>30</v>
      </c>
      <c r="AK43" s="130">
        <v>36</v>
      </c>
      <c r="AL43" s="152" t="s">
        <v>435</v>
      </c>
      <c r="AM43" s="152" t="s">
        <v>383</v>
      </c>
      <c r="AN43" s="129">
        <f t="shared" si="3"/>
        <v>30</v>
      </c>
      <c r="AO43" s="129">
        <v>56</v>
      </c>
      <c r="AP43" s="152" t="s">
        <v>456</v>
      </c>
      <c r="AQ43" s="152" t="s">
        <v>383</v>
      </c>
      <c r="AR43" s="130">
        <f t="shared" si="4"/>
        <v>30</v>
      </c>
      <c r="AS43" s="130">
        <v>45</v>
      </c>
      <c r="AT43" s="155" t="s">
        <v>519</v>
      </c>
      <c r="AU43" s="152" t="s">
        <v>383</v>
      </c>
    </row>
    <row r="44" spans="1:47" ht="61.5" customHeight="1" thickBot="1">
      <c r="A44" s="20"/>
      <c r="B44" s="20"/>
      <c r="C44" s="15" t="s">
        <v>242</v>
      </c>
      <c r="D44" s="205"/>
      <c r="E44" s="205"/>
      <c r="F44" s="205">
        <v>0.03</v>
      </c>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f t="shared" ref="AF44:AF61" si="26">I44</f>
        <v>0</v>
      </c>
      <c r="AG44" s="205"/>
      <c r="AH44" s="205"/>
      <c r="AI44" s="205"/>
      <c r="AJ44" s="205">
        <f t="shared" ref="AJ44:AJ61" si="27">L44</f>
        <v>0</v>
      </c>
      <c r="AK44" s="205"/>
      <c r="AL44" s="205"/>
      <c r="AM44" s="205"/>
      <c r="AN44" s="205">
        <f t="shared" si="3"/>
        <v>0</v>
      </c>
      <c r="AO44" s="205"/>
      <c r="AP44" s="205"/>
      <c r="AQ44" s="205"/>
      <c r="AR44" s="205">
        <f t="shared" si="4"/>
        <v>0</v>
      </c>
      <c r="AS44" s="205"/>
      <c r="AT44" s="205"/>
      <c r="AU44" s="205"/>
    </row>
    <row r="45" spans="1:47" ht="117.2" customHeight="1" thickBot="1">
      <c r="A45" s="203" t="s">
        <v>371</v>
      </c>
      <c r="B45" s="203" t="s">
        <v>372</v>
      </c>
      <c r="C45" s="203" t="s">
        <v>373</v>
      </c>
      <c r="D45" s="13">
        <v>1</v>
      </c>
      <c r="E45" s="81" t="s">
        <v>374</v>
      </c>
      <c r="F45" s="118">
        <v>0.03</v>
      </c>
      <c r="G45" s="51" t="s">
        <v>171</v>
      </c>
      <c r="H45" s="51" t="s">
        <v>172</v>
      </c>
      <c r="I45" s="156">
        <v>40</v>
      </c>
      <c r="J45" s="126">
        <f t="shared" ref="J45:J54" si="28">AG45</f>
        <v>191</v>
      </c>
      <c r="K45" s="77">
        <f t="shared" ref="K45:K54" si="29">IF(ISERROR(J45/I45),"",(J45/I45))</f>
        <v>4.7750000000000004</v>
      </c>
      <c r="L45" s="157">
        <v>90</v>
      </c>
      <c r="M45" s="158">
        <f t="shared" ref="M45:M54" si="30">AK45</f>
        <v>0</v>
      </c>
      <c r="N45" s="55">
        <f t="shared" ref="N45:N54" si="31">IF(ISERROR(M45/L45),"",(M45/L45))</f>
        <v>0</v>
      </c>
      <c r="O45" s="156">
        <v>90</v>
      </c>
      <c r="P45" s="126">
        <f t="shared" ref="P45:P54" si="32">AO45</f>
        <v>90</v>
      </c>
      <c r="Q45" s="77">
        <f t="shared" ref="Q45:Q54" si="33">IF(ISERROR(P45/O45),"",(P45/O45))</f>
        <v>1</v>
      </c>
      <c r="R45" s="157">
        <v>60</v>
      </c>
      <c r="S45" s="127">
        <f t="shared" ref="S45:S54" si="34">AS45</f>
        <v>0</v>
      </c>
      <c r="T45" s="55">
        <f t="shared" ref="T45:T54" si="35">IF(ISERROR(S45/R45),"",(S45/R45))</f>
        <v>0</v>
      </c>
      <c r="U45" s="128">
        <f>SUM(I45,L45,O45,R45)</f>
        <v>280</v>
      </c>
      <c r="V45" s="159">
        <f>SUM(J45,M45,P45,S45)</f>
        <v>281</v>
      </c>
      <c r="W45" s="61">
        <f t="shared" ref="W45:W54" si="36">IF((IF(ISERROR(V45/U45),0,(V45/U45)))&gt;1,1,(IF(ISERROR(V45/U45),0,(V45/U45))))</f>
        <v>1</v>
      </c>
      <c r="X45" s="92">
        <f t="shared" ref="X45:X54" si="37">F45*W45</f>
        <v>0.03</v>
      </c>
      <c r="Y45" s="51" t="s">
        <v>375</v>
      </c>
      <c r="Z45" s="51" t="s">
        <v>376</v>
      </c>
      <c r="AA45" s="101" t="s">
        <v>0</v>
      </c>
      <c r="AB45" s="101" t="s">
        <v>1</v>
      </c>
      <c r="AC45" s="51" t="s">
        <v>177</v>
      </c>
      <c r="AD45" s="160" t="s">
        <v>2</v>
      </c>
      <c r="AE45" s="161" t="s">
        <v>3</v>
      </c>
      <c r="AF45" s="129">
        <f t="shared" si="26"/>
        <v>40</v>
      </c>
      <c r="AG45" s="129">
        <f>44+147</f>
        <v>191</v>
      </c>
      <c r="AH45" s="78" t="s">
        <v>414</v>
      </c>
      <c r="AI45" s="78" t="s">
        <v>2</v>
      </c>
      <c r="AJ45" s="130">
        <f t="shared" si="27"/>
        <v>90</v>
      </c>
      <c r="AK45" s="162">
        <v>0</v>
      </c>
      <c r="AL45" s="137" t="s">
        <v>417</v>
      </c>
      <c r="AM45" s="114"/>
      <c r="AN45" s="129">
        <f t="shared" si="3"/>
        <v>90</v>
      </c>
      <c r="AO45" s="129">
        <v>90</v>
      </c>
      <c r="AP45" s="78" t="s">
        <v>440</v>
      </c>
      <c r="AQ45" s="78" t="s">
        <v>2</v>
      </c>
      <c r="AR45" s="130">
        <f t="shared" si="4"/>
        <v>60</v>
      </c>
      <c r="AS45" s="130">
        <v>0</v>
      </c>
      <c r="AT45" s="163" t="s">
        <v>520</v>
      </c>
      <c r="AU45" s="164" t="s">
        <v>378</v>
      </c>
    </row>
    <row r="46" spans="1:47" ht="154.5" customHeight="1" thickTop="1" thickBot="1">
      <c r="A46" s="203"/>
      <c r="B46" s="203"/>
      <c r="C46" s="203"/>
      <c r="D46" s="13">
        <v>2</v>
      </c>
      <c r="E46" s="81" t="s">
        <v>4</v>
      </c>
      <c r="F46" s="118">
        <v>0.01</v>
      </c>
      <c r="G46" s="51" t="s">
        <v>171</v>
      </c>
      <c r="H46" s="51" t="s">
        <v>172</v>
      </c>
      <c r="I46" s="156">
        <v>20</v>
      </c>
      <c r="J46" s="126">
        <f t="shared" si="28"/>
        <v>24</v>
      </c>
      <c r="K46" s="77">
        <f t="shared" si="29"/>
        <v>1.2</v>
      </c>
      <c r="L46" s="157">
        <v>20</v>
      </c>
      <c r="M46" s="127">
        <f t="shared" si="30"/>
        <v>33</v>
      </c>
      <c r="N46" s="55">
        <f t="shared" si="31"/>
        <v>1.65</v>
      </c>
      <c r="O46" s="156">
        <v>20</v>
      </c>
      <c r="P46" s="126">
        <f t="shared" si="32"/>
        <v>25</v>
      </c>
      <c r="Q46" s="77">
        <f t="shared" si="33"/>
        <v>1.25</v>
      </c>
      <c r="R46" s="157">
        <v>20</v>
      </c>
      <c r="S46" s="127">
        <f t="shared" si="34"/>
        <v>0</v>
      </c>
      <c r="T46" s="55">
        <f t="shared" si="35"/>
        <v>0</v>
      </c>
      <c r="U46" s="128">
        <f>SUM(I46,L46,O46,R46)</f>
        <v>80</v>
      </c>
      <c r="V46" s="128">
        <f>SUM(J46,M46,P46,S46)</f>
        <v>82</v>
      </c>
      <c r="W46" s="61">
        <f t="shared" si="36"/>
        <v>1</v>
      </c>
      <c r="X46" s="92">
        <f t="shared" si="37"/>
        <v>0.01</v>
      </c>
      <c r="Y46" s="51" t="s">
        <v>5</v>
      </c>
      <c r="Z46" s="51" t="s">
        <v>6</v>
      </c>
      <c r="AA46" s="101" t="s">
        <v>7</v>
      </c>
      <c r="AB46" s="101" t="s">
        <v>8</v>
      </c>
      <c r="AC46" s="51" t="s">
        <v>177</v>
      </c>
      <c r="AD46" s="165" t="s">
        <v>9</v>
      </c>
      <c r="AE46" s="166" t="s">
        <v>10</v>
      </c>
      <c r="AF46" s="129">
        <f t="shared" si="26"/>
        <v>20</v>
      </c>
      <c r="AG46" s="129">
        <f>3+9+12</f>
        <v>24</v>
      </c>
      <c r="AH46" s="167" t="s">
        <v>415</v>
      </c>
      <c r="AI46" s="79" t="s">
        <v>9</v>
      </c>
      <c r="AJ46" s="130">
        <f t="shared" si="27"/>
        <v>20</v>
      </c>
      <c r="AK46" s="130">
        <f>10+14+9</f>
        <v>33</v>
      </c>
      <c r="AL46" s="167" t="s">
        <v>416</v>
      </c>
      <c r="AM46" s="114"/>
      <c r="AN46" s="129">
        <f t="shared" si="3"/>
        <v>20</v>
      </c>
      <c r="AO46" s="129">
        <v>25</v>
      </c>
      <c r="AP46" s="78" t="s">
        <v>441</v>
      </c>
      <c r="AQ46" s="79"/>
      <c r="AR46" s="130">
        <f t="shared" si="4"/>
        <v>20</v>
      </c>
      <c r="AS46" s="130">
        <v>0</v>
      </c>
      <c r="AT46" s="163" t="s">
        <v>520</v>
      </c>
      <c r="AU46" s="164" t="s">
        <v>378</v>
      </c>
    </row>
    <row r="47" spans="1:47" ht="151.5" customHeight="1" thickBot="1">
      <c r="A47" s="203"/>
      <c r="B47" s="203"/>
      <c r="C47" s="203"/>
      <c r="D47" s="13">
        <v>3</v>
      </c>
      <c r="E47" s="81" t="s">
        <v>11</v>
      </c>
      <c r="F47" s="168">
        <v>0.01</v>
      </c>
      <c r="G47" s="83" t="s">
        <v>195</v>
      </c>
      <c r="H47" s="83" t="s">
        <v>196</v>
      </c>
      <c r="I47" s="169">
        <v>0.85</v>
      </c>
      <c r="J47" s="119">
        <f t="shared" si="28"/>
        <v>0.96400000000000008</v>
      </c>
      <c r="K47" s="77">
        <f t="shared" si="29"/>
        <v>1.1341176470588237</v>
      </c>
      <c r="L47" s="170">
        <v>0.85</v>
      </c>
      <c r="M47" s="120">
        <f t="shared" si="30"/>
        <v>0.96533333333333338</v>
      </c>
      <c r="N47" s="55">
        <f t="shared" si="31"/>
        <v>1.135686274509804</v>
      </c>
      <c r="O47" s="169">
        <v>0.85</v>
      </c>
      <c r="P47" s="119">
        <f t="shared" si="32"/>
        <v>0.98</v>
      </c>
      <c r="Q47" s="77">
        <f t="shared" si="33"/>
        <v>1.1529411764705881</v>
      </c>
      <c r="R47" s="170">
        <v>0.85</v>
      </c>
      <c r="S47" s="120">
        <f t="shared" si="34"/>
        <v>0</v>
      </c>
      <c r="T47" s="55">
        <f t="shared" si="35"/>
        <v>0</v>
      </c>
      <c r="U47" s="121">
        <f>SUM(I47,L47,O47,R47)/4</f>
        <v>0.85</v>
      </c>
      <c r="V47" s="121">
        <f>SUM(J47,M47,P47,S47)/4</f>
        <v>0.72733333333333339</v>
      </c>
      <c r="W47" s="61">
        <f t="shared" si="36"/>
        <v>0.85568627450980406</v>
      </c>
      <c r="X47" s="92">
        <f t="shared" si="37"/>
        <v>8.5568627450980407E-3</v>
      </c>
      <c r="Y47" s="171" t="s">
        <v>12</v>
      </c>
      <c r="Z47" s="171" t="s">
        <v>13</v>
      </c>
      <c r="AA47" s="81" t="s">
        <v>14</v>
      </c>
      <c r="AB47" s="81" t="s">
        <v>15</v>
      </c>
      <c r="AC47" s="109" t="s">
        <v>333</v>
      </c>
      <c r="AD47" s="64" t="s">
        <v>16</v>
      </c>
      <c r="AE47" s="64"/>
      <c r="AF47" s="94">
        <f t="shared" si="26"/>
        <v>0.85</v>
      </c>
      <c r="AG47" s="94">
        <f>+(14.46)/15</f>
        <v>0.96400000000000008</v>
      </c>
      <c r="AH47" s="78" t="s">
        <v>402</v>
      </c>
      <c r="AI47" s="79" t="s">
        <v>401</v>
      </c>
      <c r="AJ47" s="97">
        <f t="shared" si="27"/>
        <v>0.85</v>
      </c>
      <c r="AK47" s="97">
        <f>14.48/15</f>
        <v>0.96533333333333338</v>
      </c>
      <c r="AL47" s="78" t="s">
        <v>413</v>
      </c>
      <c r="AM47" s="114"/>
      <c r="AN47" s="94">
        <f t="shared" si="3"/>
        <v>0.85</v>
      </c>
      <c r="AO47" s="94">
        <v>0.98</v>
      </c>
      <c r="AP47" s="78" t="s">
        <v>442</v>
      </c>
      <c r="AQ47" s="79"/>
      <c r="AR47" s="97">
        <f t="shared" si="4"/>
        <v>0.85</v>
      </c>
      <c r="AS47" s="130">
        <v>0</v>
      </c>
      <c r="AT47" s="163" t="s">
        <v>520</v>
      </c>
      <c r="AU47" s="164" t="s">
        <v>378</v>
      </c>
    </row>
    <row r="48" spans="1:47" ht="91.5" customHeight="1" thickBot="1">
      <c r="A48" s="203"/>
      <c r="B48" s="203"/>
      <c r="C48" s="203"/>
      <c r="D48" s="13">
        <v>4</v>
      </c>
      <c r="E48" s="81" t="s">
        <v>17</v>
      </c>
      <c r="F48" s="168">
        <v>0</v>
      </c>
      <c r="G48" s="83" t="s">
        <v>171</v>
      </c>
      <c r="H48" s="83" t="s">
        <v>172</v>
      </c>
      <c r="I48" s="172">
        <v>0</v>
      </c>
      <c r="J48" s="54">
        <f t="shared" si="28"/>
        <v>0</v>
      </c>
      <c r="K48" s="77" t="str">
        <f t="shared" si="29"/>
        <v/>
      </c>
      <c r="L48" s="173">
        <v>0</v>
      </c>
      <c r="M48" s="57">
        <f t="shared" si="30"/>
        <v>0</v>
      </c>
      <c r="N48" s="55" t="str">
        <f t="shared" si="31"/>
        <v/>
      </c>
      <c r="O48" s="172">
        <v>0</v>
      </c>
      <c r="P48" s="54">
        <f t="shared" si="32"/>
        <v>0</v>
      </c>
      <c r="Q48" s="77" t="str">
        <f t="shared" si="33"/>
        <v/>
      </c>
      <c r="R48" s="173">
        <v>0</v>
      </c>
      <c r="S48" s="57">
        <f t="shared" si="34"/>
        <v>0</v>
      </c>
      <c r="T48" s="55" t="str">
        <f t="shared" si="35"/>
        <v/>
      </c>
      <c r="U48" s="59">
        <f t="shared" ref="U48:V52" si="38">SUM(I48,L48,O48,R48)</f>
        <v>0</v>
      </c>
      <c r="V48" s="174">
        <f t="shared" si="38"/>
        <v>0</v>
      </c>
      <c r="W48" s="61">
        <f t="shared" si="36"/>
        <v>0</v>
      </c>
      <c r="X48" s="92">
        <f t="shared" si="37"/>
        <v>0</v>
      </c>
      <c r="Y48" s="83" t="s">
        <v>18</v>
      </c>
      <c r="Z48" s="83" t="s">
        <v>19</v>
      </c>
      <c r="AA48" s="81" t="s">
        <v>20</v>
      </c>
      <c r="AB48" s="81" t="s">
        <v>21</v>
      </c>
      <c r="AC48" s="109" t="s">
        <v>177</v>
      </c>
      <c r="AD48" s="64"/>
      <c r="AE48" s="64" t="s">
        <v>22</v>
      </c>
      <c r="AF48" s="129">
        <f t="shared" si="26"/>
        <v>0</v>
      </c>
      <c r="AG48" s="125">
        <v>0</v>
      </c>
      <c r="AH48" s="78" t="s">
        <v>378</v>
      </c>
      <c r="AI48" s="78" t="s">
        <v>378</v>
      </c>
      <c r="AJ48" s="130">
        <f t="shared" si="27"/>
        <v>0</v>
      </c>
      <c r="AK48" s="125">
        <v>0</v>
      </c>
      <c r="AL48" s="78" t="s">
        <v>378</v>
      </c>
      <c r="AM48" s="78" t="s">
        <v>378</v>
      </c>
      <c r="AN48" s="129">
        <f t="shared" si="3"/>
        <v>0</v>
      </c>
      <c r="AO48" s="125">
        <v>0</v>
      </c>
      <c r="AP48" s="78" t="s">
        <v>378</v>
      </c>
      <c r="AQ48" s="78" t="s">
        <v>378</v>
      </c>
      <c r="AR48" s="130">
        <f t="shared" si="4"/>
        <v>0</v>
      </c>
      <c r="AS48" s="130">
        <v>0</v>
      </c>
      <c r="AT48" s="98" t="s">
        <v>378</v>
      </c>
      <c r="AU48" s="98" t="s">
        <v>378</v>
      </c>
    </row>
    <row r="49" spans="1:47" ht="93.6" customHeight="1" thickBot="1">
      <c r="A49" s="203"/>
      <c r="B49" s="203"/>
      <c r="C49" s="203"/>
      <c r="D49" s="13">
        <v>5</v>
      </c>
      <c r="E49" s="83" t="s">
        <v>23</v>
      </c>
      <c r="F49" s="168">
        <v>0</v>
      </c>
      <c r="G49" s="83" t="s">
        <v>171</v>
      </c>
      <c r="H49" s="83" t="s">
        <v>172</v>
      </c>
      <c r="I49" s="172">
        <v>0</v>
      </c>
      <c r="J49" s="54">
        <f t="shared" si="28"/>
        <v>0</v>
      </c>
      <c r="K49" s="77" t="str">
        <f t="shared" si="29"/>
        <v/>
      </c>
      <c r="L49" s="173">
        <v>0</v>
      </c>
      <c r="M49" s="57">
        <f t="shared" si="30"/>
        <v>0</v>
      </c>
      <c r="N49" s="55" t="str">
        <f t="shared" si="31"/>
        <v/>
      </c>
      <c r="O49" s="172">
        <v>0</v>
      </c>
      <c r="P49" s="54">
        <f t="shared" si="32"/>
        <v>0</v>
      </c>
      <c r="Q49" s="77" t="str">
        <f t="shared" si="33"/>
        <v/>
      </c>
      <c r="R49" s="173">
        <v>0</v>
      </c>
      <c r="S49" s="57">
        <f t="shared" si="34"/>
        <v>0</v>
      </c>
      <c r="T49" s="55" t="str">
        <f t="shared" si="35"/>
        <v/>
      </c>
      <c r="U49" s="59">
        <f t="shared" si="38"/>
        <v>0</v>
      </c>
      <c r="V49" s="174">
        <f t="shared" si="38"/>
        <v>0</v>
      </c>
      <c r="W49" s="61">
        <f t="shared" si="36"/>
        <v>0</v>
      </c>
      <c r="X49" s="92">
        <f t="shared" si="37"/>
        <v>0</v>
      </c>
      <c r="Y49" s="83" t="s">
        <v>24</v>
      </c>
      <c r="Z49" s="83" t="s">
        <v>25</v>
      </c>
      <c r="AA49" s="83" t="s">
        <v>26</v>
      </c>
      <c r="AB49" s="83" t="s">
        <v>27</v>
      </c>
      <c r="AC49" s="109" t="s">
        <v>177</v>
      </c>
      <c r="AD49" s="64"/>
      <c r="AE49" s="110" t="s">
        <v>28</v>
      </c>
      <c r="AF49" s="129">
        <f t="shared" si="26"/>
        <v>0</v>
      </c>
      <c r="AG49" s="125">
        <v>0</v>
      </c>
      <c r="AH49" s="78" t="s">
        <v>378</v>
      </c>
      <c r="AI49" s="78" t="s">
        <v>378</v>
      </c>
      <c r="AJ49" s="130">
        <f t="shared" si="27"/>
        <v>0</v>
      </c>
      <c r="AK49" s="125">
        <v>0</v>
      </c>
      <c r="AL49" s="78" t="s">
        <v>378</v>
      </c>
      <c r="AM49" s="78" t="s">
        <v>378</v>
      </c>
      <c r="AN49" s="129">
        <f t="shared" si="3"/>
        <v>0</v>
      </c>
      <c r="AO49" s="125">
        <v>0</v>
      </c>
      <c r="AP49" s="78" t="s">
        <v>378</v>
      </c>
      <c r="AQ49" s="78" t="s">
        <v>378</v>
      </c>
      <c r="AR49" s="130">
        <f t="shared" si="4"/>
        <v>0</v>
      </c>
      <c r="AS49" s="130">
        <v>0</v>
      </c>
      <c r="AT49" s="98" t="s">
        <v>378</v>
      </c>
      <c r="AU49" s="98" t="s">
        <v>378</v>
      </c>
    </row>
    <row r="50" spans="1:47" ht="93.95" customHeight="1" thickBot="1">
      <c r="A50" s="203"/>
      <c r="B50" s="203"/>
      <c r="C50" s="203"/>
      <c r="D50" s="13">
        <v>6</v>
      </c>
      <c r="E50" s="83" t="s">
        <v>29</v>
      </c>
      <c r="F50" s="168">
        <v>0</v>
      </c>
      <c r="G50" s="83" t="s">
        <v>171</v>
      </c>
      <c r="H50" s="83" t="s">
        <v>172</v>
      </c>
      <c r="I50" s="172">
        <v>0</v>
      </c>
      <c r="J50" s="54">
        <f t="shared" si="28"/>
        <v>0</v>
      </c>
      <c r="K50" s="77" t="str">
        <f t="shared" si="29"/>
        <v/>
      </c>
      <c r="L50" s="173">
        <v>0</v>
      </c>
      <c r="M50" s="57">
        <f t="shared" si="30"/>
        <v>0</v>
      </c>
      <c r="N50" s="55" t="str">
        <f t="shared" si="31"/>
        <v/>
      </c>
      <c r="O50" s="172">
        <v>0</v>
      </c>
      <c r="P50" s="54">
        <f t="shared" si="32"/>
        <v>0</v>
      </c>
      <c r="Q50" s="77" t="str">
        <f t="shared" si="33"/>
        <v/>
      </c>
      <c r="R50" s="173">
        <v>0</v>
      </c>
      <c r="S50" s="57">
        <f t="shared" si="34"/>
        <v>0</v>
      </c>
      <c r="T50" s="55" t="str">
        <f t="shared" si="35"/>
        <v/>
      </c>
      <c r="U50" s="59">
        <f t="shared" si="38"/>
        <v>0</v>
      </c>
      <c r="V50" s="174">
        <f t="shared" si="38"/>
        <v>0</v>
      </c>
      <c r="W50" s="61">
        <f t="shared" si="36"/>
        <v>0</v>
      </c>
      <c r="X50" s="92">
        <f t="shared" si="37"/>
        <v>0</v>
      </c>
      <c r="Y50" s="171" t="s">
        <v>30</v>
      </c>
      <c r="Z50" s="171" t="s">
        <v>31</v>
      </c>
      <c r="AA50" s="83" t="s">
        <v>32</v>
      </c>
      <c r="AB50" s="83" t="s">
        <v>33</v>
      </c>
      <c r="AC50" s="109" t="s">
        <v>177</v>
      </c>
      <c r="AD50" s="64"/>
      <c r="AE50" s="110" t="s">
        <v>28</v>
      </c>
      <c r="AF50" s="129">
        <f t="shared" si="26"/>
        <v>0</v>
      </c>
      <c r="AG50" s="125">
        <v>0</v>
      </c>
      <c r="AH50" s="78" t="s">
        <v>378</v>
      </c>
      <c r="AI50" s="78" t="s">
        <v>378</v>
      </c>
      <c r="AJ50" s="130">
        <f t="shared" si="27"/>
        <v>0</v>
      </c>
      <c r="AK50" s="125">
        <v>0</v>
      </c>
      <c r="AL50" s="78" t="s">
        <v>378</v>
      </c>
      <c r="AM50" s="78" t="s">
        <v>378</v>
      </c>
      <c r="AN50" s="129">
        <f t="shared" si="3"/>
        <v>0</v>
      </c>
      <c r="AO50" s="125">
        <v>0</v>
      </c>
      <c r="AP50" s="78" t="s">
        <v>378</v>
      </c>
      <c r="AQ50" s="78" t="s">
        <v>378</v>
      </c>
      <c r="AR50" s="130">
        <f t="shared" si="4"/>
        <v>0</v>
      </c>
      <c r="AS50" s="130">
        <v>0</v>
      </c>
      <c r="AT50" s="98" t="s">
        <v>378</v>
      </c>
      <c r="AU50" s="98" t="s">
        <v>378</v>
      </c>
    </row>
    <row r="51" spans="1:47" ht="178.5" customHeight="1" thickTop="1" thickBot="1">
      <c r="A51" s="203"/>
      <c r="B51" s="203"/>
      <c r="C51" s="203"/>
      <c r="D51" s="13">
        <v>7</v>
      </c>
      <c r="E51" s="81" t="s">
        <v>34</v>
      </c>
      <c r="F51" s="168">
        <v>0.03</v>
      </c>
      <c r="G51" s="83" t="s">
        <v>171</v>
      </c>
      <c r="H51" s="83" t="s">
        <v>172</v>
      </c>
      <c r="I51" s="172">
        <v>3</v>
      </c>
      <c r="J51" s="54">
        <f t="shared" si="28"/>
        <v>2</v>
      </c>
      <c r="K51" s="77">
        <f t="shared" si="29"/>
        <v>0.66666666666666663</v>
      </c>
      <c r="L51" s="173">
        <v>4</v>
      </c>
      <c r="M51" s="57">
        <f t="shared" si="30"/>
        <v>5</v>
      </c>
      <c r="N51" s="55">
        <f t="shared" si="31"/>
        <v>1.25</v>
      </c>
      <c r="O51" s="172">
        <v>4</v>
      </c>
      <c r="P51" s="54">
        <f t="shared" si="32"/>
        <v>7</v>
      </c>
      <c r="Q51" s="77">
        <f t="shared" si="33"/>
        <v>1.75</v>
      </c>
      <c r="R51" s="173">
        <v>4</v>
      </c>
      <c r="S51" s="57">
        <f t="shared" si="34"/>
        <v>3</v>
      </c>
      <c r="T51" s="55">
        <f t="shared" si="35"/>
        <v>0.75</v>
      </c>
      <c r="U51" s="59">
        <f t="shared" si="38"/>
        <v>15</v>
      </c>
      <c r="V51" s="174">
        <f t="shared" si="38"/>
        <v>17</v>
      </c>
      <c r="W51" s="61">
        <f t="shared" si="36"/>
        <v>1</v>
      </c>
      <c r="X51" s="92">
        <f t="shared" si="37"/>
        <v>0.03</v>
      </c>
      <c r="Y51" s="171" t="s">
        <v>35</v>
      </c>
      <c r="Z51" s="171" t="s">
        <v>36</v>
      </c>
      <c r="AA51" s="81" t="s">
        <v>37</v>
      </c>
      <c r="AB51" s="81" t="s">
        <v>38</v>
      </c>
      <c r="AC51" s="109" t="s">
        <v>177</v>
      </c>
      <c r="AD51" s="65" t="s">
        <v>39</v>
      </c>
      <c r="AE51" s="175"/>
      <c r="AF51" s="129">
        <f t="shared" si="26"/>
        <v>3</v>
      </c>
      <c r="AG51" s="129">
        <v>2</v>
      </c>
      <c r="AH51" s="79" t="s">
        <v>393</v>
      </c>
      <c r="AI51" s="79" t="s">
        <v>394</v>
      </c>
      <c r="AJ51" s="130">
        <f t="shared" si="27"/>
        <v>4</v>
      </c>
      <c r="AK51" s="130">
        <v>5</v>
      </c>
      <c r="AL51" s="79" t="s">
        <v>408</v>
      </c>
      <c r="AM51" s="79" t="s">
        <v>394</v>
      </c>
      <c r="AN51" s="129">
        <f t="shared" si="3"/>
        <v>4</v>
      </c>
      <c r="AO51" s="129">
        <v>7</v>
      </c>
      <c r="AP51" s="78" t="s">
        <v>469</v>
      </c>
      <c r="AQ51" s="79" t="s">
        <v>394</v>
      </c>
      <c r="AR51" s="130">
        <f t="shared" si="4"/>
        <v>4</v>
      </c>
      <c r="AS51" s="176">
        <v>3</v>
      </c>
      <c r="AT51" s="98" t="s">
        <v>521</v>
      </c>
      <c r="AU51" s="79" t="s">
        <v>394</v>
      </c>
    </row>
    <row r="52" spans="1:47" ht="70.150000000000006" customHeight="1" thickBot="1">
      <c r="A52" s="203"/>
      <c r="B52" s="203"/>
      <c r="C52" s="203"/>
      <c r="D52" s="13">
        <v>8</v>
      </c>
      <c r="E52" s="81" t="s">
        <v>40</v>
      </c>
      <c r="F52" s="168">
        <v>0.03</v>
      </c>
      <c r="G52" s="83" t="s">
        <v>171</v>
      </c>
      <c r="H52" s="83" t="s">
        <v>172</v>
      </c>
      <c r="I52" s="172">
        <v>0</v>
      </c>
      <c r="J52" s="54">
        <f t="shared" si="28"/>
        <v>0</v>
      </c>
      <c r="K52" s="77" t="str">
        <f t="shared" si="29"/>
        <v/>
      </c>
      <c r="L52" s="173">
        <v>1</v>
      </c>
      <c r="M52" s="57">
        <f t="shared" si="30"/>
        <v>0</v>
      </c>
      <c r="N52" s="55">
        <f t="shared" si="31"/>
        <v>0</v>
      </c>
      <c r="O52" s="172">
        <v>0</v>
      </c>
      <c r="P52" s="54">
        <f t="shared" si="32"/>
        <v>0</v>
      </c>
      <c r="Q52" s="77" t="str">
        <f t="shared" si="33"/>
        <v/>
      </c>
      <c r="R52" s="173">
        <v>0</v>
      </c>
      <c r="S52" s="57">
        <f t="shared" si="34"/>
        <v>0</v>
      </c>
      <c r="T52" s="55" t="str">
        <f t="shared" si="35"/>
        <v/>
      </c>
      <c r="U52" s="59">
        <f t="shared" si="38"/>
        <v>1</v>
      </c>
      <c r="V52" s="174">
        <f t="shared" si="38"/>
        <v>0</v>
      </c>
      <c r="W52" s="61">
        <f t="shared" si="36"/>
        <v>0</v>
      </c>
      <c r="X52" s="92">
        <f t="shared" si="37"/>
        <v>0</v>
      </c>
      <c r="Y52" s="171" t="s">
        <v>41</v>
      </c>
      <c r="Z52" s="171" t="s">
        <v>42</v>
      </c>
      <c r="AA52" s="81" t="s">
        <v>43</v>
      </c>
      <c r="AB52" s="81" t="s">
        <v>44</v>
      </c>
      <c r="AC52" s="109" t="s">
        <v>177</v>
      </c>
      <c r="AD52" s="64" t="s">
        <v>45</v>
      </c>
      <c r="AE52" s="64" t="s">
        <v>46</v>
      </c>
      <c r="AF52" s="129">
        <f t="shared" si="26"/>
        <v>0</v>
      </c>
      <c r="AG52" s="129">
        <v>0</v>
      </c>
      <c r="AH52" s="78" t="s">
        <v>392</v>
      </c>
      <c r="AI52" s="79"/>
      <c r="AJ52" s="130">
        <f t="shared" si="27"/>
        <v>1</v>
      </c>
      <c r="AK52" s="130"/>
      <c r="AL52" s="136"/>
      <c r="AM52" s="114"/>
      <c r="AN52" s="129">
        <f t="shared" si="3"/>
        <v>0</v>
      </c>
      <c r="AO52" s="129">
        <v>0</v>
      </c>
      <c r="AP52" s="78" t="s">
        <v>443</v>
      </c>
      <c r="AQ52" s="79"/>
      <c r="AR52" s="130">
        <f t="shared" si="4"/>
        <v>0</v>
      </c>
      <c r="AS52" s="130">
        <v>0</v>
      </c>
      <c r="AT52" s="98" t="s">
        <v>522</v>
      </c>
      <c r="AU52" s="98" t="s">
        <v>378</v>
      </c>
    </row>
    <row r="53" spans="1:47" ht="110.85" customHeight="1" thickBot="1">
      <c r="A53" s="203"/>
      <c r="B53" s="203"/>
      <c r="C53" s="203"/>
      <c r="D53" s="13">
        <v>9</v>
      </c>
      <c r="E53" s="81" t="s">
        <v>47</v>
      </c>
      <c r="F53" s="168">
        <v>0</v>
      </c>
      <c r="G53" s="51" t="s">
        <v>195</v>
      </c>
      <c r="H53" s="51" t="s">
        <v>203</v>
      </c>
      <c r="I53" s="169">
        <v>0</v>
      </c>
      <c r="J53" s="119">
        <f t="shared" si="28"/>
        <v>0</v>
      </c>
      <c r="K53" s="77" t="str">
        <f t="shared" si="29"/>
        <v/>
      </c>
      <c r="L53" s="177">
        <v>0</v>
      </c>
      <c r="M53" s="120">
        <f t="shared" si="30"/>
        <v>0</v>
      </c>
      <c r="N53" s="55" t="str">
        <f t="shared" si="31"/>
        <v/>
      </c>
      <c r="O53" s="169">
        <v>0</v>
      </c>
      <c r="P53" s="119">
        <f t="shared" si="32"/>
        <v>0</v>
      </c>
      <c r="Q53" s="77" t="str">
        <f t="shared" si="33"/>
        <v/>
      </c>
      <c r="R53" s="177">
        <v>0</v>
      </c>
      <c r="S53" s="120">
        <f t="shared" si="34"/>
        <v>0</v>
      </c>
      <c r="T53" s="55" t="str">
        <f t="shared" si="35"/>
        <v/>
      </c>
      <c r="U53" s="121">
        <f>R53</f>
        <v>0</v>
      </c>
      <c r="V53" s="121">
        <f>J53</f>
        <v>0</v>
      </c>
      <c r="W53" s="61">
        <f t="shared" si="36"/>
        <v>0</v>
      </c>
      <c r="X53" s="92">
        <f t="shared" si="37"/>
        <v>0</v>
      </c>
      <c r="Y53" s="171" t="s">
        <v>48</v>
      </c>
      <c r="Z53" s="171" t="s">
        <v>49</v>
      </c>
      <c r="AA53" s="81" t="s">
        <v>50</v>
      </c>
      <c r="AB53" s="81" t="s">
        <v>51</v>
      </c>
      <c r="AC53" s="109" t="s">
        <v>177</v>
      </c>
      <c r="AD53" s="64" t="s">
        <v>52</v>
      </c>
      <c r="AE53" s="64" t="s">
        <v>53</v>
      </c>
      <c r="AF53" s="132">
        <f t="shared" si="26"/>
        <v>0</v>
      </c>
      <c r="AG53" s="125">
        <v>0</v>
      </c>
      <c r="AH53" s="78" t="s">
        <v>378</v>
      </c>
      <c r="AI53" s="78" t="s">
        <v>378</v>
      </c>
      <c r="AJ53" s="96">
        <f t="shared" si="27"/>
        <v>0</v>
      </c>
      <c r="AK53" s="125">
        <v>0</v>
      </c>
      <c r="AL53" s="78" t="s">
        <v>378</v>
      </c>
      <c r="AM53" s="78" t="s">
        <v>378</v>
      </c>
      <c r="AN53" s="132">
        <f t="shared" si="3"/>
        <v>0</v>
      </c>
      <c r="AO53" s="125">
        <v>0</v>
      </c>
      <c r="AP53" s="78" t="s">
        <v>378</v>
      </c>
      <c r="AQ53" s="78" t="s">
        <v>378</v>
      </c>
      <c r="AR53" s="96">
        <f t="shared" si="4"/>
        <v>0</v>
      </c>
      <c r="AS53" s="96">
        <v>0</v>
      </c>
      <c r="AT53" s="98" t="s">
        <v>378</v>
      </c>
      <c r="AU53" s="98" t="s">
        <v>378</v>
      </c>
    </row>
    <row r="54" spans="1:47" ht="126.95" customHeight="1" thickBot="1">
      <c r="A54" s="203"/>
      <c r="B54" s="203"/>
      <c r="C54" s="203"/>
      <c r="D54" s="13">
        <v>10</v>
      </c>
      <c r="E54" s="101" t="s">
        <v>54</v>
      </c>
      <c r="F54" s="118">
        <v>0.02</v>
      </c>
      <c r="G54" s="51" t="s">
        <v>195</v>
      </c>
      <c r="H54" s="51" t="s">
        <v>203</v>
      </c>
      <c r="I54" s="169">
        <v>0.1</v>
      </c>
      <c r="J54" s="119">
        <f t="shared" si="28"/>
        <v>0.17499999999999999</v>
      </c>
      <c r="K54" s="77">
        <f t="shared" si="29"/>
        <v>1.7499999999999998</v>
      </c>
      <c r="L54" s="177">
        <v>0.35</v>
      </c>
      <c r="M54" s="120">
        <f t="shared" si="30"/>
        <v>0.375</v>
      </c>
      <c r="N54" s="55">
        <f t="shared" si="31"/>
        <v>1.0714285714285714</v>
      </c>
      <c r="O54" s="169">
        <v>0.7</v>
      </c>
      <c r="P54" s="119">
        <f t="shared" si="32"/>
        <v>0.7</v>
      </c>
      <c r="Q54" s="77">
        <f t="shared" si="33"/>
        <v>1</v>
      </c>
      <c r="R54" s="177">
        <v>1</v>
      </c>
      <c r="S54" s="120">
        <f t="shared" si="34"/>
        <v>0.80769230769230771</v>
      </c>
      <c r="T54" s="55">
        <f t="shared" si="35"/>
        <v>0.80769230769230771</v>
      </c>
      <c r="U54" s="121">
        <f>R54</f>
        <v>1</v>
      </c>
      <c r="V54" s="121">
        <f>+S54</f>
        <v>0.80769230769230771</v>
      </c>
      <c r="W54" s="61">
        <f t="shared" si="36"/>
        <v>0.80769230769230771</v>
      </c>
      <c r="X54" s="92">
        <f t="shared" si="37"/>
        <v>1.6153846153846154E-2</v>
      </c>
      <c r="Y54" s="178" t="s">
        <v>55</v>
      </c>
      <c r="Z54" s="171" t="s">
        <v>56</v>
      </c>
      <c r="AA54" s="101" t="s">
        <v>57</v>
      </c>
      <c r="AB54" s="81" t="s">
        <v>51</v>
      </c>
      <c r="AC54" s="106" t="s">
        <v>177</v>
      </c>
      <c r="AD54" s="64" t="s">
        <v>58</v>
      </c>
      <c r="AE54" s="64" t="s">
        <v>59</v>
      </c>
      <c r="AF54" s="94">
        <f t="shared" si="26"/>
        <v>0.1</v>
      </c>
      <c r="AG54" s="112">
        <v>0.17499999999999999</v>
      </c>
      <c r="AH54" s="78" t="s">
        <v>458</v>
      </c>
      <c r="AI54" s="78" t="s">
        <v>457</v>
      </c>
      <c r="AJ54" s="96">
        <f t="shared" si="27"/>
        <v>0.35</v>
      </c>
      <c r="AK54" s="100">
        <v>0.375</v>
      </c>
      <c r="AL54" s="78" t="s">
        <v>460</v>
      </c>
      <c r="AM54" s="78" t="s">
        <v>457</v>
      </c>
      <c r="AN54" s="94">
        <f t="shared" si="3"/>
        <v>0.7</v>
      </c>
      <c r="AO54" s="112">
        <v>0.7</v>
      </c>
      <c r="AP54" s="78" t="s">
        <v>461</v>
      </c>
      <c r="AQ54" s="78" t="s">
        <v>457</v>
      </c>
      <c r="AR54" s="96">
        <f t="shared" si="4"/>
        <v>1</v>
      </c>
      <c r="AS54" s="100">
        <v>0.80769230769230771</v>
      </c>
      <c r="AT54" s="98" t="s">
        <v>523</v>
      </c>
      <c r="AU54" s="78" t="s">
        <v>457</v>
      </c>
    </row>
    <row r="55" spans="1:47" ht="45.75" customHeight="1" thickBot="1">
      <c r="A55" s="204"/>
      <c r="B55" s="204"/>
      <c r="C55" s="15" t="s">
        <v>242</v>
      </c>
      <c r="D55" s="205" t="s">
        <v>459</v>
      </c>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f t="shared" si="26"/>
        <v>0</v>
      </c>
      <c r="AG55" s="205"/>
      <c r="AH55" s="205"/>
      <c r="AI55" s="205"/>
      <c r="AJ55" s="205">
        <f t="shared" si="27"/>
        <v>0</v>
      </c>
      <c r="AK55" s="205"/>
      <c r="AL55" s="205"/>
      <c r="AM55" s="205"/>
      <c r="AN55" s="205">
        <f t="shared" si="3"/>
        <v>0</v>
      </c>
      <c r="AO55" s="205"/>
      <c r="AP55" s="205"/>
      <c r="AQ55" s="205"/>
      <c r="AR55" s="205">
        <f t="shared" si="4"/>
        <v>0</v>
      </c>
      <c r="AS55" s="205"/>
      <c r="AT55" s="205"/>
      <c r="AU55" s="205"/>
    </row>
    <row r="56" spans="1:47" ht="112.5" customHeight="1" thickBot="1">
      <c r="A56" s="203" t="s">
        <v>60</v>
      </c>
      <c r="B56" s="203" t="s">
        <v>61</v>
      </c>
      <c r="C56" s="203" t="s">
        <v>62</v>
      </c>
      <c r="D56" s="13">
        <v>1</v>
      </c>
      <c r="E56" s="51" t="s">
        <v>63</v>
      </c>
      <c r="F56" s="118">
        <v>0.02</v>
      </c>
      <c r="G56" s="51" t="s">
        <v>195</v>
      </c>
      <c r="H56" s="51" t="s">
        <v>203</v>
      </c>
      <c r="I56" s="179">
        <v>0.75</v>
      </c>
      <c r="J56" s="85">
        <f>AG56</f>
        <v>0.75900000000000001</v>
      </c>
      <c r="K56" s="77">
        <f>IF(ISERROR(J56/I56),"",(J56/I56))</f>
        <v>1.012</v>
      </c>
      <c r="L56" s="180">
        <v>0.8</v>
      </c>
      <c r="M56" s="104">
        <f>AK56</f>
        <v>0.80100000000000005</v>
      </c>
      <c r="N56" s="55">
        <f>IF(ISERROR(M56/L56),"",(M56/L56))</f>
        <v>1.00125</v>
      </c>
      <c r="O56" s="179">
        <v>0.82</v>
      </c>
      <c r="P56" s="85">
        <f>AO56</f>
        <v>0.80100000000000005</v>
      </c>
      <c r="Q56" s="77">
        <f>IF(ISERROR(P56/O56),"",(P56/O56))</f>
        <v>0.97682926829268302</v>
      </c>
      <c r="R56" s="180">
        <v>0.85</v>
      </c>
      <c r="S56" s="104">
        <f>AS56</f>
        <v>0.80900000000000005</v>
      </c>
      <c r="T56" s="55">
        <f>IF(ISERROR(S56/R56),"",(S56/R56))</f>
        <v>0.95176470588235307</v>
      </c>
      <c r="U56" s="61">
        <f>R56</f>
        <v>0.85</v>
      </c>
      <c r="V56" s="61">
        <f>+S56</f>
        <v>0.80900000000000005</v>
      </c>
      <c r="W56" s="61">
        <f>IF((IF(ISERROR(V56/U56),0,(V56/U56)))&gt;1,1,(IF(ISERROR(V56/U56),0,(V56/U56))))</f>
        <v>0.95176470588235307</v>
      </c>
      <c r="X56" s="92">
        <f>F56*W56</f>
        <v>1.9035294117647063E-2</v>
      </c>
      <c r="Y56" s="51" t="s">
        <v>64</v>
      </c>
      <c r="Z56" s="51" t="s">
        <v>65</v>
      </c>
      <c r="AA56" s="51" t="s">
        <v>66</v>
      </c>
      <c r="AB56" s="181"/>
      <c r="AC56" s="106" t="s">
        <v>177</v>
      </c>
      <c r="AD56" s="64" t="s">
        <v>67</v>
      </c>
      <c r="AE56" s="64" t="s">
        <v>68</v>
      </c>
      <c r="AF56" s="94">
        <f t="shared" si="26"/>
        <v>0.75</v>
      </c>
      <c r="AG56" s="94">
        <v>0.75900000000000001</v>
      </c>
      <c r="AH56" s="95" t="s">
        <v>390</v>
      </c>
      <c r="AI56" s="95" t="s">
        <v>389</v>
      </c>
      <c r="AJ56" s="97">
        <f t="shared" si="27"/>
        <v>0.8</v>
      </c>
      <c r="AK56" s="97">
        <v>0.80100000000000005</v>
      </c>
      <c r="AL56" s="95" t="s">
        <v>436</v>
      </c>
      <c r="AM56" s="124" t="s">
        <v>473</v>
      </c>
      <c r="AN56" s="94">
        <f t="shared" si="3"/>
        <v>0.82</v>
      </c>
      <c r="AO56" s="97">
        <v>0.80100000000000005</v>
      </c>
      <c r="AP56" s="95" t="s">
        <v>474</v>
      </c>
      <c r="AQ56" s="124" t="s">
        <v>473</v>
      </c>
      <c r="AR56" s="96">
        <f t="shared" si="4"/>
        <v>0.85</v>
      </c>
      <c r="AS56" s="182">
        <v>0.80900000000000005</v>
      </c>
      <c r="AT56" s="183" t="s">
        <v>524</v>
      </c>
      <c r="AU56" s="184" t="s">
        <v>525</v>
      </c>
    </row>
    <row r="57" spans="1:47" s="17" customFormat="1" ht="158.25" customHeight="1" thickBot="1">
      <c r="A57" s="203"/>
      <c r="B57" s="203"/>
      <c r="C57" s="203"/>
      <c r="D57" s="18">
        <v>2</v>
      </c>
      <c r="E57" s="83" t="s">
        <v>69</v>
      </c>
      <c r="F57" s="168">
        <v>0.02</v>
      </c>
      <c r="G57" s="83" t="s">
        <v>195</v>
      </c>
      <c r="H57" s="83" t="s">
        <v>172</v>
      </c>
      <c r="I57" s="179">
        <v>0.7</v>
      </c>
      <c r="J57" s="85">
        <f>AG57</f>
        <v>0</v>
      </c>
      <c r="K57" s="77">
        <f>IF(ISERROR(J57/I57),"",(J57/I57))</f>
        <v>0</v>
      </c>
      <c r="L57" s="198">
        <v>0</v>
      </c>
      <c r="M57" s="199">
        <f>AK57</f>
        <v>0</v>
      </c>
      <c r="N57" s="186" t="str">
        <f>IF(ISERROR(M57/L57),"",(M57/L57))</f>
        <v/>
      </c>
      <c r="O57" s="179">
        <v>0</v>
      </c>
      <c r="P57" s="85">
        <f>AO57</f>
        <v>0</v>
      </c>
      <c r="Q57" s="77" t="str">
        <f>IF(ISERROR(P57/O57),"",(P57/O57))</f>
        <v/>
      </c>
      <c r="R57" s="198">
        <v>0</v>
      </c>
      <c r="S57" s="185" t="str">
        <f>AS57</f>
        <v>NA</v>
      </c>
      <c r="T57" s="88" t="str">
        <f>IF(ISERROR(S57/R57),"",(S57/R57))</f>
        <v/>
      </c>
      <c r="U57" s="61">
        <f t="shared" ref="U57:V59" si="39">SUM(I57,L57,O57,R57)</f>
        <v>0.7</v>
      </c>
      <c r="V57" s="61">
        <f t="shared" si="39"/>
        <v>0</v>
      </c>
      <c r="W57" s="61">
        <f>IF((IF(ISERROR(V57/U57),0,(V57/U57)))&gt;1,1,(IF(ISERROR(V57/U57),0,(V57/U57))))</f>
        <v>0</v>
      </c>
      <c r="X57" s="92">
        <f>F57*W57</f>
        <v>0</v>
      </c>
      <c r="Y57" s="83" t="s">
        <v>70</v>
      </c>
      <c r="Z57" s="83" t="s">
        <v>71</v>
      </c>
      <c r="AA57" s="83" t="s">
        <v>72</v>
      </c>
      <c r="AB57" s="187" t="s">
        <v>73</v>
      </c>
      <c r="AC57" s="109" t="s">
        <v>177</v>
      </c>
      <c r="AD57" s="110" t="s">
        <v>74</v>
      </c>
      <c r="AE57" s="110" t="s">
        <v>75</v>
      </c>
      <c r="AF57" s="94">
        <f t="shared" si="26"/>
        <v>0.7</v>
      </c>
      <c r="AG57" s="99">
        <v>0</v>
      </c>
      <c r="AH57" s="95" t="s">
        <v>391</v>
      </c>
      <c r="AI57" s="95" t="s">
        <v>378</v>
      </c>
      <c r="AJ57" s="96">
        <f t="shared" si="27"/>
        <v>0</v>
      </c>
      <c r="AK57" s="96"/>
      <c r="AL57" s="131"/>
      <c r="AM57" s="114"/>
      <c r="AN57" s="94">
        <f t="shared" si="3"/>
        <v>0</v>
      </c>
      <c r="AO57" s="94">
        <v>0</v>
      </c>
      <c r="AP57" s="134" t="s">
        <v>378</v>
      </c>
      <c r="AQ57" s="134" t="s">
        <v>378</v>
      </c>
      <c r="AR57" s="96">
        <f t="shared" si="4"/>
        <v>0</v>
      </c>
      <c r="AS57" s="188" t="s">
        <v>378</v>
      </c>
      <c r="AT57" s="189" t="s">
        <v>378</v>
      </c>
      <c r="AU57" s="98" t="s">
        <v>378</v>
      </c>
    </row>
    <row r="58" spans="1:47" s="17" customFormat="1" ht="119.45" customHeight="1" thickBot="1">
      <c r="A58" s="203"/>
      <c r="B58" s="203"/>
      <c r="C58" s="203"/>
      <c r="D58" s="18">
        <v>3</v>
      </c>
      <c r="E58" s="83" t="s">
        <v>76</v>
      </c>
      <c r="F58" s="168">
        <v>0</v>
      </c>
      <c r="G58" s="83" t="s">
        <v>195</v>
      </c>
      <c r="H58" s="83" t="s">
        <v>172</v>
      </c>
      <c r="I58" s="179">
        <v>0</v>
      </c>
      <c r="J58" s="85">
        <f>AG58</f>
        <v>0</v>
      </c>
      <c r="K58" s="77" t="str">
        <f>IF(ISERROR(J58/I58),"",(J58/I58))</f>
        <v/>
      </c>
      <c r="L58" s="198">
        <v>0</v>
      </c>
      <c r="M58" s="199">
        <f>AK58</f>
        <v>0</v>
      </c>
      <c r="N58" s="186" t="str">
        <f>IF(ISERROR(M58/L58),"",(M58/L58))</f>
        <v/>
      </c>
      <c r="O58" s="179">
        <v>0</v>
      </c>
      <c r="P58" s="85">
        <f>AO58</f>
        <v>0</v>
      </c>
      <c r="Q58" s="77" t="str">
        <f>IF(ISERROR(P58/O58),"",(P58/O58))</f>
        <v/>
      </c>
      <c r="R58" s="198">
        <v>0</v>
      </c>
      <c r="S58" s="185" t="str">
        <f>AS58</f>
        <v>NA</v>
      </c>
      <c r="T58" s="88" t="str">
        <f>IF(ISERROR(S58/R58),"",(S58/R58))</f>
        <v/>
      </c>
      <c r="U58" s="61">
        <f t="shared" si="39"/>
        <v>0</v>
      </c>
      <c r="V58" s="61">
        <f t="shared" si="39"/>
        <v>0</v>
      </c>
      <c r="W58" s="61">
        <f>IF((IF(ISERROR(V58/U58),0,(V58/U58)))&gt;1,1,(IF(ISERROR(V58/U58),0,(V58/U58))))</f>
        <v>0</v>
      </c>
      <c r="X58" s="92">
        <f>F58*W58</f>
        <v>0</v>
      </c>
      <c r="Y58" s="83" t="s">
        <v>77</v>
      </c>
      <c r="Z58" s="83" t="s">
        <v>78</v>
      </c>
      <c r="AA58" s="83" t="s">
        <v>79</v>
      </c>
      <c r="AB58" s="83" t="s">
        <v>80</v>
      </c>
      <c r="AC58" s="109" t="s">
        <v>333</v>
      </c>
      <c r="AD58" s="110"/>
      <c r="AE58" s="110" t="s">
        <v>81</v>
      </c>
      <c r="AF58" s="94">
        <f t="shared" si="26"/>
        <v>0</v>
      </c>
      <c r="AG58" s="99">
        <v>0</v>
      </c>
      <c r="AH58" s="95" t="s">
        <v>388</v>
      </c>
      <c r="AI58" s="95" t="s">
        <v>378</v>
      </c>
      <c r="AJ58" s="96">
        <f t="shared" si="27"/>
        <v>0</v>
      </c>
      <c r="AK58" s="99">
        <v>0</v>
      </c>
      <c r="AL58" s="95" t="s">
        <v>388</v>
      </c>
      <c r="AM58" s="95" t="s">
        <v>378</v>
      </c>
      <c r="AN58" s="94"/>
      <c r="AO58" s="94">
        <v>0</v>
      </c>
      <c r="AP58" s="134" t="s">
        <v>378</v>
      </c>
      <c r="AQ58" s="134" t="s">
        <v>378</v>
      </c>
      <c r="AR58" s="96">
        <v>0</v>
      </c>
      <c r="AS58" s="190" t="s">
        <v>378</v>
      </c>
      <c r="AT58" s="98" t="s">
        <v>378</v>
      </c>
      <c r="AU58" s="98" t="s">
        <v>378</v>
      </c>
    </row>
    <row r="59" spans="1:47" ht="99.95" customHeight="1" thickBot="1">
      <c r="A59" s="203"/>
      <c r="B59" s="203"/>
      <c r="C59" s="203"/>
      <c r="D59" s="13"/>
      <c r="E59" s="51" t="s">
        <v>82</v>
      </c>
      <c r="F59" s="118">
        <v>0</v>
      </c>
      <c r="G59" s="51"/>
      <c r="H59" s="51"/>
      <c r="I59" s="172">
        <v>0</v>
      </c>
      <c r="J59" s="54">
        <f>AG59</f>
        <v>0</v>
      </c>
      <c r="K59" s="77" t="str">
        <f>IF(ISERROR(J59/I59),"",(J59/I59))</f>
        <v/>
      </c>
      <c r="L59" s="191">
        <v>0</v>
      </c>
      <c r="M59" s="57">
        <f>AK59</f>
        <v>0</v>
      </c>
      <c r="N59" s="55" t="str">
        <f>IF(ISERROR(M59/L59),"",(M59/L59))</f>
        <v/>
      </c>
      <c r="O59" s="172">
        <v>0</v>
      </c>
      <c r="P59" s="54">
        <f>AO59</f>
        <v>0</v>
      </c>
      <c r="Q59" s="77" t="str">
        <f>IF(ISERROR(P59/O59),"",(P59/O59))</f>
        <v/>
      </c>
      <c r="R59" s="191">
        <v>0</v>
      </c>
      <c r="S59" s="57">
        <f>AS59</f>
        <v>0</v>
      </c>
      <c r="T59" s="55" t="str">
        <f>IF(ISERROR(S59/R59),"",(S59/R59))</f>
        <v/>
      </c>
      <c r="U59" s="59">
        <f t="shared" si="39"/>
        <v>0</v>
      </c>
      <c r="V59" s="174">
        <f t="shared" si="39"/>
        <v>0</v>
      </c>
      <c r="W59" s="61">
        <f>IF((IF(ISERROR(V59/U59),0,(V59/U59)))&gt;1,1,(IF(ISERROR(V59/U59),0,(V59/U59))))</f>
        <v>0</v>
      </c>
      <c r="X59" s="92">
        <f>F59*W59</f>
        <v>0</v>
      </c>
      <c r="Y59" s="106"/>
      <c r="Z59" s="106"/>
      <c r="AA59" s="93"/>
      <c r="AB59" s="106"/>
      <c r="AC59" s="106"/>
      <c r="AD59" s="64"/>
      <c r="AE59" s="64"/>
      <c r="AF59" s="129">
        <f t="shared" si="26"/>
        <v>0</v>
      </c>
      <c r="AG59" s="125">
        <v>0</v>
      </c>
      <c r="AH59" s="95" t="s">
        <v>378</v>
      </c>
      <c r="AI59" s="95" t="s">
        <v>378</v>
      </c>
      <c r="AJ59" s="130">
        <f t="shared" si="27"/>
        <v>0</v>
      </c>
      <c r="AK59" s="99">
        <v>0</v>
      </c>
      <c r="AL59" s="95" t="s">
        <v>388</v>
      </c>
      <c r="AM59" s="95" t="s">
        <v>378</v>
      </c>
      <c r="AN59" s="129">
        <f>O59</f>
        <v>0</v>
      </c>
      <c r="AO59" s="129">
        <v>0</v>
      </c>
      <c r="AP59" s="134" t="s">
        <v>378</v>
      </c>
      <c r="AQ59" s="134" t="s">
        <v>378</v>
      </c>
      <c r="AR59" s="130">
        <f>R59</f>
        <v>0</v>
      </c>
      <c r="AS59" s="176">
        <v>0</v>
      </c>
      <c r="AT59" s="98" t="s">
        <v>378</v>
      </c>
      <c r="AU59" s="98" t="s">
        <v>378</v>
      </c>
    </row>
    <row r="60" spans="1:47" ht="77.45" customHeight="1" thickBot="1">
      <c r="A60" s="204"/>
      <c r="B60" s="204"/>
      <c r="C60" s="15" t="s">
        <v>242</v>
      </c>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f t="shared" si="26"/>
        <v>0</v>
      </c>
      <c r="AG60" s="205"/>
      <c r="AH60" s="205"/>
      <c r="AI60" s="205"/>
      <c r="AJ60" s="205">
        <f t="shared" si="27"/>
        <v>0</v>
      </c>
      <c r="AK60" s="205"/>
      <c r="AL60" s="205"/>
      <c r="AM60" s="205"/>
      <c r="AN60" s="205">
        <f>O60</f>
        <v>0</v>
      </c>
      <c r="AO60" s="205"/>
      <c r="AP60" s="205"/>
      <c r="AQ60" s="205"/>
      <c r="AR60" s="205">
        <f>R60</f>
        <v>0</v>
      </c>
      <c r="AS60" s="205"/>
      <c r="AT60" s="205"/>
      <c r="AU60" s="205"/>
    </row>
    <row r="61" spans="1:47" ht="124.5" customHeight="1" thickBot="1">
      <c r="A61" s="13" t="s">
        <v>60</v>
      </c>
      <c r="B61" s="13" t="s">
        <v>61</v>
      </c>
      <c r="C61" s="13" t="s">
        <v>83</v>
      </c>
      <c r="D61" s="13"/>
      <c r="E61" s="192" t="s">
        <v>84</v>
      </c>
      <c r="F61" s="118">
        <v>0.02</v>
      </c>
      <c r="G61" s="51" t="s">
        <v>195</v>
      </c>
      <c r="H61" s="51" t="s">
        <v>203</v>
      </c>
      <c r="I61" s="84">
        <v>0.15</v>
      </c>
      <c r="J61" s="119">
        <f>AG61</f>
        <v>0.16666666666666666</v>
      </c>
      <c r="K61" s="145">
        <f>IF(ISERROR(J61/I61),"",(J61/I61))</f>
        <v>1.1111111111111112</v>
      </c>
      <c r="L61" s="103">
        <v>0.3</v>
      </c>
      <c r="M61" s="120">
        <f>AK61</f>
        <v>0</v>
      </c>
      <c r="N61" s="193">
        <f>IF(ISERROR(M61/L61),"",(M61/L61))</f>
        <v>0</v>
      </c>
      <c r="O61" s="84">
        <v>0.45</v>
      </c>
      <c r="P61" s="119">
        <f>AO61</f>
        <v>0</v>
      </c>
      <c r="Q61" s="145">
        <f>IF(ISERROR(P61/O61),"",(P61/O61))</f>
        <v>0</v>
      </c>
      <c r="R61" s="103">
        <v>0.6</v>
      </c>
      <c r="S61" s="120">
        <f>AS61</f>
        <v>0.875</v>
      </c>
      <c r="T61" s="146">
        <f>IF(ISERROR(S61/R61),"",(S61/R61))</f>
        <v>1.4583333333333335</v>
      </c>
      <c r="U61" s="61">
        <f>R61</f>
        <v>0.6</v>
      </c>
      <c r="V61" s="61">
        <f>+S61</f>
        <v>0.875</v>
      </c>
      <c r="W61" s="61">
        <f>IF((IF(ISERROR(V61/U61),0,(V61/U61)))&gt;1,1,(IF(ISERROR(V61/U61),0,(V61/U61))))</f>
        <v>1</v>
      </c>
      <c r="X61" s="194">
        <f>F61*W61</f>
        <v>0.02</v>
      </c>
      <c r="Y61" s="178" t="s">
        <v>85</v>
      </c>
      <c r="Z61" s="178" t="s">
        <v>86</v>
      </c>
      <c r="AA61" s="195" t="s">
        <v>87</v>
      </c>
      <c r="AB61" s="195" t="s">
        <v>88</v>
      </c>
      <c r="AC61" s="196" t="s">
        <v>177</v>
      </c>
      <c r="AD61" s="197" t="s">
        <v>89</v>
      </c>
      <c r="AE61" s="64"/>
      <c r="AF61" s="132">
        <f t="shared" si="26"/>
        <v>0.15</v>
      </c>
      <c r="AG61" s="129">
        <f>1/6</f>
        <v>0.16666666666666666</v>
      </c>
      <c r="AH61" s="95" t="s">
        <v>526</v>
      </c>
      <c r="AI61" s="134"/>
      <c r="AJ61" s="96">
        <f t="shared" si="27"/>
        <v>0.3</v>
      </c>
      <c r="AK61" s="130"/>
      <c r="AL61" s="114"/>
      <c r="AM61" s="114"/>
      <c r="AN61" s="132">
        <f>O61</f>
        <v>0.45</v>
      </c>
      <c r="AO61" s="129"/>
      <c r="AP61" s="134"/>
      <c r="AQ61" s="134"/>
      <c r="AR61" s="96">
        <f>R61</f>
        <v>0.6</v>
      </c>
      <c r="AS61" s="100">
        <f>7/8</f>
        <v>0.875</v>
      </c>
      <c r="AT61" s="98" t="s">
        <v>527</v>
      </c>
      <c r="AU61" s="98" t="s">
        <v>528</v>
      </c>
    </row>
    <row r="62" spans="1:47" ht="12.75" customHeight="1">
      <c r="F62" s="21">
        <f>SUM(F12:F61)</f>
        <v>1.0000000000000002</v>
      </c>
      <c r="AO62" s="22"/>
      <c r="AP62" s="22"/>
      <c r="AQ62" s="22"/>
    </row>
  </sheetData>
  <sheetProtection password="EDC9" sheet="1" selectLockedCells="1" selectUnlockedCells="1"/>
  <mergeCells count="79">
    <mergeCell ref="A4:E4"/>
    <mergeCell ref="F4:AC4"/>
    <mergeCell ref="A1:E3"/>
    <mergeCell ref="F1:AC1"/>
    <mergeCell ref="F2:AC2"/>
    <mergeCell ref="F3:AC3"/>
    <mergeCell ref="E8:E11"/>
    <mergeCell ref="F8:F11"/>
    <mergeCell ref="A5:E5"/>
    <mergeCell ref="F5:AC5"/>
    <mergeCell ref="A6:E6"/>
    <mergeCell ref="F6:AC6"/>
    <mergeCell ref="A7:E7"/>
    <mergeCell ref="F7:AC7"/>
    <mergeCell ref="A8:A11"/>
    <mergeCell ref="B8:B11"/>
    <mergeCell ref="C8:C10"/>
    <mergeCell ref="D8:D11"/>
    <mergeCell ref="G8:G11"/>
    <mergeCell ref="H8:H11"/>
    <mergeCell ref="I8:X8"/>
    <mergeCell ref="Y8:AE8"/>
    <mergeCell ref="I9:K9"/>
    <mergeCell ref="L9:N9"/>
    <mergeCell ref="O9:Q9"/>
    <mergeCell ref="R9:T9"/>
    <mergeCell ref="AC9:AC11"/>
    <mergeCell ref="AD9:AD11"/>
    <mergeCell ref="AE9:AE11"/>
    <mergeCell ref="I10:I11"/>
    <mergeCell ref="J10:J11"/>
    <mergeCell ref="K10:K11"/>
    <mergeCell ref="L10:L11"/>
    <mergeCell ref="M10:M11"/>
    <mergeCell ref="P10:P11"/>
    <mergeCell ref="Q10:Q11"/>
    <mergeCell ref="R10:R11"/>
    <mergeCell ref="S10:S11"/>
    <mergeCell ref="Z9:Z11"/>
    <mergeCell ref="AA9:AB9"/>
    <mergeCell ref="U9:W9"/>
    <mergeCell ref="Y9:Y11"/>
    <mergeCell ref="A23:B23"/>
    <mergeCell ref="E23:AU23"/>
    <mergeCell ref="AB10:AB11"/>
    <mergeCell ref="AF10:AI10"/>
    <mergeCell ref="AJ10:AM10"/>
    <mergeCell ref="AN10:AQ10"/>
    <mergeCell ref="X10:X11"/>
    <mergeCell ref="AA10:AA11"/>
    <mergeCell ref="N10:N11"/>
    <mergeCell ref="O10:O11"/>
    <mergeCell ref="AR10:AU10"/>
    <mergeCell ref="A12:A14"/>
    <mergeCell ref="B12:B14"/>
    <mergeCell ref="C12:C14"/>
    <mergeCell ref="A15:B15"/>
    <mergeCell ref="D15:AU15"/>
    <mergeCell ref="T10:T11"/>
    <mergeCell ref="U10:U11"/>
    <mergeCell ref="V10:V11"/>
    <mergeCell ref="W10:W11"/>
    <mergeCell ref="A16:A22"/>
    <mergeCell ref="B16:B22"/>
    <mergeCell ref="C16:C22"/>
    <mergeCell ref="A60:B60"/>
    <mergeCell ref="D60:AU60"/>
    <mergeCell ref="A24:A43"/>
    <mergeCell ref="B24:B43"/>
    <mergeCell ref="C24:C43"/>
    <mergeCell ref="D44:AU44"/>
    <mergeCell ref="A45:A54"/>
    <mergeCell ref="B45:B54"/>
    <mergeCell ref="C45:C54"/>
    <mergeCell ref="A55:B55"/>
    <mergeCell ref="D55:AU55"/>
    <mergeCell ref="A56:A59"/>
    <mergeCell ref="B56:B59"/>
    <mergeCell ref="C56:C59"/>
  </mergeCells>
  <phoneticPr fontId="25" type="noConversion"/>
  <conditionalFormatting sqref="Q61 Q45:Q54 Q12:Q22 Q56:Q59 K12:K61 Q24:Q43">
    <cfRule type="cellIs" dxfId="173" priority="64" stopIfTrue="1" operator="between">
      <formula>0.9</formula>
      <formula>1.05</formula>
    </cfRule>
    <cfRule type="cellIs" dxfId="172" priority="65" stopIfTrue="1" operator="between">
      <formula>0.7</formula>
      <formula>0.8999</formula>
    </cfRule>
    <cfRule type="cellIs" dxfId="171" priority="66" stopIfTrue="1" operator="between">
      <formula>0</formula>
      <formula>0.6999</formula>
    </cfRule>
  </conditionalFormatting>
  <conditionalFormatting sqref="T12:T61 N12:N61">
    <cfRule type="cellIs" dxfId="170" priority="73" stopIfTrue="1" operator="between">
      <formula>0.9</formula>
      <formula>1.05</formula>
    </cfRule>
    <cfRule type="cellIs" dxfId="169" priority="74" stopIfTrue="1" operator="between">
      <formula>0.7</formula>
      <formula>0.899</formula>
    </cfRule>
    <cfRule type="cellIs" dxfId="168" priority="75" stopIfTrue="1" operator="between">
      <formula>0</formula>
      <formula>0.6999</formula>
    </cfRule>
  </conditionalFormatting>
  <conditionalFormatting sqref="W12:W61">
    <cfRule type="cellIs" dxfId="167" priority="76" stopIfTrue="1" operator="between">
      <formula>0.9</formula>
      <formula>1</formula>
    </cfRule>
    <cfRule type="cellIs" dxfId="166" priority="77" stopIfTrue="1" operator="between">
      <formula>0.7</formula>
      <formula>0.8999</formula>
    </cfRule>
    <cfRule type="cellIs" dxfId="165" priority="78" stopIfTrue="1" operator="between">
      <formula>0</formula>
      <formula>0.6999</formula>
    </cfRule>
  </conditionalFormatting>
  <conditionalFormatting sqref="K12">
    <cfRule type="cellIs" dxfId="164" priority="61" stopIfTrue="1" operator="between">
      <formula>0.9</formula>
      <formula>1.05</formula>
    </cfRule>
    <cfRule type="cellIs" dxfId="163" priority="62" stopIfTrue="1" operator="between">
      <formula>0.7</formula>
      <formula>0.899</formula>
    </cfRule>
    <cfRule type="cellIs" dxfId="162" priority="63" stopIfTrue="1" operator="between">
      <formula>0</formula>
      <formula>0.6999</formula>
    </cfRule>
  </conditionalFormatting>
  <conditionalFormatting sqref="Q12:Q14 K12:K14">
    <cfRule type="cellIs" dxfId="161" priority="58" stopIfTrue="1" operator="between">
      <formula>0.9</formula>
      <formula>1.05</formula>
    </cfRule>
    <cfRule type="cellIs" dxfId="160" priority="59" stopIfTrue="1" operator="between">
      <formula>0.7</formula>
      <formula>0.8999</formula>
    </cfRule>
    <cfRule type="cellIs" dxfId="159" priority="60" stopIfTrue="1" operator="between">
      <formula>0</formula>
      <formula>0.6999</formula>
    </cfRule>
  </conditionalFormatting>
  <conditionalFormatting sqref="T12:T14 N12:N14">
    <cfRule type="cellIs" dxfId="158" priority="55" stopIfTrue="1" operator="between">
      <formula>0.9</formula>
      <formula>1.05</formula>
    </cfRule>
    <cfRule type="cellIs" dxfId="157" priority="56" stopIfTrue="1" operator="between">
      <formula>0.7</formula>
      <formula>0.899</formula>
    </cfRule>
    <cfRule type="cellIs" dxfId="156" priority="57" stopIfTrue="1" operator="between">
      <formula>0</formula>
      <formula>0.6999</formula>
    </cfRule>
  </conditionalFormatting>
  <conditionalFormatting sqref="W12:W14">
    <cfRule type="cellIs" dxfId="155" priority="52" stopIfTrue="1" operator="between">
      <formula>0.9</formula>
      <formula>1</formula>
    </cfRule>
    <cfRule type="cellIs" dxfId="154" priority="53" stopIfTrue="1" operator="between">
      <formula>0.7</formula>
      <formula>0.8999</formula>
    </cfRule>
    <cfRule type="cellIs" dxfId="153" priority="54" stopIfTrue="1" operator="between">
      <formula>0</formula>
      <formula>0.6999</formula>
    </cfRule>
  </conditionalFormatting>
  <conditionalFormatting sqref="K12">
    <cfRule type="cellIs" dxfId="152" priority="49" stopIfTrue="1" operator="between">
      <formula>0.9</formula>
      <formula>1.05</formula>
    </cfRule>
    <cfRule type="cellIs" dxfId="151" priority="50" stopIfTrue="1" operator="between">
      <formula>0.7</formula>
      <formula>0.899</formula>
    </cfRule>
    <cfRule type="cellIs" dxfId="150" priority="51" stopIfTrue="1" operator="between">
      <formula>0</formula>
      <formula>0.6999</formula>
    </cfRule>
  </conditionalFormatting>
  <conditionalFormatting sqref="K12">
    <cfRule type="cellIs" dxfId="149" priority="46" stopIfTrue="1" operator="between">
      <formula>0.9</formula>
      <formula>1.05</formula>
    </cfRule>
    <cfRule type="cellIs" dxfId="148" priority="47" stopIfTrue="1" operator="between">
      <formula>0.7</formula>
      <formula>0.899</formula>
    </cfRule>
    <cfRule type="cellIs" dxfId="147" priority="48" stopIfTrue="1" operator="between">
      <formula>0</formula>
      <formula>0.6999</formula>
    </cfRule>
  </conditionalFormatting>
  <conditionalFormatting sqref="Q16:Q22 K16:K22">
    <cfRule type="cellIs" dxfId="146" priority="43" stopIfTrue="1" operator="between">
      <formula>0.9</formula>
      <formula>1.05</formula>
    </cfRule>
    <cfRule type="cellIs" dxfId="145" priority="44" stopIfTrue="1" operator="between">
      <formula>0.7</formula>
      <formula>0.8999</formula>
    </cfRule>
    <cfRule type="cellIs" dxfId="144" priority="45" stopIfTrue="1" operator="between">
      <formula>0</formula>
      <formula>0.6999</formula>
    </cfRule>
  </conditionalFormatting>
  <conditionalFormatting sqref="T16:T22 N16:N22">
    <cfRule type="cellIs" dxfId="143" priority="40" stopIfTrue="1" operator="between">
      <formula>0.9</formula>
      <formula>1.05</formula>
    </cfRule>
    <cfRule type="cellIs" dxfId="142" priority="41" stopIfTrue="1" operator="between">
      <formula>0.7</formula>
      <formula>0.899</formula>
    </cfRule>
    <cfRule type="cellIs" dxfId="141" priority="42" stopIfTrue="1" operator="between">
      <formula>0</formula>
      <formula>0.6999</formula>
    </cfRule>
  </conditionalFormatting>
  <conditionalFormatting sqref="W16:W22">
    <cfRule type="cellIs" dxfId="140" priority="37" stopIfTrue="1" operator="between">
      <formula>0.9</formula>
      <formula>1</formula>
    </cfRule>
    <cfRule type="cellIs" dxfId="139" priority="38" stopIfTrue="1" operator="between">
      <formula>0.7</formula>
      <formula>0.8999</formula>
    </cfRule>
    <cfRule type="cellIs" dxfId="138" priority="39" stopIfTrue="1" operator="between">
      <formula>0</formula>
      <formula>0.6999</formula>
    </cfRule>
  </conditionalFormatting>
  <conditionalFormatting sqref="Q24:Q43 K24:K43">
    <cfRule type="cellIs" dxfId="137" priority="34" stopIfTrue="1" operator="between">
      <formula>0.9</formula>
      <formula>1.05</formula>
    </cfRule>
    <cfRule type="cellIs" dxfId="136" priority="35" stopIfTrue="1" operator="between">
      <formula>0.7</formula>
      <formula>0.8999</formula>
    </cfRule>
    <cfRule type="cellIs" dxfId="135" priority="36" stopIfTrue="1" operator="between">
      <formula>0</formula>
      <formula>0.6999</formula>
    </cfRule>
  </conditionalFormatting>
  <conditionalFormatting sqref="T24:T43 N24:N43">
    <cfRule type="cellIs" dxfId="134" priority="31" stopIfTrue="1" operator="between">
      <formula>0.9</formula>
      <formula>1.05</formula>
    </cfRule>
    <cfRule type="cellIs" dxfId="133" priority="32" stopIfTrue="1" operator="between">
      <formula>0.7</formula>
      <formula>0.899</formula>
    </cfRule>
    <cfRule type="cellIs" dxfId="132" priority="33" stopIfTrue="1" operator="between">
      <formula>0</formula>
      <formula>0.6999</formula>
    </cfRule>
  </conditionalFormatting>
  <conditionalFormatting sqref="W24:W43">
    <cfRule type="cellIs" dxfId="131" priority="28" stopIfTrue="1" operator="between">
      <formula>0.9</formula>
      <formula>1</formula>
    </cfRule>
    <cfRule type="cellIs" dxfId="130" priority="29" stopIfTrue="1" operator="between">
      <formula>0.7</formula>
      <formula>0.8999</formula>
    </cfRule>
    <cfRule type="cellIs" dxfId="129" priority="30" stopIfTrue="1" operator="between">
      <formula>0</formula>
      <formula>0.6999</formula>
    </cfRule>
  </conditionalFormatting>
  <conditionalFormatting sqref="Q45:Q54 K45:K54">
    <cfRule type="cellIs" dxfId="128" priority="25" stopIfTrue="1" operator="between">
      <formula>0.9</formula>
      <formula>1.05</formula>
    </cfRule>
    <cfRule type="cellIs" dxfId="127" priority="26" stopIfTrue="1" operator="between">
      <formula>0.7</formula>
      <formula>0.8999</formula>
    </cfRule>
    <cfRule type="cellIs" dxfId="126" priority="27" stopIfTrue="1" operator="between">
      <formula>0</formula>
      <formula>0.6999</formula>
    </cfRule>
  </conditionalFormatting>
  <conditionalFormatting sqref="T45:T54 N45:N54">
    <cfRule type="cellIs" dxfId="125" priority="22" stopIfTrue="1" operator="between">
      <formula>0.9</formula>
      <formula>1.05</formula>
    </cfRule>
    <cfRule type="cellIs" dxfId="124" priority="23" stopIfTrue="1" operator="between">
      <formula>0.7</formula>
      <formula>0.899</formula>
    </cfRule>
    <cfRule type="cellIs" dxfId="123" priority="24" stopIfTrue="1" operator="between">
      <formula>0</formula>
      <formula>0.6999</formula>
    </cfRule>
  </conditionalFormatting>
  <conditionalFormatting sqref="W45:W54">
    <cfRule type="cellIs" dxfId="122" priority="19" stopIfTrue="1" operator="between">
      <formula>0.9</formula>
      <formula>1</formula>
    </cfRule>
    <cfRule type="cellIs" dxfId="121" priority="20" stopIfTrue="1" operator="between">
      <formula>0.7</formula>
      <formula>0.8999</formula>
    </cfRule>
    <cfRule type="cellIs" dxfId="120" priority="21" stopIfTrue="1" operator="between">
      <formula>0</formula>
      <formula>0.6999</formula>
    </cfRule>
  </conditionalFormatting>
  <conditionalFormatting sqref="Q56:Q59 K56:K59">
    <cfRule type="cellIs" dxfId="119" priority="16" stopIfTrue="1" operator="between">
      <formula>0.9</formula>
      <formula>1.05</formula>
    </cfRule>
    <cfRule type="cellIs" dxfId="118" priority="17" stopIfTrue="1" operator="between">
      <formula>0.7</formula>
      <formula>0.8999</formula>
    </cfRule>
    <cfRule type="cellIs" dxfId="117" priority="18" stopIfTrue="1" operator="between">
      <formula>0</formula>
      <formula>0.6999</formula>
    </cfRule>
  </conditionalFormatting>
  <conditionalFormatting sqref="T56:T59 N56:N59">
    <cfRule type="cellIs" dxfId="116" priority="13" stopIfTrue="1" operator="between">
      <formula>0.9</formula>
      <formula>1.05</formula>
    </cfRule>
    <cfRule type="cellIs" dxfId="115" priority="14" stopIfTrue="1" operator="between">
      <formula>0.7</formula>
      <formula>0.899</formula>
    </cfRule>
    <cfRule type="cellIs" dxfId="114" priority="15" stopIfTrue="1" operator="between">
      <formula>0</formula>
      <formula>0.6999</formula>
    </cfRule>
  </conditionalFormatting>
  <conditionalFormatting sqref="W56:W59">
    <cfRule type="cellIs" dxfId="113" priority="10" stopIfTrue="1" operator="between">
      <formula>0.9</formula>
      <formula>1</formula>
    </cfRule>
    <cfRule type="cellIs" dxfId="112" priority="11" stopIfTrue="1" operator="between">
      <formula>0.7</formula>
      <formula>0.8999</formula>
    </cfRule>
    <cfRule type="cellIs" dxfId="111" priority="12" stopIfTrue="1" operator="between">
      <formula>0</formula>
      <formula>0.6999</formula>
    </cfRule>
  </conditionalFormatting>
  <conditionalFormatting sqref="Q61 K61">
    <cfRule type="cellIs" dxfId="110" priority="7" stopIfTrue="1" operator="between">
      <formula>0.9</formula>
      <formula>1.05</formula>
    </cfRule>
    <cfRule type="cellIs" dxfId="109" priority="8" stopIfTrue="1" operator="between">
      <formula>0.7</formula>
      <formula>0.8999</formula>
    </cfRule>
    <cfRule type="cellIs" dxfId="108" priority="9" stopIfTrue="1" operator="between">
      <formula>0</formula>
      <formula>0.6999</formula>
    </cfRule>
  </conditionalFormatting>
  <conditionalFormatting sqref="T61 N61">
    <cfRule type="cellIs" dxfId="107" priority="4" stopIfTrue="1" operator="between">
      <formula>0.9</formula>
      <formula>1.05</formula>
    </cfRule>
    <cfRule type="cellIs" dxfId="106" priority="5" stopIfTrue="1" operator="between">
      <formula>0.7</formula>
      <formula>0.899</formula>
    </cfRule>
    <cfRule type="cellIs" dxfId="105" priority="6" stopIfTrue="1" operator="between">
      <formula>0</formula>
      <formula>0.6999</formula>
    </cfRule>
  </conditionalFormatting>
  <conditionalFormatting sqref="W61">
    <cfRule type="cellIs" dxfId="104" priority="1" stopIfTrue="1" operator="between">
      <formula>0.9</formula>
      <formula>1</formula>
    </cfRule>
    <cfRule type="cellIs" dxfId="103" priority="2" stopIfTrue="1" operator="between">
      <formula>0.7</formula>
      <formula>0.8999</formula>
    </cfRule>
    <cfRule type="cellIs" dxfId="102" priority="3" stopIfTrue="1" operator="between">
      <formula>0</formula>
      <formula>0.6999</formula>
    </cfRule>
  </conditionalFormatting>
  <pageMargins left="0.78749999999999998" right="0.59027777777777779" top="1.0527777777777778" bottom="1.0527777777777778" header="0.78749999999999998" footer="0.78749999999999998"/>
  <pageSetup scale="43" orientation="landscape" useFirstPageNumber="1" horizontalDpi="300" verticalDpi="300" r:id="rId1"/>
  <headerFooter alignWithMargins="0">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T69"/>
  <sheetViews>
    <sheetView topLeftCell="E1" zoomScale="65" zoomScaleNormal="65" workbookViewId="0">
      <selection activeCell="Q9" sqref="Q9"/>
    </sheetView>
  </sheetViews>
  <sheetFormatPr baseColWidth="10" defaultColWidth="11.5703125" defaultRowHeight="12.75"/>
  <cols>
    <col min="2" max="2" width="23.42578125" customWidth="1"/>
    <col min="3" max="3" width="20.140625" customWidth="1"/>
    <col min="4" max="4" width="20.7109375" customWidth="1"/>
    <col min="5" max="5" width="19.28515625" customWidth="1"/>
    <col min="6" max="7" width="22.140625" customWidth="1"/>
    <col min="8" max="8" width="21.5703125" customWidth="1"/>
    <col min="9" max="9" width="17" customWidth="1"/>
    <col min="13" max="13" width="12.42578125" customWidth="1"/>
    <col min="14" max="14" width="48.5703125" customWidth="1"/>
    <col min="15" max="15" width="15.7109375" customWidth="1"/>
    <col min="16" max="16" width="14" customWidth="1"/>
    <col min="17" max="17" width="13.7109375" customWidth="1"/>
    <col min="18" max="18" width="15.42578125" customWidth="1"/>
    <col min="19" max="19" width="12.7109375" customWidth="1"/>
    <col min="20" max="20" width="14.7109375" customWidth="1"/>
  </cols>
  <sheetData>
    <row r="3" spans="2:20" ht="58.5" customHeight="1">
      <c r="B3" s="23"/>
      <c r="C3" s="24" t="s">
        <v>90</v>
      </c>
      <c r="D3" s="24" t="s">
        <v>91</v>
      </c>
      <c r="E3" s="24" t="s">
        <v>92</v>
      </c>
      <c r="F3" s="24" t="s">
        <v>93</v>
      </c>
      <c r="G3" s="24" t="s">
        <v>94</v>
      </c>
      <c r="H3" s="24" t="s">
        <v>95</v>
      </c>
      <c r="I3" s="24" t="s">
        <v>96</v>
      </c>
    </row>
    <row r="4" spans="2:20" ht="25.5" customHeight="1">
      <c r="B4" s="25" t="s">
        <v>97</v>
      </c>
      <c r="C4" s="26">
        <f>(SUMIF(Datos!$Q$12:$Q$14,"&gt;=0")/COUNTIF(Datos!$Q$12:$Q$14,"&gt;=0"))</f>
        <v>2</v>
      </c>
      <c r="D4" s="26">
        <f>(SUMIF(Datos!$Q$16:$Q$22,"&gt;=0")/COUNTIF(Datos!$Q$16:$Q$22,"&gt;=0"))</f>
        <v>0.80597866662709705</v>
      </c>
      <c r="E4" s="26">
        <f>(SUMIF(Datos!$Q$24:$Q$43,"&gt;=0")/COUNTIF(Datos!$Q$24:$Q$43,"&gt;=0"))</f>
        <v>1.2094647248236083</v>
      </c>
      <c r="F4" s="26">
        <f>(SUMIF(Datos!$Q$45:$Q$54,"&gt;=0")/COUNTIF(Datos!$Q$45:$Q$54,"&gt;=0"))</f>
        <v>1.2305882352941175</v>
      </c>
      <c r="G4" s="26">
        <f>(SUMIF(Datos!$Q$56:$Q$59,"&gt;=0")/COUNTIF(Datos!$Q$56:$Q$59,"&gt;=0"))</f>
        <v>0.97682926829268302</v>
      </c>
      <c r="H4" s="26">
        <f>IFERROR((SUMIF(Datos!$Q$61:$Q$61,"&gt;=0")/COUNTIF(Datos!$Q$61:$Q$61,"&gt;=0")),"")</f>
        <v>0</v>
      </c>
      <c r="I4" s="26">
        <f>IFERROR((SUMIF(Datos!$Q$12:$Q$61,"&gt;=0")/COUNTIF(Datos!$Q$12:$Q$61,"&gt;=0")),"")</f>
        <v>1.0971197327835691</v>
      </c>
    </row>
    <row r="5" spans="2:20" ht="28.5" customHeight="1">
      <c r="B5" s="25" t="s">
        <v>98</v>
      </c>
      <c r="C5" s="26">
        <f>SUM(Datos!$X$12:$X$14)/SUM(Datos!$F$12:$F$14)</f>
        <v>0.7142857142857143</v>
      </c>
      <c r="D5" s="26">
        <f>SUM(Datos!$X$16:$X$22)/SUM(Datos!$F$16:$F$22)</f>
        <v>0.84849452025213179</v>
      </c>
      <c r="E5" s="26">
        <f>SUM(Datos!$X$24:$X$43)/SUM(Datos!$F$24:$F$43)</f>
        <v>0.97441446379113639</v>
      </c>
      <c r="F5" s="26">
        <f>SUM(Datos!$X$45:$X$54)/SUM(Datos!$F$45:$F$54)</f>
        <v>0.72854391460726309</v>
      </c>
      <c r="G5" s="26">
        <f>SUM(Datos!$X$56:$X$59)/SUM(Datos!$F$56:$F$59)</f>
        <v>0.47588235294117659</v>
      </c>
      <c r="H5" s="26">
        <f>SUM(Datos!$X$61:$X$61)/SUM(Datos!$F$61:$F$61)</f>
        <v>1</v>
      </c>
      <c r="I5" s="27" t="s">
        <v>439</v>
      </c>
    </row>
    <row r="6" spans="2:20" ht="12.75" customHeight="1">
      <c r="M6" s="28"/>
      <c r="N6" s="228" t="str">
        <f>D3</f>
        <v>GESTIÓN Y ADQUISICIÓN
 DE RECURSOS</v>
      </c>
      <c r="O6" s="228"/>
      <c r="P6" s="228"/>
      <c r="Q6" s="228"/>
      <c r="R6" s="228"/>
      <c r="S6" s="228"/>
      <c r="T6" s="228"/>
    </row>
    <row r="7" spans="2:20">
      <c r="M7" s="29"/>
      <c r="N7" s="228"/>
      <c r="O7" s="228"/>
      <c r="P7" s="228"/>
      <c r="Q7" s="228"/>
      <c r="R7" s="228"/>
      <c r="S7" s="228"/>
      <c r="T7" s="228"/>
    </row>
    <row r="8" spans="2:20" ht="38.25">
      <c r="M8" s="30"/>
      <c r="N8" s="31" t="s">
        <v>99</v>
      </c>
      <c r="O8" s="31" t="s">
        <v>100</v>
      </c>
      <c r="P8" s="31" t="s">
        <v>101</v>
      </c>
      <c r="Q8" s="31" t="s">
        <v>102</v>
      </c>
      <c r="R8" s="31" t="s">
        <v>103</v>
      </c>
      <c r="S8" s="31" t="s">
        <v>104</v>
      </c>
      <c r="T8" s="31" t="s">
        <v>105</v>
      </c>
    </row>
    <row r="9" spans="2:20" ht="81.75" customHeight="1">
      <c r="M9" s="32"/>
      <c r="N9" s="33" t="str">
        <f>Datos!E16</f>
        <v>Registrar el 100% de las modificaciones al Plan Anual de Adquisiciones en el SECOP y página web de la Alcaldía antes de iniciar el proceso contractual.</v>
      </c>
      <c r="O9" s="34">
        <f>Datos!O16</f>
        <v>1</v>
      </c>
      <c r="P9" s="34">
        <f>Datos!P16</f>
        <v>1</v>
      </c>
      <c r="Q9" s="35">
        <f>Datos!Q16</f>
        <v>1</v>
      </c>
      <c r="R9" s="34">
        <f>Datos!U16</f>
        <v>1</v>
      </c>
      <c r="S9" s="34">
        <f>Datos!V16</f>
        <v>1</v>
      </c>
      <c r="T9" s="35">
        <f>Datos!W16</f>
        <v>1</v>
      </c>
    </row>
    <row r="10" spans="2:20" ht="91.5" customHeight="1">
      <c r="M10" s="36"/>
      <c r="N10" s="33" t="str">
        <f>Datos!E17</f>
        <v>Comprometer el 97% del presupuesto de inversión asignado a la vigencia 2016</v>
      </c>
      <c r="O10" s="35">
        <f>Datos!O17</f>
        <v>0.8</v>
      </c>
      <c r="P10" s="35">
        <f>Datos!P17</f>
        <v>0.19975964683380387</v>
      </c>
      <c r="Q10" s="35">
        <f>Datos!Q17</f>
        <v>0.24969955854225484</v>
      </c>
      <c r="R10" s="35">
        <f>Datos!U17</f>
        <v>0.97</v>
      </c>
      <c r="S10" s="35">
        <f>Datos!V17</f>
        <v>0.89429999999999998</v>
      </c>
      <c r="T10" s="35">
        <f>Datos!W17</f>
        <v>0.92195876288659795</v>
      </c>
    </row>
    <row r="11" spans="2:20" ht="37.5" customHeight="1">
      <c r="M11" s="36"/>
      <c r="N11" s="33" t="str">
        <f>Datos!E18</f>
        <v>Girar del 40% del presupuesto de inversión asignado a la vigencia 2016</v>
      </c>
      <c r="O11" s="35">
        <f>Datos!O18</f>
        <v>0.16</v>
      </c>
      <c r="P11" s="35">
        <f>Datos!P18</f>
        <v>7.030454847311951E-2</v>
      </c>
      <c r="Q11" s="35">
        <f>Datos!Q18</f>
        <v>0.43940342795699694</v>
      </c>
      <c r="R11" s="35">
        <f>Datos!U18</f>
        <v>0.4</v>
      </c>
      <c r="S11" s="35">
        <f>Datos!V18</f>
        <v>0.13420000000000001</v>
      </c>
      <c r="T11" s="35">
        <f>Datos!W18</f>
        <v>0.33550000000000002</v>
      </c>
    </row>
    <row r="12" spans="2:20" ht="41.25" customHeight="1">
      <c r="M12" s="36"/>
      <c r="N12" s="33" t="str">
        <f>Datos!E19</f>
        <v xml:space="preserve">Girar el 93% de las obligaciones por pagar constituidas con recursos de la vigencia 2015 y años anteriores (Inversión y funcionamiento) </v>
      </c>
      <c r="O12" s="35">
        <f>Datos!O19</f>
        <v>0.5</v>
      </c>
      <c r="P12" s="35">
        <f>Datos!P19</f>
        <v>0.46315717426913533</v>
      </c>
      <c r="Q12" s="35">
        <f>Datos!Q19</f>
        <v>0.92631434853827066</v>
      </c>
      <c r="R12" s="35">
        <f>Datos!U19</f>
        <v>0.93</v>
      </c>
      <c r="S12" s="35">
        <f>Datos!V19</f>
        <v>0.77516277352235907</v>
      </c>
      <c r="T12" s="35">
        <f>Datos!W19</f>
        <v>0.83350835862619255</v>
      </c>
    </row>
    <row r="13" spans="2:20" ht="45" customHeight="1">
      <c r="M13" s="36"/>
      <c r="N13" s="33" t="str">
        <f>Datos!E20</f>
        <v xml:space="preserve">Cumplir el 97% del PAC mensualmente </v>
      </c>
      <c r="O13" s="35">
        <f>Datos!O20</f>
        <v>0.97</v>
      </c>
      <c r="P13" s="35">
        <f>Datos!P20</f>
        <v>0.99564033141159225</v>
      </c>
      <c r="Q13" s="35">
        <f>Datos!Q20</f>
        <v>1.026433331352157</v>
      </c>
      <c r="R13" s="35">
        <f>Datos!U20</f>
        <v>0.97</v>
      </c>
      <c r="S13" s="35">
        <f>Datos!V20</f>
        <v>0.99742286605699948</v>
      </c>
      <c r="T13" s="35">
        <f>Datos!W20</f>
        <v>1</v>
      </c>
    </row>
    <row r="14" spans="2:20" ht="63.75" customHeight="1">
      <c r="M14" s="36"/>
      <c r="N14" s="33" t="str">
        <f>Datos!E21</f>
        <v>Ingresar 100% de los bienes y elementos adquiridos para los proyectos de inversión en el aplicativo SAI Y SAE en los tiempos estipulados en el contrato evidenciando su trazabilidad</v>
      </c>
      <c r="O14" s="35">
        <f>Datos!O21</f>
        <v>1</v>
      </c>
      <c r="P14" s="35">
        <f>Datos!P21</f>
        <v>1</v>
      </c>
      <c r="Q14" s="35">
        <f>Datos!Q21</f>
        <v>1</v>
      </c>
      <c r="R14" s="35">
        <f>Datos!U21</f>
        <v>1</v>
      </c>
      <c r="S14" s="35">
        <f>Datos!V21</f>
        <v>1</v>
      </c>
      <c r="T14" s="35">
        <f>Datos!W21</f>
        <v>1</v>
      </c>
    </row>
    <row r="15" spans="2:20" ht="74.25" customHeight="1">
      <c r="M15" s="36"/>
      <c r="N15" s="33" t="str">
        <f>Datos!E22</f>
        <v>Legalizar el 100% de la entrega de los bienes y elementos adquiridos para proyectos de inversión en un término no superior a 75 días evidenciando su trazabilidad</v>
      </c>
      <c r="O15" s="35">
        <f>Datos!O22</f>
        <v>1</v>
      </c>
      <c r="P15" s="35">
        <f>Datos!P22</f>
        <v>1</v>
      </c>
      <c r="Q15" s="35">
        <f>Datos!Q22</f>
        <v>1</v>
      </c>
      <c r="R15" s="35">
        <f>Datos!U22</f>
        <v>1</v>
      </c>
      <c r="S15" s="35">
        <f>Datos!V22</f>
        <v>1</v>
      </c>
      <c r="T15" s="35">
        <f>Datos!W22</f>
        <v>1</v>
      </c>
    </row>
    <row r="16" spans="2:20" ht="75" customHeight="1">
      <c r="M16" s="36"/>
      <c r="N16" s="37">
        <f>Datos!E23</f>
        <v>0</v>
      </c>
      <c r="O16" s="35">
        <f>Datos!O23</f>
        <v>0</v>
      </c>
      <c r="P16" s="35">
        <f>Datos!P23</f>
        <v>0</v>
      </c>
      <c r="Q16" s="35">
        <f>Datos!Q23</f>
        <v>0</v>
      </c>
      <c r="R16" s="35">
        <f>Datos!U23</f>
        <v>0</v>
      </c>
      <c r="S16" s="35">
        <f>Datos!V23</f>
        <v>0</v>
      </c>
      <c r="T16" s="35">
        <f>Datos!W23</f>
        <v>0</v>
      </c>
    </row>
    <row r="17" spans="13:20" ht="63.75" customHeight="1">
      <c r="M17" s="36"/>
      <c r="N17" s="33" t="str">
        <f>Datos!E24</f>
        <v xml:space="preserve">
Responder 100% de las PQRS de manera integral por régimen de obras, establecimientos de comercio, espacio publico y propiedad horizontal </v>
      </c>
      <c r="O17" s="35">
        <f>Datos!O24</f>
        <v>1</v>
      </c>
      <c r="P17" s="35">
        <f>Datos!P24</f>
        <v>0.85135135135135098</v>
      </c>
      <c r="Q17" s="35">
        <f>Datos!Q24</f>
        <v>0.85135135135135098</v>
      </c>
      <c r="R17" s="35">
        <f>Datos!U24</f>
        <v>1</v>
      </c>
      <c r="S17" s="35">
        <f>Datos!V24</f>
        <v>0.92943053613416504</v>
      </c>
      <c r="T17" s="35">
        <f>Datos!W24</f>
        <v>0.92943053613416504</v>
      </c>
    </row>
    <row r="18" spans="13:20" ht="51" customHeight="1">
      <c r="M18" s="38"/>
      <c r="N18" s="33" t="str">
        <f>Datos!E25</f>
        <v>Registrar el 100% de expedientes (ACTIVOS)  del 2015 y años anteriores en el aplicativo SI ACTUA (Previo inventario de expedientes físicos) Establecimientos de comercio
NO APLICA</v>
      </c>
      <c r="O18" s="35">
        <f>Datos!O25</f>
        <v>0</v>
      </c>
      <c r="P18" s="35">
        <f>Datos!P25</f>
        <v>0</v>
      </c>
      <c r="Q18" s="35" t="str">
        <f>Datos!Q25</f>
        <v/>
      </c>
      <c r="R18" s="35">
        <f>Datos!U25</f>
        <v>0</v>
      </c>
      <c r="S18" s="35">
        <f>Datos!V25</f>
        <v>0</v>
      </c>
      <c r="T18" s="35">
        <f>Datos!W25</f>
        <v>0</v>
      </c>
    </row>
    <row r="19" spans="13:20">
      <c r="N19" s="39"/>
    </row>
    <row r="20" spans="13:20" ht="12.75" customHeight="1">
      <c r="M20" s="28"/>
      <c r="N20" s="229" t="str">
        <f>E3</f>
        <v>GESTIÓN NORMATIVA 
Y JURÍDICA LOCAL</v>
      </c>
      <c r="O20" s="229"/>
      <c r="P20" s="229"/>
      <c r="Q20" s="229"/>
      <c r="R20" s="229"/>
      <c r="S20" s="229"/>
      <c r="T20" s="229"/>
    </row>
    <row r="21" spans="13:20">
      <c r="M21" s="29"/>
      <c r="N21" s="229"/>
      <c r="O21" s="229"/>
      <c r="P21" s="229"/>
      <c r="Q21" s="229"/>
      <c r="R21" s="229"/>
      <c r="S21" s="229"/>
      <c r="T21" s="229"/>
    </row>
    <row r="22" spans="13:20" ht="38.25">
      <c r="M22" s="30"/>
      <c r="N22" s="31" t="s">
        <v>99</v>
      </c>
      <c r="O22" s="31" t="s">
        <v>100</v>
      </c>
      <c r="P22" s="31" t="s">
        <v>101</v>
      </c>
      <c r="Q22" s="31" t="s">
        <v>102</v>
      </c>
      <c r="R22" s="31" t="s">
        <v>103</v>
      </c>
      <c r="S22" s="31" t="s">
        <v>104</v>
      </c>
      <c r="T22" s="31" t="s">
        <v>105</v>
      </c>
    </row>
    <row r="23" spans="13:20" ht="52.5" customHeight="1">
      <c r="M23" s="36"/>
      <c r="N23" s="33" t="str">
        <f>Datos!E29</f>
        <v>Fallar el 13% de las actuaciones administrativas con la primera decisión de fondo  en materia de establecimientos de comercio y espacio publico del 2015 y años anteriores</v>
      </c>
      <c r="O23" s="40">
        <f>Datos!O29</f>
        <v>0.04</v>
      </c>
      <c r="P23" s="40">
        <f>Datos!P29</f>
        <v>5.8823529411764705E-2</v>
      </c>
      <c r="Q23" s="35">
        <f>Datos!Q29</f>
        <v>1.4705882352941175</v>
      </c>
      <c r="R23" s="40">
        <f>Datos!U29</f>
        <v>0.13</v>
      </c>
      <c r="S23" s="40">
        <f>Datos!V29</f>
        <v>0.13235294117647059</v>
      </c>
      <c r="T23" s="35">
        <f>Datos!W29</f>
        <v>1</v>
      </c>
    </row>
    <row r="24" spans="13:20" ht="72.75" customHeight="1">
      <c r="M24" s="36"/>
      <c r="N24" s="33" t="str">
        <f>Datos!E34</f>
        <v xml:space="preserve">Realizar 3 actividades de prevención en materia de obras </v>
      </c>
      <c r="O24" s="40">
        <f>Datos!O34</f>
        <v>1</v>
      </c>
      <c r="P24" s="40">
        <f>Datos!P34</f>
        <v>1</v>
      </c>
      <c r="Q24" s="35">
        <f>Datos!Q34</f>
        <v>1</v>
      </c>
      <c r="R24" s="40">
        <f>Datos!U34</f>
        <v>3</v>
      </c>
      <c r="S24" s="40">
        <f>Datos!V34</f>
        <v>3</v>
      </c>
      <c r="T24" s="35">
        <f>Datos!W34</f>
        <v>1</v>
      </c>
    </row>
    <row r="25" spans="13:20" ht="58.7" customHeight="1">
      <c r="M25" s="36"/>
      <c r="N25" s="33" t="str">
        <f>Datos!E35</f>
        <v>Realizar 40 operativos de control al funcionamiento en establecimientos de comercio</v>
      </c>
      <c r="O25" s="41">
        <f>Datos!O35</f>
        <v>10</v>
      </c>
      <c r="P25" s="41">
        <f>Datos!P35</f>
        <v>10</v>
      </c>
      <c r="Q25" s="35">
        <f>Datos!Q35</f>
        <v>1</v>
      </c>
      <c r="R25" s="41">
        <f>Datos!U35</f>
        <v>40</v>
      </c>
      <c r="S25" s="41">
        <f>Datos!V35</f>
        <v>44</v>
      </c>
      <c r="T25" s="35">
        <f>Datos!W35</f>
        <v>1</v>
      </c>
    </row>
    <row r="26" spans="13:20" ht="39.75" customHeight="1">
      <c r="M26" s="36"/>
      <c r="N26" s="33" t="str">
        <f>Datos!E36</f>
        <v>Realizar 40 operativos de control de infracciones en obras y urbanismo</v>
      </c>
      <c r="O26" s="41">
        <f>Datos!O36</f>
        <v>10</v>
      </c>
      <c r="P26" s="41">
        <f>Datos!P36</f>
        <v>10</v>
      </c>
      <c r="Q26" s="35">
        <f>Datos!Q36</f>
        <v>1</v>
      </c>
      <c r="R26" s="41">
        <f>Datos!U36</f>
        <v>40</v>
      </c>
      <c r="S26" s="41">
        <f>Datos!V36</f>
        <v>40</v>
      </c>
      <c r="T26" s="35">
        <f>Datos!W36</f>
        <v>1</v>
      </c>
    </row>
    <row r="27" spans="13:20" ht="37.5" customHeight="1">
      <c r="M27" s="36"/>
      <c r="N27" s="33" t="str">
        <f>Datos!E37</f>
        <v>Realizar 108 operativos de control de ocupación  indebida de espacio público</v>
      </c>
      <c r="O27" s="41">
        <f>Datos!O37</f>
        <v>27</v>
      </c>
      <c r="P27" s="41">
        <f>Datos!P37</f>
        <v>24</v>
      </c>
      <c r="Q27" s="35">
        <f>Datos!Q37</f>
        <v>0.88888888888888884</v>
      </c>
      <c r="R27" s="41">
        <f>Datos!U37</f>
        <v>108</v>
      </c>
      <c r="S27" s="41">
        <f>Datos!V37</f>
        <v>113</v>
      </c>
      <c r="T27" s="35">
        <f>Datos!W37</f>
        <v>1</v>
      </c>
    </row>
    <row r="28" spans="13:20" ht="42.75" customHeight="1">
      <c r="M28" s="36"/>
      <c r="N28" s="33" t="str">
        <f>Datos!E38</f>
        <v xml:space="preserve">Evitar 1% de las Peticiones y Quejas recibidas por la Secretaría General de Inspecciones  (PQRS, requerimientos recibidos de manera escrita y verbal) que vayan a reparto como acción policiva, mediante acciones de prevención o mediante Orientación directa  
</v>
      </c>
      <c r="O28" s="42">
        <f>Datos!O38</f>
        <v>0</v>
      </c>
      <c r="P28" s="42">
        <f>Datos!P38</f>
        <v>0</v>
      </c>
      <c r="Q28" s="35" t="str">
        <f>Datos!Q38</f>
        <v/>
      </c>
      <c r="R28" s="42">
        <f>Datos!U38</f>
        <v>0.01</v>
      </c>
      <c r="S28" s="42">
        <f>Datos!V38</f>
        <v>0.109375</v>
      </c>
      <c r="T28" s="35">
        <f>Datos!W38</f>
        <v>1</v>
      </c>
    </row>
    <row r="29" spans="13:20" ht="50.25" customHeight="1">
      <c r="M29" s="36"/>
      <c r="N29" s="33" t="str">
        <f>Datos!E39</f>
        <v>Emitir 25% de las decisiones que pongan fin a las acciones policivas radicadas del 2015 y años anteriores</v>
      </c>
      <c r="O29" s="40">
        <f>Datos!O39</f>
        <v>7.0000000000000007E-2</v>
      </c>
      <c r="P29" s="40">
        <f>Datos!P39</f>
        <v>6.9637883008356549E-2</v>
      </c>
      <c r="Q29" s="35">
        <f>Datos!Q39</f>
        <v>0.99482690011937913</v>
      </c>
      <c r="R29" s="40">
        <f>Datos!U39</f>
        <v>0.25</v>
      </c>
      <c r="S29" s="40">
        <f>Datos!V39</f>
        <v>0.27158774373259054</v>
      </c>
      <c r="T29" s="35">
        <f>Datos!W39</f>
        <v>1</v>
      </c>
    </row>
    <row r="30" spans="13:20" ht="42" customHeight="1">
      <c r="M30" s="36"/>
      <c r="N30" s="33" t="str">
        <f>Datos!E40</f>
        <v xml:space="preserve">Emitir 20% de las decisiones que pongan fin a las acciones policivas radicadas en el 2016 </v>
      </c>
      <c r="O30" s="40">
        <f>Datos!O40</f>
        <v>0.13</v>
      </c>
      <c r="P30" s="40">
        <f>Datos!P40</f>
        <v>0.24161073825503357</v>
      </c>
      <c r="Q30" s="35">
        <f>Datos!Q40</f>
        <v>1.8585441404233352</v>
      </c>
      <c r="R30" s="40">
        <f>Datos!U40</f>
        <v>0.2</v>
      </c>
      <c r="S30" s="40">
        <f>Datos!V40</f>
        <v>0.24161073825503357</v>
      </c>
      <c r="T30" s="35">
        <f>Datos!W40</f>
        <v>1</v>
      </c>
    </row>
    <row r="31" spans="13:20" ht="67.5" customHeight="1">
      <c r="M31" s="36"/>
      <c r="N31" s="33" t="str">
        <f>Datos!E41</f>
        <v>Lograr en 15 días la realización de la audiencia de conciliación, Secretaría General de las Inspecciones de Policía o Corregidores (tiempo maximo)</v>
      </c>
      <c r="O31" s="41">
        <f>Datos!O41</f>
        <v>15</v>
      </c>
      <c r="P31" s="41">
        <f>Datos!P41</f>
        <v>15.508474576271187</v>
      </c>
      <c r="Q31" s="35">
        <f>Datos!Q41</f>
        <v>0.96721311475409832</v>
      </c>
      <c r="R31" s="41">
        <f>Datos!U41</f>
        <v>15</v>
      </c>
      <c r="S31" s="41">
        <f>Datos!V41</f>
        <v>10.716919081524484</v>
      </c>
      <c r="T31" s="35">
        <f>Datos!W41</f>
        <v>1</v>
      </c>
    </row>
    <row r="32" spans="13:20" ht="57.75" customHeight="1">
      <c r="M32" s="38"/>
      <c r="N32" s="33" t="str">
        <f>Datos!E43</f>
        <v>Tramitar 110 informes técnicos entregados por el arquitecto o ingeniero y determinar si amerita actuación administrativa para preliminares de vigencias anteriores a 2016</v>
      </c>
      <c r="O32" s="40">
        <f>Datos!O43</f>
        <v>30</v>
      </c>
      <c r="P32" s="40">
        <f>Datos!P43</f>
        <v>56</v>
      </c>
      <c r="Q32" s="35">
        <f>Datos!Q43</f>
        <v>1.8666666666666667</v>
      </c>
      <c r="R32" s="40">
        <f>Datos!U43</f>
        <v>110</v>
      </c>
      <c r="S32" s="40">
        <f>Datos!V43</f>
        <v>177</v>
      </c>
      <c r="T32" s="35">
        <f>Datos!W43</f>
        <v>1</v>
      </c>
    </row>
    <row r="35" spans="13:20" ht="26.45" customHeight="1">
      <c r="M35" s="28"/>
      <c r="N35" s="229" t="str">
        <f>F3</f>
        <v>GESTIÓN PARA LA
CONVIVENCIA Y SEGURIDAD
INTEGRAL</v>
      </c>
      <c r="O35" s="229"/>
      <c r="P35" s="229"/>
      <c r="Q35" s="229"/>
      <c r="R35" s="229"/>
      <c r="S35" s="229"/>
      <c r="T35" s="229"/>
    </row>
    <row r="36" spans="13:20" ht="25.35" customHeight="1">
      <c r="M36" s="29"/>
      <c r="N36" s="229"/>
      <c r="O36" s="229"/>
      <c r="P36" s="229"/>
      <c r="Q36" s="229"/>
      <c r="R36" s="229"/>
      <c r="S36" s="229"/>
      <c r="T36" s="229"/>
    </row>
    <row r="37" spans="13:20" ht="38.25">
      <c r="M37" s="30"/>
      <c r="N37" s="31" t="s">
        <v>99</v>
      </c>
      <c r="O37" s="31" t="s">
        <v>100</v>
      </c>
      <c r="P37" s="31" t="s">
        <v>101</v>
      </c>
      <c r="Q37" s="31" t="s">
        <v>102</v>
      </c>
      <c r="R37" s="31" t="s">
        <v>103</v>
      </c>
      <c r="S37" s="31" t="s">
        <v>104</v>
      </c>
      <c r="T37" s="31" t="s">
        <v>105</v>
      </c>
    </row>
    <row r="38" spans="13:20" ht="65.25" customHeight="1">
      <c r="M38" s="43"/>
      <c r="N38" s="33" t="str">
        <f>Datos!E45</f>
        <v>Motivar a 260 personas para que cuenten con herramientas en el manejo adecuado de los conflictos</v>
      </c>
      <c r="O38" s="44">
        <f>Datos!O45</f>
        <v>90</v>
      </c>
      <c r="P38" s="44">
        <f>Datos!P45</f>
        <v>90</v>
      </c>
      <c r="Q38" s="35">
        <f>Datos!Q45</f>
        <v>1</v>
      </c>
      <c r="R38" s="44">
        <f>Datos!U45</f>
        <v>280</v>
      </c>
      <c r="S38" s="44">
        <f>Datos!V45</f>
        <v>281</v>
      </c>
      <c r="T38" s="35">
        <f>Datos!W45</f>
        <v>1</v>
      </c>
    </row>
    <row r="39" spans="13:20" ht="63" customHeight="1">
      <c r="M39" s="45"/>
      <c r="N39" s="33" t="str">
        <f>Datos!E46</f>
        <v>Realizar 80 acompañamientos a procesos sociales de los AVCC  para mejorar los servicios prestados a la comunidad</v>
      </c>
      <c r="O39" s="44">
        <f>Datos!O46</f>
        <v>20</v>
      </c>
      <c r="P39" s="44">
        <f>Datos!P46</f>
        <v>25</v>
      </c>
      <c r="Q39" s="35">
        <f>Datos!Q46</f>
        <v>1.25</v>
      </c>
      <c r="R39" s="44">
        <f>Datos!U46</f>
        <v>80</v>
      </c>
      <c r="S39" s="44">
        <f>Datos!V46</f>
        <v>82</v>
      </c>
      <c r="T39" s="35">
        <f>Datos!W46</f>
        <v>1</v>
      </c>
    </row>
    <row r="40" spans="13:20" ht="49.5" customHeight="1">
      <c r="M40" s="45"/>
      <c r="N40" s="33" t="str">
        <f>Datos!E47</f>
        <v>Alcanzar el 85% en el nivel de satisfacción del servicio de todo el proceso de mediación institucional</v>
      </c>
      <c r="O40" s="40">
        <f>Datos!O47</f>
        <v>0.85</v>
      </c>
      <c r="P40" s="40">
        <f>Datos!P47</f>
        <v>0.98</v>
      </c>
      <c r="Q40" s="35">
        <f>Datos!Q47</f>
        <v>1.1529411764705881</v>
      </c>
      <c r="R40" s="40">
        <f>Datos!U47</f>
        <v>0.85</v>
      </c>
      <c r="S40" s="40">
        <f>Datos!V47</f>
        <v>0.72733333333333339</v>
      </c>
      <c r="T40" s="35">
        <f>Datos!W47</f>
        <v>0.85568627450980406</v>
      </c>
    </row>
    <row r="41" spans="13:20" ht="40.5" customHeight="1">
      <c r="M41" s="45"/>
      <c r="N41" s="33" t="str">
        <f>Datos!E48</f>
        <v>Realizar xxx actividades orientadas a la prevención de la conflictividad de cada localidad 
NO APLICA</v>
      </c>
      <c r="O41" s="44">
        <f>Datos!O48</f>
        <v>0</v>
      </c>
      <c r="P41" s="44">
        <f>Datos!P48</f>
        <v>0</v>
      </c>
      <c r="Q41" s="35" t="str">
        <f>Datos!Q48</f>
        <v/>
      </c>
      <c r="R41" s="44">
        <f>Datos!U48</f>
        <v>0</v>
      </c>
      <c r="S41" s="44">
        <f>Datos!V48</f>
        <v>0</v>
      </c>
      <c r="T41" s="35">
        <f>Datos!W48</f>
        <v>0</v>
      </c>
    </row>
    <row r="42" spans="13:20" ht="52.5" customHeight="1">
      <c r="M42" s="45"/>
      <c r="N42" s="33" t="str">
        <f>Datos!E51</f>
        <v xml:space="preserve">Realizar 15 acciones de sensibilización para el acatamiento voluntario en normas de convivencia
</v>
      </c>
      <c r="O42" s="44">
        <f>Datos!O51</f>
        <v>4</v>
      </c>
      <c r="P42" s="44">
        <f>Datos!P51</f>
        <v>7</v>
      </c>
      <c r="Q42" s="35">
        <f>Datos!Q51</f>
        <v>1.75</v>
      </c>
      <c r="R42" s="44">
        <f>Datos!U51</f>
        <v>15</v>
      </c>
      <c r="S42" s="44">
        <f>Datos!V51</f>
        <v>17</v>
      </c>
      <c r="T42" s="35">
        <f>Datos!W51</f>
        <v>1</v>
      </c>
    </row>
    <row r="43" spans="13:20" ht="42" customHeight="1">
      <c r="M43" s="45"/>
      <c r="N43" s="33" t="str">
        <f>Datos!E52</f>
        <v>Formular 1 PICS local con base en el PICS distrital debidamente aprobado por el consejo local de seguridad</v>
      </c>
      <c r="O43" s="44">
        <f>Datos!O52</f>
        <v>0</v>
      </c>
      <c r="P43" s="44">
        <f>Datos!P52</f>
        <v>0</v>
      </c>
      <c r="Q43" s="35" t="str">
        <f>Datos!Q52</f>
        <v/>
      </c>
      <c r="R43" s="44">
        <f>Datos!U52</f>
        <v>1</v>
      </c>
      <c r="S43" s="44">
        <f>Datos!V52</f>
        <v>0</v>
      </c>
      <c r="T43" s="35">
        <f>Datos!W52</f>
        <v>0</v>
      </c>
    </row>
    <row r="44" spans="13:20" ht="48" customHeight="1">
      <c r="M44" s="45"/>
      <c r="N44" s="33" t="str">
        <f>Datos!E53</f>
        <v>Implementar el 100% de las acciones del plan de acción de convivencia y seguridad de la vigencia 2016
NO APLICA</v>
      </c>
      <c r="O44" s="44">
        <f>Datos!O53</f>
        <v>0</v>
      </c>
      <c r="P44" s="44">
        <f>Datos!P53</f>
        <v>0</v>
      </c>
      <c r="Q44" s="35" t="str">
        <f>Datos!Q53</f>
        <v/>
      </c>
      <c r="R44" s="44">
        <f>Datos!U53</f>
        <v>0</v>
      </c>
      <c r="S44" s="44">
        <f>Datos!V53</f>
        <v>0</v>
      </c>
      <c r="T44" s="35">
        <f>Datos!W53</f>
        <v>0</v>
      </c>
    </row>
    <row r="45" spans="13:20" ht="61.9" customHeight="1">
      <c r="M45" s="45"/>
      <c r="N45" s="33" t="str">
        <f>Datos!E54</f>
        <v xml:space="preserve">Implementar el 100 % de las acciones del plan de acción del Consejo Local de Gestión del Riesgo y Cambio Climático
</v>
      </c>
      <c r="O45" s="40">
        <f>Datos!O54</f>
        <v>0.7</v>
      </c>
      <c r="P45" s="40">
        <f>Datos!P54</f>
        <v>0.7</v>
      </c>
      <c r="Q45" s="35">
        <f>Datos!Q54</f>
        <v>1</v>
      </c>
      <c r="R45" s="40">
        <f>Datos!U54</f>
        <v>1</v>
      </c>
      <c r="S45" s="40">
        <f>Datos!V54</f>
        <v>0.80769230769230771</v>
      </c>
      <c r="T45" s="35">
        <f>Datos!W54</f>
        <v>0.80769230769230771</v>
      </c>
    </row>
    <row r="48" spans="13:20" ht="24" customHeight="1">
      <c r="M48" s="28"/>
      <c r="N48" s="229" t="str">
        <f>G3</f>
        <v>GESTIÓN PARA 
EL DESARROLLO LOCAL</v>
      </c>
      <c r="O48" s="229"/>
      <c r="P48" s="229"/>
      <c r="Q48" s="229"/>
      <c r="R48" s="229"/>
      <c r="S48" s="229"/>
      <c r="T48" s="229"/>
    </row>
    <row r="49" spans="13:20" ht="12.75" customHeight="1">
      <c r="M49" s="29"/>
      <c r="N49" s="229"/>
      <c r="O49" s="229"/>
      <c r="P49" s="229"/>
      <c r="Q49" s="229"/>
      <c r="R49" s="229"/>
      <c r="S49" s="229"/>
      <c r="T49" s="229"/>
    </row>
    <row r="50" spans="13:20" ht="38.25">
      <c r="M50" s="30"/>
      <c r="N50" s="31" t="s">
        <v>99</v>
      </c>
      <c r="O50" s="31" t="s">
        <v>100</v>
      </c>
      <c r="P50" s="31" t="s">
        <v>101</v>
      </c>
      <c r="Q50" s="31" t="s">
        <v>102</v>
      </c>
      <c r="R50" s="31" t="s">
        <v>103</v>
      </c>
      <c r="S50" s="31" t="s">
        <v>104</v>
      </c>
      <c r="T50" s="31" t="s">
        <v>105</v>
      </c>
    </row>
    <row r="51" spans="13:20" ht="41.25" customHeight="1">
      <c r="M51" s="46"/>
      <c r="N51" s="33" t="str">
        <f>Datos!E56</f>
        <v>Lograr 85% de avance del cumplimiento físico en el plan de desarrollo</v>
      </c>
      <c r="O51" s="47">
        <f>Datos!O56</f>
        <v>0.82</v>
      </c>
      <c r="P51" s="47">
        <f>Datos!P56</f>
        <v>0.80100000000000005</v>
      </c>
      <c r="Q51" s="35">
        <f>Datos!Q56</f>
        <v>0.97682926829268302</v>
      </c>
      <c r="R51" s="47">
        <f>Datos!U56</f>
        <v>0.85</v>
      </c>
      <c r="S51" s="47">
        <f>Datos!V56</f>
        <v>0.80900000000000005</v>
      </c>
      <c r="T51" s="35">
        <f>Datos!W56</f>
        <v>0.95176470588235307</v>
      </c>
    </row>
    <row r="52" spans="13:20" ht="36.75" customHeight="1">
      <c r="M52" s="48"/>
      <c r="N52" s="33" t="str">
        <f>Datos!E57</f>
        <v xml:space="preserve">Lograr que 70%  de las entidades participen en el ejercicio ISO 18091  en la mesa de entrega de evidencias  </v>
      </c>
      <c r="O52" s="49">
        <f>Datos!O57</f>
        <v>0</v>
      </c>
      <c r="P52" s="49">
        <f>Datos!P57</f>
        <v>0</v>
      </c>
      <c r="Q52" s="35" t="str">
        <f>Datos!Q57</f>
        <v/>
      </c>
      <c r="R52" s="49">
        <f>Datos!U57</f>
        <v>0.7</v>
      </c>
      <c r="S52" s="49">
        <f>Datos!V57</f>
        <v>0</v>
      </c>
      <c r="T52" s="35">
        <f>Datos!W57</f>
        <v>0</v>
      </c>
    </row>
    <row r="53" spans="13:20" ht="57" customHeight="1">
      <c r="M53" s="50"/>
      <c r="N53" s="33" t="str">
        <f>Datos!E58</f>
        <v>Aumentar en un XXX% el porcentaje de indicadores en verde de la vigencia 2015 en comparación con la vigencia 2014 o de la vigencia anterior que cuente con información. lo anterior, en el marco del ejercicio de la norma ISO 18091
NO APLICA</v>
      </c>
      <c r="O53" s="49">
        <f>Datos!O58</f>
        <v>0</v>
      </c>
      <c r="P53" s="49">
        <f>Datos!P58</f>
        <v>0</v>
      </c>
      <c r="Q53" s="35" t="str">
        <f>Datos!Q58</f>
        <v/>
      </c>
      <c r="R53" s="49">
        <f>Datos!U58</f>
        <v>0</v>
      </c>
      <c r="S53" s="49">
        <f>Datos!V58</f>
        <v>0</v>
      </c>
      <c r="T53" s="35">
        <f>Datos!W58</f>
        <v>0</v>
      </c>
    </row>
    <row r="56" spans="13:20" ht="15.75" customHeight="1">
      <c r="M56" s="28"/>
      <c r="N56" s="229" t="str">
        <f>H3</f>
        <v>AGENCIAMIENTO DE LA 
POLÍTICA PÚBLICA</v>
      </c>
      <c r="O56" s="229"/>
      <c r="P56" s="229"/>
      <c r="Q56" s="229"/>
      <c r="R56" s="229"/>
      <c r="S56" s="229"/>
      <c r="T56" s="229"/>
    </row>
    <row r="57" spans="13:20" ht="16.5" customHeight="1">
      <c r="M57" s="29"/>
      <c r="N57" s="229"/>
      <c r="O57" s="229"/>
      <c r="P57" s="229"/>
      <c r="Q57" s="229"/>
      <c r="R57" s="229"/>
      <c r="S57" s="229"/>
      <c r="T57" s="229"/>
    </row>
    <row r="58" spans="13:20" ht="38.25" customHeight="1">
      <c r="M58" s="30"/>
      <c r="N58" s="31" t="s">
        <v>99</v>
      </c>
      <c r="O58" s="31" t="s">
        <v>100</v>
      </c>
      <c r="P58" s="31" t="s">
        <v>101</v>
      </c>
      <c r="Q58" s="31" t="s">
        <v>102</v>
      </c>
      <c r="R58" s="31" t="s">
        <v>103</v>
      </c>
      <c r="S58" s="31" t="s">
        <v>104</v>
      </c>
      <c r="T58" s="31" t="s">
        <v>105</v>
      </c>
    </row>
    <row r="59" spans="13:20" ht="39.75" customHeight="1">
      <c r="M59" s="46"/>
      <c r="N59" s="33">
        <f>Datos!E60</f>
        <v>0</v>
      </c>
      <c r="O59" s="34">
        <f>Datos!O60</f>
        <v>0</v>
      </c>
      <c r="P59" s="34">
        <f>Datos!P60</f>
        <v>0</v>
      </c>
      <c r="Q59" s="35">
        <f>Datos!Q60</f>
        <v>0</v>
      </c>
      <c r="R59" s="34">
        <f>Datos!U60</f>
        <v>0</v>
      </c>
      <c r="S59" s="34">
        <f>Datos!V60</f>
        <v>0</v>
      </c>
      <c r="T59" s="35">
        <f>Datos!W60</f>
        <v>0</v>
      </c>
    </row>
    <row r="60" spans="13:20" ht="41.25" customHeight="1">
      <c r="M60" s="48"/>
      <c r="N60" s="33" t="str">
        <f>Datos!E61</f>
        <v>Cumplir el 60% de las acciones en los planes de acción del CLG</v>
      </c>
      <c r="O60" s="34">
        <f>Datos!O61</f>
        <v>0.45</v>
      </c>
      <c r="P60" s="34">
        <f>Datos!P61</f>
        <v>0</v>
      </c>
      <c r="Q60" s="35">
        <f>Datos!Q61</f>
        <v>0</v>
      </c>
      <c r="R60" s="34">
        <f>Datos!U61</f>
        <v>0.6</v>
      </c>
      <c r="S60" s="34">
        <f>Datos!V61</f>
        <v>0.875</v>
      </c>
      <c r="T60" s="35">
        <f>Datos!W61</f>
        <v>1</v>
      </c>
    </row>
    <row r="61" spans="13:20" ht="59.25" customHeight="1">
      <c r="M61" s="50"/>
      <c r="N61" s="33">
        <f>Datos!E62</f>
        <v>0</v>
      </c>
      <c r="O61" s="34">
        <f>Datos!O62</f>
        <v>0</v>
      </c>
      <c r="P61" s="34">
        <f>Datos!P62</f>
        <v>0</v>
      </c>
      <c r="Q61" s="35">
        <f>Datos!Q62</f>
        <v>0</v>
      </c>
      <c r="R61" s="34">
        <f>Datos!U62</f>
        <v>0</v>
      </c>
      <c r="S61" s="34">
        <f>Datos!V62</f>
        <v>0</v>
      </c>
      <c r="T61" s="35">
        <f>Datos!W62</f>
        <v>0</v>
      </c>
    </row>
    <row r="64" spans="13:20">
      <c r="M64" s="230" t="str">
        <f>C3</f>
        <v>GESTIÓN DE 
COMUNICACIONES</v>
      </c>
      <c r="N64" s="230"/>
      <c r="O64" s="230"/>
      <c r="P64" s="230"/>
      <c r="Q64" s="230"/>
      <c r="R64" s="230"/>
      <c r="S64" s="230"/>
      <c r="T64" s="230"/>
    </row>
    <row r="65" spans="13:20">
      <c r="M65" s="230"/>
      <c r="N65" s="230"/>
      <c r="O65" s="230"/>
      <c r="P65" s="230"/>
      <c r="Q65" s="230"/>
      <c r="R65" s="230"/>
      <c r="S65" s="230"/>
      <c r="T65" s="230"/>
    </row>
    <row r="66" spans="13:20" ht="38.25">
      <c r="M66" s="30"/>
      <c r="N66" s="31" t="s">
        <v>99</v>
      </c>
      <c r="O66" s="31" t="s">
        <v>100</v>
      </c>
      <c r="P66" s="31" t="s">
        <v>101</v>
      </c>
      <c r="Q66" s="31" t="s">
        <v>102</v>
      </c>
      <c r="R66" s="31" t="s">
        <v>103</v>
      </c>
      <c r="S66" s="31" t="s">
        <v>104</v>
      </c>
      <c r="T66" s="31" t="s">
        <v>105</v>
      </c>
    </row>
    <row r="67" spans="13:20" ht="49.5" customHeight="1">
      <c r="M67" s="227" t="s">
        <v>106</v>
      </c>
      <c r="N67" s="33" t="str">
        <f>Datos!E12</f>
        <v>Realizar 2 campañas comunicativas orientadas a difundir los servicios institucionales y promover el control social. (Meta nivel local)</v>
      </c>
      <c r="O67" s="34">
        <f>Datos!O12</f>
        <v>0</v>
      </c>
      <c r="P67" s="34">
        <f>Datos!P12</f>
        <v>7</v>
      </c>
      <c r="Q67" s="35" t="str">
        <f>Datos!Q12</f>
        <v/>
      </c>
      <c r="R67" s="34">
        <f>Datos!U12</f>
        <v>2</v>
      </c>
      <c r="S67" s="34">
        <f>Datos!V12</f>
        <v>23</v>
      </c>
      <c r="T67" s="35">
        <f>Datos!W12</f>
        <v>1</v>
      </c>
    </row>
    <row r="68" spans="13:20" ht="84.75" customHeight="1">
      <c r="M68" s="227" t="s">
        <v>107</v>
      </c>
      <c r="N68" s="33" t="str">
        <f>Datos!E13</f>
        <v>Formular 1 plan de comunicaciones para la generación, acceso y democratización de la información soporte para la toma de decisiones de la entidad. (Meta nivel local).</v>
      </c>
      <c r="O68" s="34">
        <f>Datos!O13</f>
        <v>0</v>
      </c>
      <c r="P68" s="34">
        <f>Datos!P13</f>
        <v>0</v>
      </c>
      <c r="Q68" s="35" t="str">
        <f>Datos!Q13</f>
        <v/>
      </c>
      <c r="R68" s="34">
        <f>Datos!U13</f>
        <v>1</v>
      </c>
      <c r="S68" s="34">
        <f>Datos!V13</f>
        <v>0</v>
      </c>
      <c r="T68" s="35">
        <f>Datos!W13</f>
        <v>0</v>
      </c>
    </row>
    <row r="69" spans="13:20" ht="60" customHeight="1">
      <c r="M69" s="227" t="s">
        <v>107</v>
      </c>
      <c r="N69" s="33" t="str">
        <f>Datos!E14</f>
        <v>Formular 6 estrategias de comunicación externa  e interna para la entidad. (Meta nivel local).</v>
      </c>
      <c r="O69" s="34">
        <f>Datos!O14</f>
        <v>2</v>
      </c>
      <c r="P69" s="34">
        <f>Datos!P14</f>
        <v>4</v>
      </c>
      <c r="Q69" s="35">
        <f>Datos!Q14</f>
        <v>2</v>
      </c>
      <c r="R69" s="34">
        <f>Datos!U14</f>
        <v>6</v>
      </c>
      <c r="S69" s="34">
        <f>Datos!V14</f>
        <v>21</v>
      </c>
      <c r="T69" s="35">
        <f>Datos!W14</f>
        <v>1</v>
      </c>
    </row>
  </sheetData>
  <sheetProtection selectLockedCells="1" selectUnlockedCells="1"/>
  <mergeCells count="7">
    <mergeCell ref="M67:M69"/>
    <mergeCell ref="N6:T7"/>
    <mergeCell ref="N20:T21"/>
    <mergeCell ref="N35:T36"/>
    <mergeCell ref="N48:T49"/>
    <mergeCell ref="N56:T57"/>
    <mergeCell ref="M64:T65"/>
  </mergeCells>
  <phoneticPr fontId="25" type="noConversion"/>
  <conditionalFormatting sqref="T9:T18">
    <cfRule type="cellIs" dxfId="101" priority="1" stopIfTrue="1" operator="between">
      <formula>0.9</formula>
      <formula>1.05</formula>
    </cfRule>
    <cfRule type="cellIs" dxfId="100" priority="2" stopIfTrue="1" operator="between">
      <formula>0.7</formula>
      <formula>0.899</formula>
    </cfRule>
    <cfRule type="cellIs" dxfId="99" priority="3" stopIfTrue="1" operator="between">
      <formula>0</formula>
      <formula>0.6999</formula>
    </cfRule>
  </conditionalFormatting>
  <conditionalFormatting sqref="T23">
    <cfRule type="cellIs" dxfId="98" priority="4" stopIfTrue="1" operator="between">
      <formula>0.9</formula>
      <formula>1.05</formula>
    </cfRule>
    <cfRule type="cellIs" dxfId="97" priority="5" stopIfTrue="1" operator="between">
      <formula>0.7</formula>
      <formula>0.899</formula>
    </cfRule>
    <cfRule type="cellIs" dxfId="96" priority="6" stopIfTrue="1" operator="between">
      <formula>0</formula>
      <formula>0.6999</formula>
    </cfRule>
  </conditionalFormatting>
  <conditionalFormatting sqref="T24">
    <cfRule type="cellIs" dxfId="95" priority="7" stopIfTrue="1" operator="between">
      <formula>0.9</formula>
      <formula>1.05</formula>
    </cfRule>
    <cfRule type="cellIs" dxfId="94" priority="8" stopIfTrue="1" operator="between">
      <formula>0.7</formula>
      <formula>0.899</formula>
    </cfRule>
    <cfRule type="cellIs" dxfId="93" priority="9" stopIfTrue="1" operator="between">
      <formula>0</formula>
      <formula>0.6999</formula>
    </cfRule>
  </conditionalFormatting>
  <conditionalFormatting sqref="T25">
    <cfRule type="cellIs" dxfId="92" priority="10" stopIfTrue="1" operator="between">
      <formula>0.9</formula>
      <formula>1.05</formula>
    </cfRule>
    <cfRule type="cellIs" dxfId="91" priority="11" stopIfTrue="1" operator="between">
      <formula>0.7</formula>
      <formula>0.899</formula>
    </cfRule>
    <cfRule type="cellIs" dxfId="90" priority="12" stopIfTrue="1" operator="between">
      <formula>0</formula>
      <formula>0.6999</formula>
    </cfRule>
  </conditionalFormatting>
  <conditionalFormatting sqref="T26">
    <cfRule type="cellIs" dxfId="89" priority="13" stopIfTrue="1" operator="between">
      <formula>0.9</formula>
      <formula>1.05</formula>
    </cfRule>
    <cfRule type="cellIs" dxfId="88" priority="14" stopIfTrue="1" operator="between">
      <formula>0.7</formula>
      <formula>0.899</formula>
    </cfRule>
    <cfRule type="cellIs" dxfId="87" priority="15" stopIfTrue="1" operator="between">
      <formula>0</formula>
      <formula>0.6999</formula>
    </cfRule>
  </conditionalFormatting>
  <conditionalFormatting sqref="T27">
    <cfRule type="cellIs" dxfId="86" priority="16" stopIfTrue="1" operator="between">
      <formula>0.9</formula>
      <formula>1.05</formula>
    </cfRule>
    <cfRule type="cellIs" dxfId="85" priority="17" stopIfTrue="1" operator="between">
      <formula>0.7</formula>
      <formula>0.899</formula>
    </cfRule>
    <cfRule type="cellIs" dxfId="84" priority="18" stopIfTrue="1" operator="between">
      <formula>0</formula>
      <formula>0.6999</formula>
    </cfRule>
  </conditionalFormatting>
  <conditionalFormatting sqref="T28">
    <cfRule type="cellIs" dxfId="83" priority="19" stopIfTrue="1" operator="between">
      <formula>0.9</formula>
      <formula>1.05</formula>
    </cfRule>
    <cfRule type="cellIs" dxfId="82" priority="20" stopIfTrue="1" operator="between">
      <formula>0.7</formula>
      <formula>0.899</formula>
    </cfRule>
    <cfRule type="cellIs" dxfId="81" priority="21" stopIfTrue="1" operator="between">
      <formula>0</formula>
      <formula>0.6999</formula>
    </cfRule>
  </conditionalFormatting>
  <conditionalFormatting sqref="T29">
    <cfRule type="cellIs" dxfId="80" priority="22" stopIfTrue="1" operator="between">
      <formula>0.9</formula>
      <formula>1.05</formula>
    </cfRule>
    <cfRule type="cellIs" dxfId="79" priority="23" stopIfTrue="1" operator="between">
      <formula>0.7</formula>
      <formula>0.899</formula>
    </cfRule>
    <cfRule type="cellIs" dxfId="78" priority="24" stopIfTrue="1" operator="between">
      <formula>0</formula>
      <formula>0.6999</formula>
    </cfRule>
  </conditionalFormatting>
  <conditionalFormatting sqref="T30">
    <cfRule type="cellIs" dxfId="77" priority="25" stopIfTrue="1" operator="between">
      <formula>0.9</formula>
      <formula>1.05</formula>
    </cfRule>
    <cfRule type="cellIs" dxfId="76" priority="26" stopIfTrue="1" operator="between">
      <formula>0.7</formula>
      <formula>0.899</formula>
    </cfRule>
    <cfRule type="cellIs" dxfId="75" priority="27" stopIfTrue="1" operator="between">
      <formula>0</formula>
      <formula>0.6999</formula>
    </cfRule>
  </conditionalFormatting>
  <conditionalFormatting sqref="T31">
    <cfRule type="cellIs" dxfId="74" priority="28" stopIfTrue="1" operator="between">
      <formula>0.9</formula>
      <formula>1.05</formula>
    </cfRule>
    <cfRule type="cellIs" dxfId="73" priority="29" stopIfTrue="1" operator="between">
      <formula>0.7</formula>
      <formula>0.899</formula>
    </cfRule>
    <cfRule type="cellIs" dxfId="72" priority="30" stopIfTrue="1" operator="between">
      <formula>0</formula>
      <formula>0.6999</formula>
    </cfRule>
  </conditionalFormatting>
  <conditionalFormatting sqref="T32">
    <cfRule type="cellIs" dxfId="71" priority="31" stopIfTrue="1" operator="between">
      <formula>0.9</formula>
      <formula>1.05</formula>
    </cfRule>
    <cfRule type="cellIs" dxfId="70" priority="32" stopIfTrue="1" operator="between">
      <formula>0.7</formula>
      <formula>0.899</formula>
    </cfRule>
    <cfRule type="cellIs" dxfId="69" priority="33" stopIfTrue="1" operator="between">
      <formula>0</formula>
      <formula>0.6999</formula>
    </cfRule>
  </conditionalFormatting>
  <conditionalFormatting sqref="T38">
    <cfRule type="cellIs" dxfId="68" priority="34" stopIfTrue="1" operator="between">
      <formula>0.9</formula>
      <formula>1.05</formula>
    </cfRule>
    <cfRule type="cellIs" dxfId="67" priority="35" stopIfTrue="1" operator="between">
      <formula>0.7</formula>
      <formula>0.899</formula>
    </cfRule>
    <cfRule type="cellIs" dxfId="66" priority="36" stopIfTrue="1" operator="between">
      <formula>0</formula>
      <formula>0.6999</formula>
    </cfRule>
  </conditionalFormatting>
  <conditionalFormatting sqref="T39">
    <cfRule type="cellIs" dxfId="65" priority="37" stopIfTrue="1" operator="between">
      <formula>0.9</formula>
      <formula>1.05</formula>
    </cfRule>
    <cfRule type="cellIs" dxfId="64" priority="38" stopIfTrue="1" operator="between">
      <formula>0.7</formula>
      <formula>0.899</formula>
    </cfRule>
    <cfRule type="cellIs" dxfId="63" priority="39" stopIfTrue="1" operator="between">
      <formula>0</formula>
      <formula>0.6999</formula>
    </cfRule>
  </conditionalFormatting>
  <conditionalFormatting sqref="T40">
    <cfRule type="cellIs" dxfId="62" priority="40" stopIfTrue="1" operator="between">
      <formula>0.9</formula>
      <formula>1.05</formula>
    </cfRule>
    <cfRule type="cellIs" dxfId="61" priority="41" stopIfTrue="1" operator="between">
      <formula>0.7</formula>
      <formula>0.899</formula>
    </cfRule>
    <cfRule type="cellIs" dxfId="60" priority="42" stopIfTrue="1" operator="between">
      <formula>0</formula>
      <formula>0.6999</formula>
    </cfRule>
  </conditionalFormatting>
  <conditionalFormatting sqref="T41">
    <cfRule type="cellIs" dxfId="59" priority="43" stopIfTrue="1" operator="between">
      <formula>0.9</formula>
      <formula>1.05</formula>
    </cfRule>
    <cfRule type="cellIs" dxfId="58" priority="44" stopIfTrue="1" operator="between">
      <formula>0.7</formula>
      <formula>0.899</formula>
    </cfRule>
    <cfRule type="cellIs" dxfId="57" priority="45" stopIfTrue="1" operator="between">
      <formula>0</formula>
      <formula>0.6999</formula>
    </cfRule>
  </conditionalFormatting>
  <conditionalFormatting sqref="T42">
    <cfRule type="cellIs" dxfId="56" priority="46" stopIfTrue="1" operator="between">
      <formula>0.9</formula>
      <formula>1.05</formula>
    </cfRule>
    <cfRule type="cellIs" dxfId="55" priority="47" stopIfTrue="1" operator="between">
      <formula>0.7</formula>
      <formula>0.899</formula>
    </cfRule>
    <cfRule type="cellIs" dxfId="54" priority="48" stopIfTrue="1" operator="between">
      <formula>0</formula>
      <formula>0.6999</formula>
    </cfRule>
  </conditionalFormatting>
  <conditionalFormatting sqref="T43">
    <cfRule type="cellIs" dxfId="53" priority="49" stopIfTrue="1" operator="between">
      <formula>0.9</formula>
      <formula>1.05</formula>
    </cfRule>
    <cfRule type="cellIs" dxfId="52" priority="50" stopIfTrue="1" operator="between">
      <formula>0.7</formula>
      <formula>0.899</formula>
    </cfRule>
    <cfRule type="cellIs" dxfId="51" priority="51" stopIfTrue="1" operator="between">
      <formula>0</formula>
      <formula>0.6999</formula>
    </cfRule>
  </conditionalFormatting>
  <conditionalFormatting sqref="T44">
    <cfRule type="cellIs" dxfId="50" priority="52" stopIfTrue="1" operator="between">
      <formula>0.9</formula>
      <formula>1.05</formula>
    </cfRule>
    <cfRule type="cellIs" dxfId="49" priority="53" stopIfTrue="1" operator="between">
      <formula>0.7</formula>
      <formula>0.899</formula>
    </cfRule>
    <cfRule type="cellIs" dxfId="48" priority="54" stopIfTrue="1" operator="between">
      <formula>0</formula>
      <formula>0.6999</formula>
    </cfRule>
  </conditionalFormatting>
  <conditionalFormatting sqref="T45">
    <cfRule type="cellIs" dxfId="47" priority="55" stopIfTrue="1" operator="between">
      <formula>0.9</formula>
      <formula>1.05</formula>
    </cfRule>
    <cfRule type="cellIs" dxfId="46" priority="56" stopIfTrue="1" operator="between">
      <formula>0.7</formula>
      <formula>0.899</formula>
    </cfRule>
    <cfRule type="cellIs" dxfId="45" priority="57" stopIfTrue="1" operator="between">
      <formula>0</formula>
      <formula>0.6999</formula>
    </cfRule>
  </conditionalFormatting>
  <conditionalFormatting sqref="Q51:Q53">
    <cfRule type="cellIs" dxfId="44" priority="58" stopIfTrue="1" operator="between">
      <formula>0.9</formula>
      <formula>1.05</formula>
    </cfRule>
    <cfRule type="cellIs" dxfId="43" priority="59" stopIfTrue="1" operator="between">
      <formula>0.7</formula>
      <formula>0.899</formula>
    </cfRule>
    <cfRule type="cellIs" dxfId="42" priority="60" stopIfTrue="1" operator="between">
      <formula>0</formula>
      <formula>0.6999</formula>
    </cfRule>
  </conditionalFormatting>
  <conditionalFormatting sqref="T51">
    <cfRule type="cellIs" dxfId="41" priority="61" stopIfTrue="1" operator="between">
      <formula>0.9</formula>
      <formula>1.05</formula>
    </cfRule>
    <cfRule type="cellIs" dxfId="40" priority="62" stopIfTrue="1" operator="between">
      <formula>0.7</formula>
      <formula>0.899</formula>
    </cfRule>
    <cfRule type="cellIs" dxfId="39" priority="63" stopIfTrue="1" operator="between">
      <formula>0</formula>
      <formula>0.6999</formula>
    </cfRule>
  </conditionalFormatting>
  <conditionalFormatting sqref="T52">
    <cfRule type="cellIs" dxfId="38" priority="64" stopIfTrue="1" operator="between">
      <formula>0.9</formula>
      <formula>1.05</formula>
    </cfRule>
    <cfRule type="cellIs" dxfId="37" priority="65" stopIfTrue="1" operator="between">
      <formula>0.7</formula>
      <formula>0.899</formula>
    </cfRule>
    <cfRule type="cellIs" dxfId="36" priority="66" stopIfTrue="1" operator="between">
      <formula>0</formula>
      <formula>0.6999</formula>
    </cfRule>
  </conditionalFormatting>
  <conditionalFormatting sqref="T53">
    <cfRule type="cellIs" dxfId="35" priority="67" stopIfTrue="1" operator="between">
      <formula>0.9</formula>
      <formula>1.05</formula>
    </cfRule>
    <cfRule type="cellIs" dxfId="34" priority="68" stopIfTrue="1" operator="between">
      <formula>0.7</formula>
      <formula>0.899</formula>
    </cfRule>
    <cfRule type="cellIs" dxfId="33" priority="69" stopIfTrue="1" operator="between">
      <formula>0</formula>
      <formula>0.6999</formula>
    </cfRule>
  </conditionalFormatting>
  <conditionalFormatting sqref="Q59:Q61">
    <cfRule type="cellIs" dxfId="32" priority="70" stopIfTrue="1" operator="between">
      <formula>0.9</formula>
      <formula>1.05</formula>
    </cfRule>
    <cfRule type="cellIs" dxfId="31" priority="71" stopIfTrue="1" operator="between">
      <formula>0.7</formula>
      <formula>0.899</formula>
    </cfRule>
    <cfRule type="cellIs" dxfId="30" priority="72" stopIfTrue="1" operator="between">
      <formula>0</formula>
      <formula>0.6999</formula>
    </cfRule>
  </conditionalFormatting>
  <conditionalFormatting sqref="T59">
    <cfRule type="cellIs" dxfId="29" priority="73" stopIfTrue="1" operator="between">
      <formula>0.9</formula>
      <formula>1.05</formula>
    </cfRule>
    <cfRule type="cellIs" dxfId="28" priority="74" stopIfTrue="1" operator="between">
      <formula>0.7</formula>
      <formula>0.899</formula>
    </cfRule>
    <cfRule type="cellIs" dxfId="27" priority="75" stopIfTrue="1" operator="between">
      <formula>0</formula>
      <formula>0.6999</formula>
    </cfRule>
  </conditionalFormatting>
  <conditionalFormatting sqref="T60">
    <cfRule type="cellIs" dxfId="26" priority="76" stopIfTrue="1" operator="between">
      <formula>0.9</formula>
      <formula>1.05</formula>
    </cfRule>
    <cfRule type="cellIs" dxfId="25" priority="77" stopIfTrue="1" operator="between">
      <formula>0.7</formula>
      <formula>0.899</formula>
    </cfRule>
    <cfRule type="cellIs" dxfId="24" priority="78" stopIfTrue="1" operator="between">
      <formula>0</formula>
      <formula>0.6999</formula>
    </cfRule>
  </conditionalFormatting>
  <conditionalFormatting sqref="T61">
    <cfRule type="cellIs" dxfId="23" priority="79" stopIfTrue="1" operator="between">
      <formula>0.9</formula>
      <formula>1.05</formula>
    </cfRule>
    <cfRule type="cellIs" dxfId="22" priority="80" stopIfTrue="1" operator="between">
      <formula>0.7</formula>
      <formula>0.899</formula>
    </cfRule>
    <cfRule type="cellIs" dxfId="21" priority="81" stopIfTrue="1" operator="between">
      <formula>0</formula>
      <formula>0.6999</formula>
    </cfRule>
  </conditionalFormatting>
  <conditionalFormatting sqref="Q67:Q69">
    <cfRule type="cellIs" dxfId="20" priority="82" stopIfTrue="1" operator="between">
      <formula>0.9</formula>
      <formula>1.05</formula>
    </cfRule>
    <cfRule type="cellIs" dxfId="19" priority="83" stopIfTrue="1" operator="between">
      <formula>0.7</formula>
      <formula>0.899</formula>
    </cfRule>
    <cfRule type="cellIs" dxfId="18" priority="84" stopIfTrue="1" operator="between">
      <formula>0</formula>
      <formula>0.6999</formula>
    </cfRule>
  </conditionalFormatting>
  <conditionalFormatting sqref="T67">
    <cfRule type="cellIs" dxfId="17" priority="85" stopIfTrue="1" operator="between">
      <formula>0.9</formula>
      <formula>1.05</formula>
    </cfRule>
    <cfRule type="cellIs" dxfId="16" priority="86" stopIfTrue="1" operator="between">
      <formula>0.7</formula>
      <formula>0.899</formula>
    </cfRule>
    <cfRule type="cellIs" dxfId="15" priority="87" stopIfTrue="1" operator="between">
      <formula>0</formula>
      <formula>0.6999</formula>
    </cfRule>
  </conditionalFormatting>
  <conditionalFormatting sqref="T68">
    <cfRule type="cellIs" dxfId="14" priority="88" stopIfTrue="1" operator="between">
      <formula>0.9</formula>
      <formula>1.05</formula>
    </cfRule>
    <cfRule type="cellIs" dxfId="13" priority="89" stopIfTrue="1" operator="between">
      <formula>0.7</formula>
      <formula>0.899</formula>
    </cfRule>
    <cfRule type="cellIs" dxfId="12" priority="90" stopIfTrue="1" operator="between">
      <formula>0</formula>
      <formula>0.6999</formula>
    </cfRule>
  </conditionalFormatting>
  <conditionalFormatting sqref="T69">
    <cfRule type="cellIs" dxfId="11" priority="91" stopIfTrue="1" operator="between">
      <formula>0.9</formula>
      <formula>1.05</formula>
    </cfRule>
    <cfRule type="cellIs" dxfId="10" priority="92" stopIfTrue="1" operator="between">
      <formula>0.7</formula>
      <formula>0.899</formula>
    </cfRule>
    <cfRule type="cellIs" dxfId="9" priority="93" stopIfTrue="1" operator="between">
      <formula>0</formula>
      <formula>0.6999</formula>
    </cfRule>
  </conditionalFormatting>
  <conditionalFormatting sqref="Q9:Q18">
    <cfRule type="cellIs" dxfId="8" priority="94" stopIfTrue="1" operator="between">
      <formula>0.9</formula>
      <formula>1.05</formula>
    </cfRule>
    <cfRule type="cellIs" dxfId="7" priority="95" stopIfTrue="1" operator="between">
      <formula>0.7</formula>
      <formula>0.899</formula>
    </cfRule>
    <cfRule type="cellIs" dxfId="6" priority="96" stopIfTrue="1" operator="between">
      <formula>0</formula>
      <formula>0.6999</formula>
    </cfRule>
  </conditionalFormatting>
  <conditionalFormatting sqref="Q38:Q45">
    <cfRule type="cellIs" dxfId="5" priority="97" stopIfTrue="1" operator="between">
      <formula>0.9</formula>
      <formula>1.05</formula>
    </cfRule>
    <cfRule type="cellIs" dxfId="4" priority="98" stopIfTrue="1" operator="between">
      <formula>0.7</formula>
      <formula>0.899</formula>
    </cfRule>
    <cfRule type="cellIs" dxfId="3" priority="99" stopIfTrue="1" operator="between">
      <formula>0</formula>
      <formula>0.6999</formula>
    </cfRule>
  </conditionalFormatting>
  <conditionalFormatting sqref="Q23:Q32">
    <cfRule type="cellIs" dxfId="2" priority="100" stopIfTrue="1" operator="between">
      <formula>0.9</formula>
      <formula>1.05</formula>
    </cfRule>
    <cfRule type="cellIs" dxfId="1" priority="101" stopIfTrue="1" operator="between">
      <formula>0.7</formula>
      <formula>0.899</formula>
    </cfRule>
    <cfRule type="cellIs" dxfId="0" priority="102" stopIfTrue="1" operator="between">
      <formula>0</formula>
      <formula>0.6999</formula>
    </cfRule>
  </conditionalFormatting>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Roman,Normal"&amp;12&amp;A</oddHeader>
    <oddFooter>&amp;C&amp;"Times New Roman,Normal"&amp;12Página &amp;P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Datos</vt:lpstr>
      <vt:lpstr>Hoja2</vt:lpstr>
      <vt:lpstr>Datos!Área_de_impresión</vt:lpstr>
      <vt:lpstr>Datos!Títulos_a_imprimir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eduardo gonza</dc:creator>
  <cp:lastModifiedBy>Apolo</cp:lastModifiedBy>
  <dcterms:created xsi:type="dcterms:W3CDTF">2016-02-18T22:01:14Z</dcterms:created>
  <dcterms:modified xsi:type="dcterms:W3CDTF">2017-03-30T00:17:44Z</dcterms:modified>
</cp:coreProperties>
</file>