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30" windowWidth="19875" windowHeight="7455"/>
  </bookViews>
  <sheets>
    <sheet name="Plan Gestion 2015" sheetId="1" r:id="rId1"/>
  </sheets>
  <externalReferences>
    <externalReference r:id="rId2"/>
  </externalReferences>
  <definedNames>
    <definedName name="___xlfn_IFERROR">#N/A</definedName>
    <definedName name="__xlfn_IFERROR">NA()</definedName>
    <definedName name="_xlnm.Print_Area" localSheetId="0">'Plan Gestion 2015'!$D$12:$AE$62</definedName>
    <definedName name="SHARED_FORMULA_10_15_10_15_0" localSheetId="0">IF(ISERROR(#REF!/#REF!),"",(#REF!/#REF!))</definedName>
    <definedName name="SHARED_FORMULA_10_15_10_15_0">IF(ISERROR(#REF!/#REF!),"",(#REF!/#REF!))</definedName>
    <definedName name="SHARED_FORMULA_10_26_10_26_0" localSheetId="0">IF(ISERROR(#REF!/#REF!),"",(#REF!/#REF!))</definedName>
    <definedName name="SHARED_FORMULA_10_26_10_26_0">IF(ISERROR(#REF!/#REF!),"",(#REF!/#REF!))</definedName>
    <definedName name="SHARED_FORMULA_10_43_10_43_0" localSheetId="0">IF(ISERROR(#REF!/#REF!),"",(#REF!/#REF!))</definedName>
    <definedName name="SHARED_FORMULA_10_43_10_43_0">IF(ISERROR(#REF!/#REF!),"",(#REF!/#REF!))</definedName>
    <definedName name="SHARED_FORMULA_12_26_12_26_0" localSheetId="0">#REF!</definedName>
    <definedName name="SHARED_FORMULA_12_26_12_26_0">#REF!</definedName>
    <definedName name="SHARED_FORMULA_12_43_12_43_0" localSheetId="0">#REF!</definedName>
    <definedName name="SHARED_FORMULA_12_43_12_43_0">#REF!</definedName>
    <definedName name="SHARED_FORMULA_13_15_13_15_0" localSheetId="0">IF(ISERROR(#REF!/#REF!),"",(#REF!/#REF!))</definedName>
    <definedName name="SHARED_FORMULA_13_15_13_15_0">IF(ISERROR(#REF!/#REF!),"",(#REF!/#REF!))</definedName>
    <definedName name="SHARED_FORMULA_13_26_13_26_0" localSheetId="0">IF(ISERROR(#REF!/#REF!),"",(#REF!/#REF!))</definedName>
    <definedName name="SHARED_FORMULA_13_26_13_26_0">IF(ISERROR(#REF!/#REF!),"",(#REF!/#REF!))</definedName>
    <definedName name="SHARED_FORMULA_13_43_13_43_0" localSheetId="0">IF(ISERROR(#REF!/#REF!),"",(#REF!/#REF!))</definedName>
    <definedName name="SHARED_FORMULA_13_43_13_43_0">IF(ISERROR(#REF!/#REF!),"",(#REF!/#REF!))</definedName>
    <definedName name="SHARED_FORMULA_15_26_15_26_0" localSheetId="0">#REF!</definedName>
    <definedName name="SHARED_FORMULA_15_26_15_26_0">#REF!</definedName>
    <definedName name="SHARED_FORMULA_15_43_15_43_0" localSheetId="0">#REF!</definedName>
    <definedName name="SHARED_FORMULA_15_43_15_43_0">#REF!</definedName>
    <definedName name="SHARED_FORMULA_16_15_16_15_0" localSheetId="0">IF(ISERROR(#REF!/#REF!),"",(#REF!/#REF!))</definedName>
    <definedName name="SHARED_FORMULA_16_15_16_15_0">IF(ISERROR(#REF!/#REF!),"",(#REF!/#REF!))</definedName>
    <definedName name="SHARED_FORMULA_16_26_16_26_0" localSheetId="0">IF(ISERROR(#REF!/#REF!),"",(#REF!/#REF!))</definedName>
    <definedName name="SHARED_FORMULA_16_26_16_26_0">IF(ISERROR(#REF!/#REF!),"",(#REF!/#REF!))</definedName>
    <definedName name="SHARED_FORMULA_16_43_16_43_0" localSheetId="0">IF(ISERROR(#REF!/#REF!),"",(#REF!/#REF!))</definedName>
    <definedName name="SHARED_FORMULA_16_43_16_43_0">IF(ISERROR(#REF!/#REF!),"",(#REF!/#REF!))</definedName>
    <definedName name="SHARED_FORMULA_18_26_18_26_0" localSheetId="0">#REF!</definedName>
    <definedName name="SHARED_FORMULA_18_26_18_26_0">#REF!</definedName>
    <definedName name="SHARED_FORMULA_18_43_18_43_0" localSheetId="0">#REF!</definedName>
    <definedName name="SHARED_FORMULA_18_43_18_43_0">#REF!</definedName>
    <definedName name="SHARED_FORMULA_19_15_19_15_0" localSheetId="0">IF(ISERROR(#REF!/#REF!),"",(#REF!/#REF!))</definedName>
    <definedName name="SHARED_FORMULA_19_15_19_15_0">IF(ISERROR(#REF!/#REF!),"",(#REF!/#REF!))</definedName>
    <definedName name="SHARED_FORMULA_19_26_19_26_0" localSheetId="0">IF(ISERROR(#REF!/#REF!),"",(#REF!/#REF!))</definedName>
    <definedName name="SHARED_FORMULA_19_26_19_26_0">IF(ISERROR(#REF!/#REF!),"",(#REF!/#REF!))</definedName>
    <definedName name="SHARED_FORMULA_19_43_19_43_0" localSheetId="0">IF(ISERROR(#REF!/#REF!),"",(#REF!/#REF!))</definedName>
    <definedName name="SHARED_FORMULA_19_43_19_43_0">IF(ISERROR(#REF!/#REF!),"",(#REF!/#REF!))</definedName>
    <definedName name="SHARED_FORMULA_20_11_20_11_0" localSheetId="0">SUM(#REF!,#REF!,#REF!,#REF!)</definedName>
    <definedName name="SHARED_FORMULA_20_11_20_11_0">SUM(#REF!,#REF!,#REF!,#REF!)</definedName>
    <definedName name="SHARED_FORMULA_20_17_20_17_0" localSheetId="0">SUM(#REF!,#REF!,#REF!,#REF!)</definedName>
    <definedName name="SHARED_FORMULA_20_17_20_17_0">SUM(#REF!,#REF!,#REF!,#REF!)</definedName>
    <definedName name="SHARED_FORMULA_20_21_20_21_0" localSheetId="0">SUM(#REF!,#REF!,#REF!,#REF!)</definedName>
    <definedName name="SHARED_FORMULA_20_21_20_21_0">SUM(#REF!,#REF!,#REF!,#REF!)</definedName>
    <definedName name="SHARED_FORMULA_20_29_20_29_0" localSheetId="0">SUM(#REF!,#REF!,#REF!,#REF!)</definedName>
    <definedName name="SHARED_FORMULA_20_29_20_29_0">SUM(#REF!,#REF!,#REF!,#REF!)</definedName>
    <definedName name="SHARED_FORMULA_20_46_20_46_0" localSheetId="0">SUM(#REF!,#REF!,#REF!,#REF!)</definedName>
    <definedName name="SHARED_FORMULA_20_46_20_46_0">SUM(#REF!,#REF!,#REF!,#REF!)</definedName>
    <definedName name="SHARED_FORMULA_20_54_20_54_0" localSheetId="0">SUM(#REF!,#REF!,#REF!,#REF!)</definedName>
    <definedName name="SHARED_FORMULA_20_54_20_54_0">SUM(#REF!,#REF!,#REF!,#REF!)</definedName>
    <definedName name="SHARED_FORMULA_20_58_20_58_0" localSheetId="0">SUM(#REF!,#REF!,#REF!,#REF!)</definedName>
    <definedName name="SHARED_FORMULA_20_58_20_58_0">SUM(#REF!,#REF!,#REF!,#REF!)</definedName>
    <definedName name="SHARED_FORMULA_21_29_21_29_0" localSheetId="0">SUM(#REF!,#REF!,#REF!,#REF!)</definedName>
    <definedName name="SHARED_FORMULA_21_29_21_29_0">SUM(#REF!,#REF!,#REF!,#REF!)</definedName>
    <definedName name="SHARED_FORMULA_22_15_22_15_0" localSheetId="0">IF((IF(ISERROR(#REF!/#REF!),0,(#REF!/#REF!)))&gt;1,1,(IF(ISERROR(#REF!/#REF!),0,(#REF!/#REF!))))</definedName>
    <definedName name="SHARED_FORMULA_22_15_22_15_0">IF((IF(ISERROR(#REF!/#REF!),0,(#REF!/#REF!)))&gt;1,1,(IF(ISERROR(#REF!/#REF!),0,(#REF!/#REF!))))</definedName>
    <definedName name="SHARED_FORMULA_22_26_22_26_0" localSheetId="0">IF((IF(ISERROR(#REF!/#REF!),0,(#REF!/#REF!)))&gt;1,1,(IF(ISERROR(#REF!/#REF!),0,(#REF!/#REF!))))</definedName>
    <definedName name="SHARED_FORMULA_22_26_22_26_0">IF((IF(ISERROR(#REF!/#REF!),0,(#REF!/#REF!)))&gt;1,1,(IF(ISERROR(#REF!/#REF!),0,(#REF!/#REF!))))</definedName>
    <definedName name="SHARED_FORMULA_22_43_22_43_0" localSheetId="0">IF((IF(ISERROR(#REF!/#REF!),0,(#REF!/#REF!)))&gt;1,1,(IF(ISERROR(#REF!/#REF!),0,(#REF!/#REF!))))</definedName>
    <definedName name="SHARED_FORMULA_22_43_22_43_0">IF((IF(ISERROR(#REF!/#REF!),0,(#REF!/#REF!)))&gt;1,1,(IF(ISERROR(#REF!/#REF!),0,(#REF!/#REF!))))</definedName>
    <definedName name="SHARED_FORMULA_23_15_23_15_0" localSheetId="0">#REF!*#REF!</definedName>
    <definedName name="SHARED_FORMULA_23_15_23_15_0">#REF!*#REF!</definedName>
    <definedName name="SHARED_FORMULA_23_26_23_26_0" localSheetId="0">#REF!*#REF!</definedName>
    <definedName name="SHARED_FORMULA_23_26_23_26_0">#REF!*#REF!</definedName>
    <definedName name="SHARED_FORMULA_23_43_23_43_0" localSheetId="0">#REF!*#REF!</definedName>
    <definedName name="SHARED_FORMULA_23_43_23_43_0">#REF!*#REF!</definedName>
    <definedName name="SHARED_FORMULA_30_11_30_11_0" localSheetId="0">#REF!</definedName>
    <definedName name="SHARED_FORMULA_30_11_30_11_0">#REF!</definedName>
    <definedName name="SHARED_FORMULA_30_29_30_29_0" localSheetId="0">#REF!</definedName>
    <definedName name="SHARED_FORMULA_30_29_30_29_0">#REF!</definedName>
    <definedName name="SHARED_FORMULA_34_12_34_12_0" localSheetId="0">#REF!</definedName>
    <definedName name="SHARED_FORMULA_34_12_34_12_0">#REF!</definedName>
    <definedName name="SHARED_FORMULA_34_44_34_44_0" localSheetId="0">#REF!</definedName>
    <definedName name="SHARED_FORMULA_34_44_34_44_0">#REF!</definedName>
    <definedName name="SHARED_FORMULA_38_11_38_11_0" localSheetId="0">#REF!</definedName>
    <definedName name="SHARED_FORMULA_38_11_38_11_0">#REF!</definedName>
    <definedName name="SHARED_FORMULA_38_43_38_43_0" localSheetId="0">#REF!</definedName>
    <definedName name="SHARED_FORMULA_38_43_38_43_0">#REF!</definedName>
    <definedName name="SHARED_FORMULA_42_11_42_11_0" localSheetId="0">#REF!</definedName>
    <definedName name="SHARED_FORMULA_42_11_42_11_0">#REF!</definedName>
    <definedName name="SHARED_FORMULA_42_43_42_43_0" localSheetId="0">#REF!</definedName>
    <definedName name="SHARED_FORMULA_42_43_42_43_0">#REF!</definedName>
    <definedName name="SHARED_FORMULA_9_15_9_15_0" localSheetId="0">#REF!</definedName>
    <definedName name="SHARED_FORMULA_9_15_9_15_0">#REF!</definedName>
    <definedName name="SHARED_FORMULA_9_26_9_26_0" localSheetId="0">#REF!</definedName>
    <definedName name="SHARED_FORMULA_9_26_9_26_0">#REF!</definedName>
    <definedName name="SHARED_FORMULA_9_43_9_43_0" localSheetId="0">#REF!</definedName>
    <definedName name="SHARED_FORMULA_9_43_9_43_0">#REF!</definedName>
    <definedName name="_xlnm.Print_Titles" localSheetId="0">'Plan Gestion 2015'!$A$8:$IV$9</definedName>
  </definedNames>
  <calcPr calcId="145621"/>
</workbook>
</file>

<file path=xl/calcChain.xml><?xml version="1.0" encoding="utf-8"?>
<calcChain xmlns="http://schemas.openxmlformats.org/spreadsheetml/2006/main">
  <c r="F61" i="1" l="1"/>
  <c r="AR60" i="1"/>
  <c r="AO60" i="1"/>
  <c r="AN60" i="1"/>
  <c r="AK60" i="1"/>
  <c r="AJ60" i="1"/>
  <c r="AG60" i="1"/>
  <c r="AF60" i="1"/>
  <c r="U60" i="1"/>
  <c r="T60" i="1"/>
  <c r="S60" i="1"/>
  <c r="Q60" i="1"/>
  <c r="P60" i="1"/>
  <c r="N60" i="1"/>
  <c r="M60" i="1"/>
  <c r="K60" i="1"/>
  <c r="J60" i="1"/>
  <c r="V60" i="1" s="1"/>
  <c r="W60" i="1" s="1"/>
  <c r="X60" i="1" s="1"/>
  <c r="AR59" i="1"/>
  <c r="AN59" i="1"/>
  <c r="AJ59" i="1"/>
  <c r="AF59" i="1"/>
  <c r="AR58" i="1"/>
  <c r="AN58" i="1"/>
  <c r="AJ58" i="1"/>
  <c r="AF58" i="1"/>
  <c r="V58" i="1"/>
  <c r="W58" i="1" s="1"/>
  <c r="X58" i="1" s="1"/>
  <c r="U58" i="1"/>
  <c r="T58" i="1"/>
  <c r="S58" i="1"/>
  <c r="Q58" i="1"/>
  <c r="P58" i="1"/>
  <c r="N58" i="1"/>
  <c r="M58" i="1"/>
  <c r="K58" i="1"/>
  <c r="J58" i="1"/>
  <c r="AR57" i="1"/>
  <c r="AN57" i="1"/>
  <c r="AJ57" i="1"/>
  <c r="AF57" i="1"/>
  <c r="V57" i="1"/>
  <c r="W57" i="1" s="1"/>
  <c r="X57" i="1" s="1"/>
  <c r="U57" i="1"/>
  <c r="T57" i="1"/>
  <c r="S57" i="1"/>
  <c r="Q57" i="1"/>
  <c r="P57" i="1"/>
  <c r="N57" i="1"/>
  <c r="M57" i="1"/>
  <c r="K57" i="1"/>
  <c r="J57" i="1"/>
  <c r="AR56" i="1"/>
  <c r="AN56" i="1"/>
  <c r="AJ56" i="1"/>
  <c r="AG56" i="1"/>
  <c r="AF56" i="1"/>
  <c r="U56" i="1"/>
  <c r="S56" i="1"/>
  <c r="T56" i="1" s="1"/>
  <c r="P56" i="1"/>
  <c r="Q56" i="1" s="1"/>
  <c r="M56" i="1"/>
  <c r="N56" i="1" s="1"/>
  <c r="J56" i="1"/>
  <c r="V56" i="1" s="1"/>
  <c r="W56" i="1" s="1"/>
  <c r="X56" i="1" s="1"/>
  <c r="AS55" i="1"/>
  <c r="AR55" i="1"/>
  <c r="AO55" i="1"/>
  <c r="AN55" i="1"/>
  <c r="AK55" i="1"/>
  <c r="AJ55" i="1"/>
  <c r="AF55" i="1"/>
  <c r="V55" i="1"/>
  <c r="W55" i="1" s="1"/>
  <c r="X55" i="1" s="1"/>
  <c r="U55" i="1"/>
  <c r="T55" i="1"/>
  <c r="S55" i="1"/>
  <c r="Q55" i="1"/>
  <c r="P55" i="1"/>
  <c r="N55" i="1"/>
  <c r="M55" i="1"/>
  <c r="K55" i="1"/>
  <c r="J55" i="1"/>
  <c r="AR54" i="1"/>
  <c r="AN54" i="1"/>
  <c r="AJ54" i="1"/>
  <c r="AF54" i="1"/>
  <c r="AS53" i="1"/>
  <c r="AR53" i="1"/>
  <c r="AO53" i="1"/>
  <c r="AN53" i="1"/>
  <c r="AK53" i="1"/>
  <c r="AJ53" i="1"/>
  <c r="AF53" i="1"/>
  <c r="U53" i="1"/>
  <c r="S53" i="1"/>
  <c r="T53" i="1" s="1"/>
  <c r="P53" i="1"/>
  <c r="Q53" i="1" s="1"/>
  <c r="M53" i="1"/>
  <c r="N53" i="1" s="1"/>
  <c r="J53" i="1"/>
  <c r="V53" i="1" s="1"/>
  <c r="W53" i="1" s="1"/>
  <c r="X53" i="1" s="1"/>
  <c r="AR52" i="1"/>
  <c r="AN52" i="1"/>
  <c r="AJ52" i="1"/>
  <c r="AF52" i="1"/>
  <c r="U52" i="1"/>
  <c r="S52" i="1"/>
  <c r="T52" i="1" s="1"/>
  <c r="P52" i="1"/>
  <c r="Q52" i="1" s="1"/>
  <c r="M52" i="1"/>
  <c r="N52" i="1" s="1"/>
  <c r="J52" i="1"/>
  <c r="V52" i="1" s="1"/>
  <c r="W52" i="1" s="1"/>
  <c r="X52" i="1" s="1"/>
  <c r="AR51" i="1"/>
  <c r="AN51" i="1"/>
  <c r="AJ51" i="1"/>
  <c r="AF51" i="1"/>
  <c r="U51" i="1"/>
  <c r="S51" i="1"/>
  <c r="T51" i="1" s="1"/>
  <c r="P51" i="1"/>
  <c r="Q51" i="1" s="1"/>
  <c r="M51" i="1"/>
  <c r="N51" i="1" s="1"/>
  <c r="J51" i="1"/>
  <c r="V51" i="1" s="1"/>
  <c r="W51" i="1" s="1"/>
  <c r="X51" i="1" s="1"/>
  <c r="AR50" i="1"/>
  <c r="AN50" i="1"/>
  <c r="AJ50" i="1"/>
  <c r="AF50" i="1"/>
  <c r="U50" i="1"/>
  <c r="S50" i="1"/>
  <c r="T50" i="1" s="1"/>
  <c r="P50" i="1"/>
  <c r="Q50" i="1" s="1"/>
  <c r="M50" i="1"/>
  <c r="N50" i="1" s="1"/>
  <c r="J50" i="1"/>
  <c r="V50" i="1" s="1"/>
  <c r="W50" i="1" s="1"/>
  <c r="X50" i="1" s="1"/>
  <c r="AR49" i="1"/>
  <c r="AN49" i="1"/>
  <c r="AJ49" i="1"/>
  <c r="AF49" i="1"/>
  <c r="U49" i="1"/>
  <c r="S49" i="1"/>
  <c r="T49" i="1" s="1"/>
  <c r="P49" i="1"/>
  <c r="Q49" i="1" s="1"/>
  <c r="M49" i="1"/>
  <c r="N49" i="1" s="1"/>
  <c r="J49" i="1"/>
  <c r="V49" i="1" s="1"/>
  <c r="W49" i="1" s="1"/>
  <c r="X49" i="1" s="1"/>
  <c r="AR48" i="1"/>
  <c r="AN48" i="1"/>
  <c r="AJ48" i="1"/>
  <c r="AF48" i="1"/>
  <c r="U48" i="1"/>
  <c r="S48" i="1"/>
  <c r="T48" i="1" s="1"/>
  <c r="P48" i="1"/>
  <c r="Q48" i="1" s="1"/>
  <c r="M48" i="1"/>
  <c r="N48" i="1" s="1"/>
  <c r="J48" i="1"/>
  <c r="V48" i="1" s="1"/>
  <c r="W48" i="1" s="1"/>
  <c r="X48" i="1" s="1"/>
  <c r="AR47" i="1"/>
  <c r="AN47" i="1"/>
  <c r="AJ47" i="1"/>
  <c r="AF47" i="1"/>
  <c r="U47" i="1"/>
  <c r="S47" i="1"/>
  <c r="T47" i="1" s="1"/>
  <c r="P47" i="1"/>
  <c r="Q47" i="1" s="1"/>
  <c r="M47" i="1"/>
  <c r="N47" i="1" s="1"/>
  <c r="J47" i="1"/>
  <c r="V47" i="1" s="1"/>
  <c r="W47" i="1" s="1"/>
  <c r="X47" i="1" s="1"/>
  <c r="AR46" i="1"/>
  <c r="AO46" i="1"/>
  <c r="P46" i="1" s="1"/>
  <c r="Q46" i="1" s="1"/>
  <c r="AN46" i="1"/>
  <c r="AK46" i="1"/>
  <c r="M46" i="1" s="1"/>
  <c r="N46" i="1" s="1"/>
  <c r="AJ46" i="1"/>
  <c r="AG46" i="1"/>
  <c r="J46" i="1" s="1"/>
  <c r="AF46" i="1"/>
  <c r="U46" i="1"/>
  <c r="T46" i="1"/>
  <c r="S46" i="1"/>
  <c r="AR45" i="1"/>
  <c r="AN45" i="1"/>
  <c r="AJ45" i="1"/>
  <c r="AF45" i="1"/>
  <c r="V45" i="1"/>
  <c r="W45" i="1" s="1"/>
  <c r="X45" i="1" s="1"/>
  <c r="U45" i="1"/>
  <c r="T45" i="1"/>
  <c r="S45" i="1"/>
  <c r="Q45" i="1"/>
  <c r="P45" i="1"/>
  <c r="N45" i="1"/>
  <c r="M45" i="1"/>
  <c r="K45" i="1"/>
  <c r="J45" i="1"/>
  <c r="AR44" i="1"/>
  <c r="AN44" i="1"/>
  <c r="AJ44" i="1"/>
  <c r="AF44" i="1"/>
  <c r="V44" i="1"/>
  <c r="W44" i="1" s="1"/>
  <c r="X44" i="1" s="1"/>
  <c r="U44" i="1"/>
  <c r="T44" i="1"/>
  <c r="S44" i="1"/>
  <c r="Q44" i="1"/>
  <c r="P44" i="1"/>
  <c r="N44" i="1"/>
  <c r="M44" i="1"/>
  <c r="K44" i="1"/>
  <c r="J44" i="1"/>
  <c r="AR43" i="1"/>
  <c r="AN43" i="1"/>
  <c r="AJ43" i="1"/>
  <c r="AF43" i="1"/>
  <c r="AS42" i="1"/>
  <c r="S42" i="1" s="1"/>
  <c r="T42" i="1" s="1"/>
  <c r="AR42" i="1"/>
  <c r="AO42" i="1"/>
  <c r="P42" i="1" s="1"/>
  <c r="Q42" i="1" s="1"/>
  <c r="AN42" i="1"/>
  <c r="AK42" i="1"/>
  <c r="M42" i="1" s="1"/>
  <c r="N42" i="1" s="1"/>
  <c r="AJ42" i="1"/>
  <c r="AG42" i="1"/>
  <c r="J42" i="1" s="1"/>
  <c r="AF42" i="1"/>
  <c r="U42" i="1"/>
  <c r="AS41" i="1"/>
  <c r="S41" i="1" s="1"/>
  <c r="T41" i="1" s="1"/>
  <c r="AR41" i="1"/>
  <c r="AO41" i="1"/>
  <c r="P41" i="1" s="1"/>
  <c r="AN41" i="1"/>
  <c r="AJ41" i="1"/>
  <c r="AF41" i="1"/>
  <c r="U41" i="1"/>
  <c r="N41" i="1"/>
  <c r="M41" i="1"/>
  <c r="K41" i="1"/>
  <c r="J41" i="1"/>
  <c r="AS40" i="1"/>
  <c r="S40" i="1" s="1"/>
  <c r="AR40" i="1"/>
  <c r="AO40" i="1"/>
  <c r="P40" i="1" s="1"/>
  <c r="Q40" i="1" s="1"/>
  <c r="AN40" i="1"/>
  <c r="AK40" i="1"/>
  <c r="M40" i="1" s="1"/>
  <c r="N40" i="1" s="1"/>
  <c r="AJ40" i="1"/>
  <c r="AG40" i="1"/>
  <c r="J40" i="1" s="1"/>
  <c r="K40" i="1" s="1"/>
  <c r="AF40" i="1"/>
  <c r="U40" i="1"/>
  <c r="AS39" i="1"/>
  <c r="S39" i="1" s="1"/>
  <c r="T39" i="1" s="1"/>
  <c r="AR39" i="1"/>
  <c r="AO39" i="1"/>
  <c r="P39" i="1" s="1"/>
  <c r="Q39" i="1" s="1"/>
  <c r="AN39" i="1"/>
  <c r="AK39" i="1"/>
  <c r="M39" i="1" s="1"/>
  <c r="N39" i="1" s="1"/>
  <c r="AJ39" i="1"/>
  <c r="AG39" i="1"/>
  <c r="J39" i="1" s="1"/>
  <c r="AF39" i="1"/>
  <c r="U39" i="1"/>
  <c r="AR38" i="1"/>
  <c r="AO38" i="1"/>
  <c r="AN38" i="1"/>
  <c r="AJ38" i="1"/>
  <c r="AF38" i="1"/>
  <c r="U38" i="1"/>
  <c r="S38" i="1"/>
  <c r="T38" i="1" s="1"/>
  <c r="P38" i="1"/>
  <c r="Q38" i="1" s="1"/>
  <c r="M38" i="1"/>
  <c r="N38" i="1" s="1"/>
  <c r="J38" i="1"/>
  <c r="K38" i="1" s="1"/>
  <c r="AR37" i="1"/>
  <c r="AO37" i="1"/>
  <c r="P37" i="1" s="1"/>
  <c r="AN37" i="1"/>
  <c r="AJ37" i="1"/>
  <c r="AF37" i="1"/>
  <c r="U37" i="1"/>
  <c r="T37" i="1"/>
  <c r="S37" i="1"/>
  <c r="N37" i="1"/>
  <c r="M37" i="1"/>
  <c r="K37" i="1"/>
  <c r="J37" i="1"/>
  <c r="AR36" i="1"/>
  <c r="AN36" i="1"/>
  <c r="AJ36" i="1"/>
  <c r="AF36" i="1"/>
  <c r="V36" i="1"/>
  <c r="W36" i="1" s="1"/>
  <c r="X36" i="1" s="1"/>
  <c r="U36" i="1"/>
  <c r="T36" i="1"/>
  <c r="S36" i="1"/>
  <c r="Q36" i="1"/>
  <c r="P36" i="1"/>
  <c r="N36" i="1"/>
  <c r="M36" i="1"/>
  <c r="K36" i="1"/>
  <c r="J36" i="1"/>
  <c r="AR35" i="1"/>
  <c r="AN35" i="1"/>
  <c r="AJ35" i="1"/>
  <c r="AF35" i="1"/>
  <c r="V35" i="1"/>
  <c r="W35" i="1" s="1"/>
  <c r="X35" i="1" s="1"/>
  <c r="U35" i="1"/>
  <c r="T35" i="1"/>
  <c r="S35" i="1"/>
  <c r="Q35" i="1"/>
  <c r="P35" i="1"/>
  <c r="N35" i="1"/>
  <c r="M35" i="1"/>
  <c r="K35" i="1"/>
  <c r="J35" i="1"/>
  <c r="AR34" i="1"/>
  <c r="AN34" i="1"/>
  <c r="AJ34" i="1"/>
  <c r="AF34" i="1"/>
  <c r="V34" i="1"/>
  <c r="W34" i="1" s="1"/>
  <c r="X34" i="1" s="1"/>
  <c r="U34" i="1"/>
  <c r="T34" i="1"/>
  <c r="S34" i="1"/>
  <c r="Q34" i="1"/>
  <c r="P34" i="1"/>
  <c r="N34" i="1"/>
  <c r="M34" i="1"/>
  <c r="K34" i="1"/>
  <c r="J34" i="1"/>
  <c r="AR33" i="1"/>
  <c r="AO33" i="1"/>
  <c r="AN33" i="1"/>
  <c r="AJ33" i="1"/>
  <c r="AF33" i="1"/>
  <c r="U33" i="1"/>
  <c r="S33" i="1"/>
  <c r="T33" i="1" s="1"/>
  <c r="P33" i="1"/>
  <c r="Q33" i="1" s="1"/>
  <c r="M33" i="1"/>
  <c r="N33" i="1" s="1"/>
  <c r="J33" i="1"/>
  <c r="V33" i="1" s="1"/>
  <c r="W33" i="1" s="1"/>
  <c r="X33" i="1" s="1"/>
  <c r="AS32" i="1"/>
  <c r="AR32" i="1"/>
  <c r="AO32" i="1"/>
  <c r="AN32" i="1"/>
  <c r="AK32" i="1"/>
  <c r="AJ32" i="1"/>
  <c r="AF32" i="1"/>
  <c r="V32" i="1"/>
  <c r="W32" i="1" s="1"/>
  <c r="X32" i="1" s="1"/>
  <c r="U32" i="1"/>
  <c r="T32" i="1"/>
  <c r="S32" i="1"/>
  <c r="Q32" i="1"/>
  <c r="P32" i="1"/>
  <c r="N32" i="1"/>
  <c r="M32" i="1"/>
  <c r="K32" i="1"/>
  <c r="J32" i="1"/>
  <c r="AR31" i="1"/>
  <c r="AN31" i="1"/>
  <c r="AJ31" i="1"/>
  <c r="AF31" i="1"/>
  <c r="V31" i="1"/>
  <c r="W31" i="1" s="1"/>
  <c r="X31" i="1" s="1"/>
  <c r="U31" i="1"/>
  <c r="T31" i="1"/>
  <c r="S31" i="1"/>
  <c r="Q31" i="1"/>
  <c r="P31" i="1"/>
  <c r="N31" i="1"/>
  <c r="M31" i="1"/>
  <c r="K31" i="1"/>
  <c r="J31" i="1"/>
  <c r="AR30" i="1"/>
  <c r="AN30" i="1"/>
  <c r="AJ30" i="1"/>
  <c r="AF30" i="1"/>
  <c r="V30" i="1"/>
  <c r="W30" i="1" s="1"/>
  <c r="X30" i="1" s="1"/>
  <c r="U30" i="1"/>
  <c r="T30" i="1"/>
  <c r="S30" i="1"/>
  <c r="Q30" i="1"/>
  <c r="P30" i="1"/>
  <c r="N30" i="1"/>
  <c r="M30" i="1"/>
  <c r="K30" i="1"/>
  <c r="J30" i="1"/>
  <c r="AS29" i="1"/>
  <c r="S29" i="1" s="1"/>
  <c r="T29" i="1" s="1"/>
  <c r="AR29" i="1"/>
  <c r="AO29" i="1"/>
  <c r="AN29" i="1"/>
  <c r="AK29" i="1"/>
  <c r="M29" i="1" s="1"/>
  <c r="N29" i="1" s="1"/>
  <c r="AJ29" i="1"/>
  <c r="AF29" i="1"/>
  <c r="U29" i="1"/>
  <c r="P29" i="1"/>
  <c r="Q29" i="1" s="1"/>
  <c r="J29" i="1"/>
  <c r="AS28" i="1"/>
  <c r="AR28" i="1"/>
  <c r="AO28" i="1"/>
  <c r="AN28" i="1"/>
  <c r="AJ28" i="1"/>
  <c r="AF28" i="1"/>
  <c r="U28" i="1"/>
  <c r="S28" i="1"/>
  <c r="T28" i="1" s="1"/>
  <c r="P28" i="1"/>
  <c r="Q28" i="1" s="1"/>
  <c r="M28" i="1"/>
  <c r="N28" i="1" s="1"/>
  <c r="J28" i="1"/>
  <c r="AR27" i="1"/>
  <c r="AN27" i="1"/>
  <c r="AJ27" i="1"/>
  <c r="AF27" i="1"/>
  <c r="U27" i="1"/>
  <c r="S27" i="1"/>
  <c r="T27" i="1" s="1"/>
  <c r="P27" i="1"/>
  <c r="Q27" i="1" s="1"/>
  <c r="M27" i="1"/>
  <c r="N27" i="1" s="1"/>
  <c r="J27" i="1"/>
  <c r="AR26" i="1"/>
  <c r="AN26" i="1"/>
  <c r="AJ26" i="1"/>
  <c r="AF26" i="1"/>
  <c r="U26" i="1"/>
  <c r="S26" i="1"/>
  <c r="T26" i="1" s="1"/>
  <c r="P26" i="1"/>
  <c r="Q26" i="1" s="1"/>
  <c r="M26" i="1"/>
  <c r="N26" i="1" s="1"/>
  <c r="J26" i="1"/>
  <c r="AR25" i="1"/>
  <c r="AN25" i="1"/>
  <c r="AJ25" i="1"/>
  <c r="AF25" i="1"/>
  <c r="U25" i="1"/>
  <c r="S25" i="1"/>
  <c r="T25" i="1" s="1"/>
  <c r="P25" i="1"/>
  <c r="Q25" i="1" s="1"/>
  <c r="M25" i="1"/>
  <c r="N25" i="1" s="1"/>
  <c r="J25" i="1"/>
  <c r="AS24" i="1"/>
  <c r="AR24" i="1"/>
  <c r="AO24" i="1"/>
  <c r="AN24" i="1"/>
  <c r="AK24" i="1"/>
  <c r="AJ24" i="1"/>
  <c r="AG24" i="1"/>
  <c r="AF24" i="1"/>
  <c r="U24" i="1"/>
  <c r="S24" i="1"/>
  <c r="T24" i="1" s="1"/>
  <c r="P24" i="1"/>
  <c r="Q24" i="1" s="1"/>
  <c r="M24" i="1"/>
  <c r="N24" i="1" s="1"/>
  <c r="J24" i="1"/>
  <c r="AR23" i="1"/>
  <c r="AN23" i="1"/>
  <c r="AJ23" i="1"/>
  <c r="AF23" i="1"/>
  <c r="AS22" i="1"/>
  <c r="AR22" i="1"/>
  <c r="AO22" i="1"/>
  <c r="AN22" i="1"/>
  <c r="AK22" i="1"/>
  <c r="AJ22" i="1"/>
  <c r="AF22" i="1"/>
  <c r="X22" i="1"/>
  <c r="V22" i="1"/>
  <c r="W22" i="1" s="1"/>
  <c r="U22" i="1"/>
  <c r="T22" i="1"/>
  <c r="S22" i="1"/>
  <c r="Q22" i="1"/>
  <c r="P22" i="1"/>
  <c r="N22" i="1"/>
  <c r="M22" i="1"/>
  <c r="K22" i="1"/>
  <c r="J22" i="1"/>
  <c r="AS21" i="1"/>
  <c r="AR21" i="1"/>
  <c r="AO21" i="1"/>
  <c r="AN21" i="1"/>
  <c r="AK21" i="1"/>
  <c r="M21" i="1" s="1"/>
  <c r="N21" i="1" s="1"/>
  <c r="AJ21" i="1"/>
  <c r="AF21" i="1"/>
  <c r="U21" i="1"/>
  <c r="S21" i="1"/>
  <c r="T21" i="1" s="1"/>
  <c r="P21" i="1"/>
  <c r="Q21" i="1" s="1"/>
  <c r="J21" i="1"/>
  <c r="AS20" i="1"/>
  <c r="AR20" i="1"/>
  <c r="AO20" i="1"/>
  <c r="AN20" i="1"/>
  <c r="AK20" i="1"/>
  <c r="AJ20" i="1"/>
  <c r="AG20" i="1"/>
  <c r="AF20" i="1"/>
  <c r="U20" i="1"/>
  <c r="S20" i="1"/>
  <c r="T20" i="1" s="1"/>
  <c r="P20" i="1"/>
  <c r="Q20" i="1" s="1"/>
  <c r="M20" i="1"/>
  <c r="N20" i="1" s="1"/>
  <c r="J20" i="1"/>
  <c r="AS19" i="1"/>
  <c r="AR19" i="1"/>
  <c r="AO19" i="1"/>
  <c r="AN19" i="1"/>
  <c r="AK19" i="1"/>
  <c r="AJ19" i="1"/>
  <c r="AG19" i="1"/>
  <c r="AF19" i="1"/>
  <c r="U19" i="1"/>
  <c r="W19" i="1" s="1"/>
  <c r="X19" i="1" s="1"/>
  <c r="T19" i="1"/>
  <c r="S19" i="1"/>
  <c r="V19" i="1" s="1"/>
  <c r="P19" i="1"/>
  <c r="Q19" i="1" s="1"/>
  <c r="M19" i="1"/>
  <c r="N19" i="1" s="1"/>
  <c r="J19" i="1"/>
  <c r="K19" i="1" s="1"/>
  <c r="AS18" i="1"/>
  <c r="AR18" i="1"/>
  <c r="AO18" i="1"/>
  <c r="AN18" i="1"/>
  <c r="AK18" i="1"/>
  <c r="M18" i="1" s="1"/>
  <c r="N18" i="1" s="1"/>
  <c r="AJ18" i="1"/>
  <c r="AG18" i="1"/>
  <c r="AF18" i="1"/>
  <c r="U18" i="1"/>
  <c r="W18" i="1" s="1"/>
  <c r="X18" i="1" s="1"/>
  <c r="S18" i="1"/>
  <c r="V18" i="1" s="1"/>
  <c r="P18" i="1"/>
  <c r="Q18" i="1" s="1"/>
  <c r="J18" i="1"/>
  <c r="K18" i="1" s="1"/>
  <c r="AS17" i="1"/>
  <c r="AR17" i="1"/>
  <c r="AO17" i="1"/>
  <c r="AN17" i="1"/>
  <c r="AK17" i="1"/>
  <c r="M17" i="1" s="1"/>
  <c r="N17" i="1" s="1"/>
  <c r="AJ17" i="1"/>
  <c r="AG17" i="1"/>
  <c r="AF17" i="1"/>
  <c r="U17" i="1"/>
  <c r="S17" i="1"/>
  <c r="V17" i="1" s="1"/>
  <c r="W17" i="1" s="1"/>
  <c r="X17" i="1" s="1"/>
  <c r="P17" i="1"/>
  <c r="Q17" i="1" s="1"/>
  <c r="J17" i="1"/>
  <c r="K17" i="1" s="1"/>
  <c r="AS16" i="1"/>
  <c r="AR16" i="1"/>
  <c r="AO16" i="1"/>
  <c r="AN16" i="1"/>
  <c r="AK16" i="1"/>
  <c r="AJ16" i="1"/>
  <c r="AG16" i="1"/>
  <c r="AF16" i="1"/>
  <c r="U16" i="1"/>
  <c r="T16" i="1"/>
  <c r="S16" i="1"/>
  <c r="P16" i="1"/>
  <c r="Q16" i="1" s="1"/>
  <c r="M16" i="1"/>
  <c r="N16" i="1" s="1"/>
  <c r="K16" i="1"/>
  <c r="J16" i="1"/>
  <c r="AR15" i="1"/>
  <c r="AN15" i="1"/>
  <c r="AJ15" i="1"/>
  <c r="AF15" i="1"/>
  <c r="AR14" i="1"/>
  <c r="AN14" i="1"/>
  <c r="AJ14" i="1"/>
  <c r="AF14" i="1"/>
  <c r="U14" i="1"/>
  <c r="S14" i="1"/>
  <c r="T14" i="1" s="1"/>
  <c r="Q14" i="1"/>
  <c r="P14" i="1"/>
  <c r="M14" i="1"/>
  <c r="N14" i="1" s="1"/>
  <c r="K14" i="1"/>
  <c r="J14" i="1"/>
  <c r="AR13" i="1"/>
  <c r="AN13" i="1"/>
  <c r="AJ13" i="1"/>
  <c r="AF13" i="1"/>
  <c r="V13" i="1"/>
  <c r="W13" i="1" s="1"/>
  <c r="X13" i="1" s="1"/>
  <c r="U13" i="1"/>
  <c r="S13" i="1"/>
  <c r="T13" i="1" s="1"/>
  <c r="Q13" i="1"/>
  <c r="P13" i="1"/>
  <c r="M13" i="1"/>
  <c r="N13" i="1" s="1"/>
  <c r="K13" i="1"/>
  <c r="J13" i="1"/>
  <c r="AR12" i="1"/>
  <c r="AN12" i="1"/>
  <c r="AJ12" i="1"/>
  <c r="AF12" i="1"/>
  <c r="V12" i="1"/>
  <c r="W12" i="1" s="1"/>
  <c r="X12" i="1" s="1"/>
  <c r="U12" i="1"/>
  <c r="S12" i="1"/>
  <c r="T12" i="1" s="1"/>
  <c r="Q12" i="1"/>
  <c r="P12" i="1"/>
  <c r="M12" i="1"/>
  <c r="N12" i="1" s="1"/>
  <c r="K12" i="1"/>
  <c r="J12" i="1"/>
  <c r="V14" i="1" l="1"/>
  <c r="W14" i="1" s="1"/>
  <c r="X14" i="1" s="1"/>
  <c r="X10" i="1" s="1"/>
  <c r="V24" i="1"/>
  <c r="W24" i="1" s="1"/>
  <c r="X24" i="1" s="1"/>
  <c r="K24" i="1"/>
  <c r="V26" i="1"/>
  <c r="W26" i="1" s="1"/>
  <c r="X26" i="1" s="1"/>
  <c r="K26" i="1"/>
  <c r="V28" i="1"/>
  <c r="W28" i="1" s="1"/>
  <c r="X28" i="1" s="1"/>
  <c r="K28" i="1"/>
  <c r="V29" i="1"/>
  <c r="W29" i="1" s="1"/>
  <c r="X29" i="1" s="1"/>
  <c r="K29" i="1"/>
  <c r="V39" i="1"/>
  <c r="W39" i="1" s="1"/>
  <c r="X39" i="1" s="1"/>
  <c r="K39" i="1"/>
  <c r="V41" i="1"/>
  <c r="Q41" i="1"/>
  <c r="V46" i="1"/>
  <c r="W46" i="1" s="1"/>
  <c r="X46" i="1" s="1"/>
  <c r="K46" i="1"/>
  <c r="V21" i="1"/>
  <c r="W21" i="1" s="1"/>
  <c r="X21" i="1" s="1"/>
  <c r="K21" i="1"/>
  <c r="W41" i="1"/>
  <c r="X41" i="1" s="1"/>
  <c r="V42" i="1"/>
  <c r="W42" i="1" s="1"/>
  <c r="X42" i="1" s="1"/>
  <c r="K42" i="1"/>
  <c r="T17" i="1"/>
  <c r="V25" i="1"/>
  <c r="W25" i="1" s="1"/>
  <c r="X25" i="1" s="1"/>
  <c r="K25" i="1"/>
  <c r="V27" i="1"/>
  <c r="W27" i="1" s="1"/>
  <c r="X27" i="1" s="1"/>
  <c r="K27" i="1"/>
  <c r="V37" i="1"/>
  <c r="W37" i="1" s="1"/>
  <c r="X37" i="1" s="1"/>
  <c r="Q37" i="1"/>
  <c r="V16" i="1"/>
  <c r="W16" i="1" s="1"/>
  <c r="X16" i="1" s="1"/>
  <c r="T18" i="1"/>
  <c r="V20" i="1"/>
  <c r="W20" i="1" s="1"/>
  <c r="X20" i="1" s="1"/>
  <c r="K20" i="1"/>
  <c r="T40" i="1"/>
  <c r="V40" i="1"/>
  <c r="W40" i="1" s="1"/>
  <c r="X40" i="1" s="1"/>
  <c r="V38" i="1"/>
  <c r="W38" i="1" s="1"/>
  <c r="X38" i="1" s="1"/>
  <c r="K56" i="1"/>
  <c r="K33" i="1"/>
  <c r="K47" i="1"/>
  <c r="K48" i="1"/>
  <c r="K49" i="1"/>
  <c r="K50" i="1"/>
  <c r="K51" i="1"/>
  <c r="K52" i="1"/>
  <c r="K53" i="1"/>
</calcChain>
</file>

<file path=xl/sharedStrings.xml><?xml version="1.0" encoding="utf-8"?>
<sst xmlns="http://schemas.openxmlformats.org/spreadsheetml/2006/main" count="868" uniqueCount="498">
  <si>
    <t>SECRETARÍA DISTRITAL DE GOBIERNO</t>
  </si>
  <si>
    <t>FORMATO DE FORMULACIÓN Y SEGUIMIENTO DE PLANES DE GESTIÓN</t>
  </si>
  <si>
    <t>VIGENCIA 2015</t>
  </si>
  <si>
    <t>MISIÓN:</t>
  </si>
  <si>
    <t xml:space="preserve">Lideramos la gestión política distrital, el desarrollo local y la formulación e implementación de políticas públicas de convivencia, seguridad, derechos humanos y acceso a la justicia; garantizando la gobernabilidad y la cultura democrática con participación, transparencia, inclusión y sostenibilidad  para lograr una  Bogotá más humana.
</t>
  </si>
  <si>
    <t>DEPENDENCIA</t>
  </si>
  <si>
    <t>Alcaldía Local de Santa fe</t>
  </si>
  <si>
    <t>FECHA DE FORMULACION DD/MM/AA</t>
  </si>
  <si>
    <t>RESPONSABLE DEPENDENCIA</t>
  </si>
  <si>
    <t>Alcalde/sa Local de Santa fe</t>
  </si>
  <si>
    <t>OBJETIVO ESTRATÉGICO</t>
  </si>
  <si>
    <t>OBJETIVO DE CALIDAD</t>
  </si>
  <si>
    <t>PROCESO</t>
  </si>
  <si>
    <t>Identificación Meta Especifica</t>
  </si>
  <si>
    <t>META PROCESO</t>
  </si>
  <si>
    <t>POND META</t>
  </si>
  <si>
    <t>ESTRUCTURA DEL INDICADOR</t>
  </si>
  <si>
    <t>Tipo de Anualización</t>
  </si>
  <si>
    <t>CUANTIFICACIÓN DE LA META</t>
  </si>
  <si>
    <t>INDICADOR</t>
  </si>
  <si>
    <t>I</t>
  </si>
  <si>
    <t>II</t>
  </si>
  <si>
    <t>III</t>
  </si>
  <si>
    <t>IV</t>
  </si>
  <si>
    <t>ANUAL</t>
  </si>
  <si>
    <t>Avance Anual Plan de Gestión</t>
  </si>
  <si>
    <t>NOMBRE</t>
  </si>
  <si>
    <t>DEFINICIÓN</t>
  </si>
  <si>
    <t>FÓRMULA</t>
  </si>
  <si>
    <t>TIPO DE INDICADOR</t>
  </si>
  <si>
    <t>FUENTE DE DATOS DE INDICADOR</t>
  </si>
  <si>
    <t>OBSERVACIONES</t>
  </si>
  <si>
    <t>Prog</t>
  </si>
  <si>
    <t>Eject</t>
  </si>
  <si>
    <t>% Eject</t>
  </si>
  <si>
    <t>NUMERADOR ( Nombre de la Variable)</t>
  </si>
  <si>
    <t>DENOMINADOR ( Nombre de la variable)</t>
  </si>
  <si>
    <t>TRIMESTRE I</t>
  </si>
  <si>
    <t>TRIMESTRE II</t>
  </si>
  <si>
    <t>TRIMESTRE III</t>
  </si>
  <si>
    <t>TRIMESTRE IV</t>
  </si>
  <si>
    <t>TIPO DE PROCESOS: ESTRATÉGICOS</t>
  </si>
  <si>
    <t>Programado</t>
  </si>
  <si>
    <t>Ejecutado</t>
  </si>
  <si>
    <t>Análisis de avance</t>
  </si>
  <si>
    <t>Medio de verificación.</t>
  </si>
  <si>
    <t>Mejorar y fortalecer la capacidad institucional en el marco de la modernización de la gestión administrativa que permita el cumplimiento de su que hacer misional</t>
  </si>
  <si>
    <t>GESTIÓN DE COMUNICACIONES</t>
  </si>
  <si>
    <t>Realizar 2 campañas comunicativas orientadas a difundir los servicios institucionales y promover el control social. (Meta nivel local)</t>
  </si>
  <si>
    <t xml:space="preserve">Cantidad </t>
  </si>
  <si>
    <t>Suma</t>
  </si>
  <si>
    <t>Campañas comunicativas realizadas</t>
  </si>
  <si>
    <t xml:space="preserve">El indicador mide la cantidad de campañas de comunicación realizadas en relación a su programación, las mimas están orientadas a difundir servicios institucionales u orientadas a promover el control social </t>
  </si>
  <si>
    <t>N° de campañas realizadas</t>
  </si>
  <si>
    <t>N° de campañas programadas</t>
  </si>
  <si>
    <t>Eficacia</t>
  </si>
  <si>
    <t>Piezas comunicativas generadas para la campaña y trabajo en redes sociales pagina web y medios de comunicación.</t>
  </si>
  <si>
    <t>NA</t>
  </si>
  <si>
    <t>Se cambio la prioridad para ejecutar primero las campañas de comunicación interna</t>
  </si>
  <si>
    <t>Se llevo a cabo la campaña yo soy trasparente, la cual buscaba que los funcionarios ratificarán su compromiso con la trasparencia y la ciuadadanía conociera del tema</t>
  </si>
  <si>
    <t>Fotos del evento</t>
  </si>
  <si>
    <t>Se ejecutaron las campañas de Comité Local de Infancia y Adolescencia en Noviembre y la campaña de no violencia contra la mujer en Diciembre</t>
  </si>
  <si>
    <t>Carpeta del plan de comunicaciones, diseños y fotos</t>
  </si>
  <si>
    <r>
      <t xml:space="preserve">Formular </t>
    </r>
    <r>
      <rPr>
        <sz val="10"/>
        <color indexed="10"/>
        <rFont val="Arial"/>
        <family val="2"/>
      </rPr>
      <t xml:space="preserve">1 </t>
    </r>
    <r>
      <rPr>
        <sz val="11"/>
        <color theme="1"/>
        <rFont val="Calibri"/>
        <family val="2"/>
        <scheme val="minor"/>
      </rPr>
      <t>plan de comunicaciones para la generación, acceso y democratización de la información soporte para la toma de decisiones de la entidad. (Meta nivel local).</t>
    </r>
  </si>
  <si>
    <t>Plan de comunicación formulado para la generación, acceso y democratización de la información</t>
  </si>
  <si>
    <t xml:space="preserve">El indicador mide la formulación del plan de comunicaciones en relación a la fecha programada para su formulación. </t>
  </si>
  <si>
    <t>N° de planes de comunicación formulados</t>
  </si>
  <si>
    <t>N° planes de comunicación Programados</t>
  </si>
  <si>
    <t>Plan aprobado por el Alcalde</t>
  </si>
  <si>
    <t>Se diseño y aprobó el plan de comunicaciones 2015 el 17 de marzo de 2015</t>
  </si>
  <si>
    <t>Acta Físico</t>
  </si>
  <si>
    <r>
      <t xml:space="preserve">Formular </t>
    </r>
    <r>
      <rPr>
        <sz val="10"/>
        <color indexed="8"/>
        <rFont val="Arial"/>
        <family val="2"/>
      </rPr>
      <t>6</t>
    </r>
    <r>
      <rPr>
        <sz val="11"/>
        <color theme="1"/>
        <rFont val="Calibri"/>
        <family val="2"/>
        <scheme val="minor"/>
      </rPr>
      <t xml:space="preserve"> estrategias de comunicación externa  e interna para la entidad.  (Meta nivel local).</t>
    </r>
  </si>
  <si>
    <t>Estrategias de comunicación internas y externas formuladas</t>
  </si>
  <si>
    <t xml:space="preserve">El indicador mide la cantidad de estrategias de comunicación formuladas en relación a una cantidad determinada de estrategias programadas de tal manera que se cumplan con los procedimientos establecidos en el SIG. </t>
  </si>
  <si>
    <t>N° de estrategias  comunicativas Formuladas</t>
  </si>
  <si>
    <t>N° de estrategias comunicativas programadas</t>
  </si>
  <si>
    <t>publicaciones en los diferentes medios con que cuenta la Alcaldía para difusión</t>
  </si>
  <si>
    <t>Se ejecutaron las siguientes estrategias:
1 - Estandarización de carteleras institucionales Enero
2 – Estrategia de medios alternativos permanente</t>
  </si>
  <si>
    <t>Actas físicas de reuniones consejo de comunicación social</t>
  </si>
  <si>
    <t>Se mantienen las estrategias permanente de:
*  Cartelera de cumpleaños, de punto informativo en entidades laborales, deinformacion entidades y una de IDU
*  Redes sociales externo permanente de asuntos y eventos de relevancia pag web, facebook y twiter
*  Reuniones permanentes con el Consejo Local de Comunicación
*  Apoyo a campaña de logros locales de la Alcaldía mayor
*   Visualización de la gestion de la entidad en  boletines y en radio 
Adicionalmente se ejecutaron las siguientes estrategias:
* La campaña de un pajarito me contó para incrementar el uso del correo institucional zimbra y para uso de redes sociales 
* A través del convenio 072-2015  se implemento la estrategia de medio alternativos y comunitarios para fortalecimiento de los medos de la localidad  y esta en caracterización y prensa y comunicación</t>
  </si>
  <si>
    <t>Contrato 072
Imagenes de los boletines y del pajarito me conto</t>
  </si>
  <si>
    <t>Se mantienen las estrategias permanente de:
*  Cartelera de cumpleaños, de punto informativo en entidades laborales, deinformacion entidades y una de IDU
*  Redes sociales externo permanente de asuntos y eventos de relevancia pag web, facebook y twiter
*  Reuniones permanentes con el Consejo Local de Comunicación
*  Apoyo a campaña de logros locales de la Alcaldía mayor
*   Visualización de la gestion de la entidad en  boletines y en radio 
Adicionalmente se ejecutaron las siguientes estrategias:
* Articulación con SDG
+ Proyecto de Fortalecimiento</t>
  </si>
  <si>
    <t>TIPO DE PROCESOS DE APOYO</t>
  </si>
  <si>
    <t>GESTIÓN Y ADQUISICIÓN DE RECURSOS (LOCAL)</t>
  </si>
  <si>
    <r>
      <t xml:space="preserve">Registrar el </t>
    </r>
    <r>
      <rPr>
        <sz val="10"/>
        <color indexed="10"/>
        <rFont val="Arial"/>
        <family val="2"/>
        <charset val="1"/>
      </rPr>
      <t>100</t>
    </r>
    <r>
      <rPr>
        <sz val="10"/>
        <color indexed="8"/>
        <rFont val="Arial"/>
        <family val="2"/>
        <charset val="1"/>
      </rPr>
      <t>% de las modificaciones al Plan Anual de Adquisiciones en el SECOP, Contratación a la vista y página web de la Alcaldía antes de iniciar el proceso contractual.</t>
    </r>
  </si>
  <si>
    <t>Porcentaje</t>
  </si>
  <si>
    <t>Constante</t>
  </si>
  <si>
    <t>Modificaciones al Plan Anual de Adquisiciones, registradas en el SECOP, Contratación a la vista y página web de la Alcaldía antes de iniciar el proceso contractual.</t>
  </si>
  <si>
    <t>El indicador mide el porcentaje de modificaciones al plan de adquisiciones que se  registran en el SECOP, Contratación a la vista y página Web de la alcaldía antes del inicio del proceso contractual.
Decreto 1510 de 2013. Artículo 7°. Actualización del Plan Anual de Adquisiciones. La Entidad Estatal debe actualizar el Plan Anual de Adquisiciones por lo menos una vez durante su vigencia, en la forma y la oportunidad que para el efecto disponga Colombia Compra Eficiente. 
La Entidad Estatal debe actualizar el Plan Anual de Adquisiciones cuando: (i) haya ajustes en los cronogramas de adquisición, valores, modalidad de selección, origen de los recursos; (ii) para incluir nuevas obras, bienes y/o servicios; (iii) excluir obras, bienes y/o servicios; o (iv) modificar el presupuesto anual de adquisiciones
Manual de Contratación Local 2L-GAR-M1
Plan Anticorrupción y de Atención a la Ciudadanía</t>
  </si>
  <si>
    <t>N° de modificaciones al plan de adquisiciones registradas en el SECOP, Contratación a la vista y página web de la Alcaldía antes de iniciar el proceso contractual</t>
  </si>
  <si>
    <t>N° de modificaciones aprobadas en comité de contratación</t>
  </si>
  <si>
    <t xml:space="preserve">Documento modificado en los aplicativos vigentes
</t>
  </si>
  <si>
    <t>Se realizó tres modificaciones en:1) Modalidad de Contratación en consecutivo 15 y 16 y lo correspondiente a valores.  Las mismas fueron publicadas en el portal de contratación</t>
  </si>
  <si>
    <t>Página de contratación a la vista, SECOP</t>
  </si>
  <si>
    <t>Se realizaron 2 publicaciones sobre actualización del Plan Anual de adquisiciones en la Pagina Web del SECOP, de igual forma se realizo la actualización de los items  50,49,48, 46 y 45 de Contratación a la vista</t>
  </si>
  <si>
    <t>Se realizaron 5 modificaciones (items) al Plan de Contratacion el cual fue publicado en la pagina de SECOP y la pagina web de la entidad</t>
  </si>
  <si>
    <t>Plan Anual publicado en la Pagina Web de la entidad y SECOP</t>
  </si>
  <si>
    <t>Se realizaron 3 modificaciones (items) al Plan de Contratacion el cual fue publicado en la pagina de SECOP y la pagina web de la entidad-Dentro del mismo archivo</t>
  </si>
  <si>
    <r>
      <t xml:space="preserve">Comprometer el </t>
    </r>
    <r>
      <rPr>
        <sz val="10"/>
        <color indexed="10"/>
        <rFont val="Arial"/>
        <family val="2"/>
      </rPr>
      <t>97%</t>
    </r>
    <r>
      <rPr>
        <sz val="10"/>
        <color indexed="8"/>
        <rFont val="Arial"/>
        <family val="2"/>
      </rPr>
      <t xml:space="preserve"> del presupuesto de inversión asignado a la vigencia</t>
    </r>
  </si>
  <si>
    <t>Creciente</t>
  </si>
  <si>
    <t>Presupuesto de inversión comprometido</t>
  </si>
  <si>
    <t>El indicador mide el porcentaje del presupuesto de inversión, asignado a la vigencia, que se ha logrado comprometido de manera acumulada 
El presupuesto que se tiene en cuenta es el de inversión ( Código 3-3-1 Directa)</t>
  </si>
  <si>
    <t>Valor del presupuesto  de inversión comprometido</t>
  </si>
  <si>
    <t>Valor del presupuesto  inversión asignado a la vigencia</t>
  </si>
  <si>
    <r>
      <t xml:space="preserve">PREDIS
</t>
    </r>
    <r>
      <rPr>
        <sz val="10"/>
        <color indexed="8"/>
        <rFont val="Arial"/>
        <family val="2"/>
        <charset val="128"/>
      </rPr>
      <t>Inversión(Código 3-3-1 Directa)</t>
    </r>
  </si>
  <si>
    <t>VALOR PRESUPUESTO DE INVERSIÓN $14866625000</t>
  </si>
  <si>
    <t xml:space="preserve">Acumulado del rubro 3.3.1 columna 10 a marzo 31 2015 fue $5,798,417,069 y el valor del presupuesto asignado es de  $14.866.625.000.  </t>
  </si>
  <si>
    <t>PREDIS</t>
  </si>
  <si>
    <t>En Junio llego una adición presupuestal  por $6,119,520,000 con lo que se paso de un presupuesto de $14,866,625,000 a $20,986,145,000.   El acumulado de ejecución presupuestal a junio 30 fue de $8.151.842.198 con lo que la ejecución queda en 39%
De haberse mantenido el valor del presupuesto inicial el indicador sería 54,8%</t>
  </si>
  <si>
    <t>En Junio llego una adición presupuestal  por $6,119,520,000 y en julio se traslado de obligaciones por pagar de vigencias anteriores a vigencia por $147.076,174 con lo que se paso de un presupuesto de $14,866,625,000  a $21,133,221,174.   El acumulado de ejecución presupuestal a sep 30 fue de $16.037,395,812 con lo que la ejecución queda en 75,89%</t>
  </si>
  <si>
    <t>En Junio llego una adición presupuestal  por $6,119,520,000 y en julio se traslado de obligaciones por pagar de vigencias anteriores a vigencia por $147.076,174, en noviembre  se hace un traslado por  1,051,618,910, con lo que se paso de un presupuesto de $14,866,625,000  a $22,184,840,084.00.   El acumulado de ejecución presupuestal a Dic 31 fue de $19,466,060,027 con lo que la ejecución queda en 87,74%
Los $2.650.000.000 fueron asignados por el CONFIS para un proyecto específico de ayuda a mujeres desprotegidas,  cuya licitación fue declarada desierta</t>
  </si>
  <si>
    <r>
      <t xml:space="preserve">Girar el </t>
    </r>
    <r>
      <rPr>
        <sz val="10"/>
        <color indexed="12"/>
        <rFont val="Arial"/>
        <family val="2"/>
      </rPr>
      <t>29</t>
    </r>
    <r>
      <rPr>
        <sz val="10"/>
        <color indexed="8"/>
        <rFont val="Arial"/>
        <family val="2"/>
      </rPr>
      <t>% del presupuesto de inversión asignado a la vigencia 2015</t>
    </r>
  </si>
  <si>
    <t>Presupuesto de inversión girado</t>
  </si>
  <si>
    <t>El indicador mide el porcentaje del presupuesto de inversión, asignado a la vigencia, que se ha logrado girar  de manera acumulada 
El presupuesto que se tiene en cuenta es el de  inversión ( Código 3-3-1 Directa)</t>
  </si>
  <si>
    <t>Valor del presupuesto de inversión girado</t>
  </si>
  <si>
    <t>Valor del presupuesto de inversión asignado a la vigencia</t>
  </si>
  <si>
    <t>PREDIS
Inversión( Código 3-3-1 Directa)</t>
  </si>
  <si>
    <t>Linea base para las 20 localidades en 2014: 29%
VALOR PRESUPUESTO DE INVERSIÓN $14.866.625.000</t>
  </si>
  <si>
    <t xml:space="preserve">Acumulado del rubro 3.3.1 columna 13 a marzo 31 2015 fue $114,156,572 y el valor del presupuesto asignado es de  $14.866.625.000.  </t>
  </si>
  <si>
    <t>En Junio llego una adición presupuestal  por $6,119,520,000 con lo que se paso de un presupuesto de $14,866,625,000 a $20,986,145,000.   El giro acumulado a junio 30 fue de $1,077,971,494  que da un 5,14% de giros realizados.
De haberse mantenido el valor del presupuesto inicial el indicador sería 7%</t>
  </si>
  <si>
    <t>En Junio llego una adición presupuestal  por $6,119,520,000 y en julio se traslado de obligaciones por pagar de vigencias anteriores a vigencia por $147.076,174 con lo que se paso de un presupuesto de $14,866,625,000  a $21,133,221,174. El giro acumulado a junio 30 fue de $2.287.298.109  que da un 10,82% de giros realizados.
De haberse mantenido el valor del presupuesto inicial el indicador sería 15,38%</t>
  </si>
  <si>
    <t>En Junio llego una adición presupuestal  por $6,119,520,000 y en julio se traslado de obligaciones por pagar de vigencias anteriores a vigencia por $147.076,174 y en  noviembre  se hace un traslado por  1,051,618,910, con  lo que se paso de un presupuesto de $14,866,625,000  a $22,184,840,084.00. El giro acumulado a diciembre 31 fue de $8.316.568.739,  que da un 10,82% de giros realizados.
De haberse mantenido el valor del presupuesto inicial el indicador sería 15,38%</t>
  </si>
  <si>
    <r>
      <t xml:space="preserve">Girar el </t>
    </r>
    <r>
      <rPr>
        <sz val="10"/>
        <color indexed="12"/>
        <rFont val="Arial"/>
        <family val="2"/>
      </rPr>
      <t>65</t>
    </r>
    <r>
      <rPr>
        <sz val="10"/>
        <color indexed="8"/>
        <rFont val="Arial"/>
        <family val="2"/>
      </rPr>
      <t xml:space="preserve">% de las obligaciones por pagar constituidas con recursos de la vigencia 2014 y años anteriores (Inversión y funcionamiento) </t>
    </r>
  </si>
  <si>
    <t>Obligaciones por pagar constituidas con recursos de la vigencia 2014 y años anteriores giradas 
(Inversión y funcionamiento)</t>
  </si>
  <si>
    <t>El indicador mide el porcentaje de giros de las obligaciones por pagar de las obligaciones constituidas  con recursos de la vigencia 2014 y años anteriores en inversión y funcionamiento 
Para obligaciones por pagar en funcionamiento se tendrá en cuenta el rubro (Código 3-1-8 Obligaciones por pagar) y para inversión el rubro (3-3-6 Obligaciones por pagar)</t>
  </si>
  <si>
    <t>Valor del giro las obligaciones por pagar en inversión y funcionamiento</t>
  </si>
  <si>
    <t>Valor de las obligaciones por pagar en inversión y funcionamiento.</t>
  </si>
  <si>
    <t>PREDIS
Funcionamiento (Código 3-1-8 Obligaciones por pagar)
Inversión
(3-3-6 Obligaciones por pagar)</t>
  </si>
  <si>
    <t>Linea base para las 20 localidades en 2014: 65%
VALOR OBLIGACIONES POR PAGAR $5.006.105.000</t>
  </si>
  <si>
    <t xml:space="preserve"> El valor base inicial del rubro 3.3.6  fue de $17,701,672,000. Mediante decreto local 1 del 18-mar-2015 se realizo un ajuste a las obligaciones por pagar del rubro 3,3,6 por -$1,694,405,711.  Al final del primer trimestre el valor del rubro 3.3.6  fue de $16,007,266,289.
El valor base inicial del rubro 3.1.8 fue de  $265,781,000. Mediante decreto local 2 del 18-mar-2015 se realizaron traslados presupuestales para el  rubro 3.1.8 por $60.256,667.  Al final del primer trimestre el valor del rubro 3.1.8  fue de $326,037,667.
Así, el valor base total de obligaciones por pagar es de $16,333,303,956.
Los pagos del rubro 3.1.8 columna 13 fueron de $70,925,149  y para el rubro 3.3.6 columna 13  de $3,362,580,489 para un valor total de giros de obligaciones por pagar de $3,433,505,638</t>
  </si>
  <si>
    <t xml:space="preserve"> El valor base inicial del rubro 3.3.6 al final del primer trimestre el valor del rubro 3.3.6  fue de $16,007,266,289.  El acumulado a junio 30 fue de $7,318,352,582
El valor base inicial del rubro 3.1.8 al final del primer trimestre fue de $326,037,667 y el acumulado de giro al 30 de junio fue de $155,417,379
Así, el valor base total de obligaciones por pagar es de $16,333,303,956.
Para un valor total de giros de obligaciones por pagar de $7,473,769,961
El incremento en la ejecución se debe a que se está trabajando en el proyecto de depuración de obligaciones por pagar</t>
  </si>
  <si>
    <t xml:space="preserve"> El valor base inicial del rubro 3.3.6 al final del segundo trimestre el valor del rubro 3.3.6  fue de $16,007,266,289.  El acumulado de giros a septiembre  30 fue de $10.718.681.171
El valor base inicial del rubro 3.1.8 al final del segundo trimestre fue de $326.037.667y el acumulado de giro al 30 de septiembre fue de $155.417.379
Así, el valor base total de obligaciones por pagar es de $16.333.303.956
Para un valor total de giros de obligaciones por pagar de 10.874.098.550
El incremento en la ejecución se debe a que se está trabajando en el proyecto de depuración de obligaciones por pagar</t>
  </si>
  <si>
    <t xml:space="preserve"> El valor base final  del rubro 3.3.6 al final al 31 de diciembre de 2015   fue de $14.808.571.205.  El acumulado de giros  al 31 de diciembre fue de $13.777.746.757
El valor base final del rubro 3.1.8 al 31 de diciembre de 2015 fue de $278.693.319  y el acumulado de giro al 31 de diciembre fue de $244.996.117
Así, el valor base total de obligaciones por pagar es de $15.087.264.524
Para un valor total de giros de obligaciones por pagar de 14.022.742.874
El incremento en la ejecución se debe a que se está trabajando en el proyecto de depuración de obligaciones por pagar</t>
  </si>
  <si>
    <r>
      <t xml:space="preserve">Cumplir el </t>
    </r>
    <r>
      <rPr>
        <sz val="10"/>
        <color indexed="10"/>
        <rFont val="Arial"/>
        <family val="2"/>
      </rPr>
      <t>97%</t>
    </r>
    <r>
      <rPr>
        <sz val="10"/>
        <color indexed="8"/>
        <rFont val="Arial"/>
        <family val="2"/>
      </rPr>
      <t xml:space="preserve"> del PAC mensualmente</t>
    </r>
  </si>
  <si>
    <t xml:space="preserve">
Programación Anual de Caja (PAC) cumplido mensualmente</t>
  </si>
  <si>
    <t>El indicador mide el cumplimiento mensual de la programación del PAC</t>
  </si>
  <si>
    <t>Valor girado</t>
  </si>
  <si>
    <t xml:space="preserve">Valor programado
</t>
  </si>
  <si>
    <t xml:space="preserve">    Mes             Pagado            Programado     % Ejec. 
Ene            1.451.598.464       1.479.667.400   0,98 
Feb               799.754.833          805.453.771   0,99 
Mar            1.328.603.195       1.313.276.359   1,01 
1er trim     3.579.956.492        3.598.397.530   0,99 
En marzo el mayor valor pagado, corresponde al ajuste de las obligaciones por pagar pues hasta que no se dio el decreto no se podían cancelar</t>
  </si>
  <si>
    <t>PAC</t>
  </si>
  <si>
    <t xml:space="preserve">    Mes             Pagado            Programado   % Ejec. 
Abr        1.332,367,158       1.333,469,850    0,9996
May        2.071.383608        2.072.838.084   0,9996
Jun         1.681.487.153      1.681.312.038   0.9999 
2do trim  5.085.062.804       5.086.516.503  0,9997</t>
  </si>
  <si>
    <t xml:space="preserve">                     Pagado        Programado   % Ejec.
Jul            1.121.119.639  1.121.583.884  99,96%
Ago         1.759.335.563  1.767.234.719   99,55%
Sept         1.905.978.502  1.905.978.774  100,00%
3er trim.  4.786.433.704  4.794.797.377  99,83%
</t>
  </si>
  <si>
    <t xml:space="preserve">         Pagado                   Programado                     % Ejec.
Oct    2.540.617.118            2.540.617.118     100,00%
Nov     2.260.232.750          2.260.818.459      99,97%
Dic       4.593.435.020         4.601.367.295      99,83%
4to trim 9.394.284.888     9.402.802.872     99,91%
Total año 22.845.737.888    22.882.514.282    99,84%
</t>
  </si>
  <si>
    <r>
      <t xml:space="preserve">Ingresar </t>
    </r>
    <r>
      <rPr>
        <sz val="10"/>
        <color indexed="10"/>
        <rFont val="Arial"/>
        <family val="2"/>
      </rPr>
      <t>100</t>
    </r>
    <r>
      <rPr>
        <sz val="10"/>
        <color indexed="8"/>
        <rFont val="Arial"/>
        <family val="2"/>
      </rPr>
      <t>% de los bienes adquiridos para los proyectos de inversión en el aplicativo SAI Y SAE en los tiempos estipulados en el contrato evidenciando su trazabilidad</t>
    </r>
  </si>
  <si>
    <t>Bienes adquiridos por los proyectos de inversión ingresados en el aplicativo SAI Y SAE.</t>
  </si>
  <si>
    <t xml:space="preserve">El indicador mide el porcentaje de bienes para los proyectos de inversión que son ingresados al almacén a través del   aplicativo SAI y SAE – en la medición no se incluirían los bienes perecederos </t>
  </si>
  <si>
    <t>N° de bienes ingresados en el aplicativo SAI Y SAE</t>
  </si>
  <si>
    <t>N° de bienes adquiridos para los proyectos de inversión</t>
  </si>
  <si>
    <t>SAI y SAE</t>
  </si>
  <si>
    <t xml:space="preserve"> la trazabilidad se evidencia a través de aplicativo Orfeo. en la medición no se incluyen los bienes perecederos tales como alimentos, los cuales no entran directamente a almacén </t>
  </si>
  <si>
    <t>El indicador se aprobó en abril y la actividad se empieza a ejecutar  desde abril</t>
  </si>
  <si>
    <t xml:space="preserve">    Mes        Ingresos        Registros   % Ejec. 
Abr                8                     8             100
May             14                   14             100
Jun               24                  24              100
2do trim      46                  46              100</t>
  </si>
  <si>
    <t>SAI/SAE</t>
  </si>
  <si>
    <r>
      <t xml:space="preserve">   Mes        Ingresos        Registros   % Ejec. 
Jul                43                     43             100
Ago             40                     40             100
Sep                                               
3</t>
    </r>
    <r>
      <rPr>
        <vertAlign val="superscript"/>
        <sz val="10"/>
        <color indexed="8"/>
        <rFont val="Arial"/>
        <family val="2"/>
      </rPr>
      <t>er</t>
    </r>
    <r>
      <rPr>
        <sz val="10"/>
        <color indexed="8"/>
        <rFont val="Arial"/>
        <family val="2"/>
      </rPr>
      <t xml:space="preserve"> trim      83                 83            100</t>
    </r>
  </si>
  <si>
    <t>Mes        Ingresos        Registros   % Ejec. 
Oct                32                    32             100
Nov              38                     38             100
              Dic              33                      33            100             
4to trim       103                  103            100</t>
  </si>
  <si>
    <r>
      <t xml:space="preserve">Legalizar el </t>
    </r>
    <r>
      <rPr>
        <sz val="10"/>
        <color indexed="10"/>
        <rFont val="Arial"/>
        <family val="2"/>
      </rPr>
      <t>100</t>
    </r>
    <r>
      <rPr>
        <sz val="10"/>
        <color indexed="8"/>
        <rFont val="Arial"/>
        <family val="2"/>
      </rPr>
      <t>% de la entrega de los bienes adquiridos para proyectos de inversión en un término no superior a 10 días evidenciando su trazabilidad</t>
    </r>
  </si>
  <si>
    <t>Entrega de Bienes legalizados en un termino no superior a XXX días</t>
  </si>
  <si>
    <t>El indicador mide el porcentaje de bienes legalizados para los proyectos de inversión que fueron ingresados al almacén a través del   aplicativo SAI y SAE</t>
  </si>
  <si>
    <t xml:space="preserve"> N° de bienes legalizados en el lapso de tiempo establecido en la meta </t>
  </si>
  <si>
    <t>N°  de bienes ingresados en el aplicativo SAI Y SAE</t>
  </si>
  <si>
    <t xml:space="preserve"> La trazabilidad se evidencia a través de aplicativo Orfeo.
El tiempo máximo se toma de el mayor valor (de un conjunto de tiempos) de las salidas del almacén
</t>
  </si>
  <si>
    <t xml:space="preserve">    Mes        Egresos        Registros   % Ejec. 
Abr                8                     8             100
May             14                   14             100
Jun               24                  24              100
2do trim      46                  46              100</t>
  </si>
  <si>
    <r>
      <t xml:space="preserve">   Mes        Ingresos        Registros   % Ejec. 
Jul                43                     43             100
Ago             40                     40             100
Sep                                               
3</t>
    </r>
    <r>
      <rPr>
        <vertAlign val="superscript"/>
        <sz val="10"/>
        <color indexed="8"/>
        <rFont val="Arial"/>
        <family val="2"/>
      </rPr>
      <t>er</t>
    </r>
    <r>
      <rPr>
        <sz val="10"/>
        <color indexed="8"/>
        <rFont val="Arial"/>
        <family val="2"/>
      </rPr>
      <t xml:space="preserve"> trim      83                 83           100</t>
    </r>
  </si>
  <si>
    <t>TIPO DE PROCESOS MISIONALES</t>
  </si>
  <si>
    <t>Fortalecer la gobernabilidad local en materia policiva y administrativa, mediante acciones de prevención, inspección, vigilancia y control</t>
  </si>
  <si>
    <t>GESTIÓN NORMATIVA Y JURÍDICA LOCAL</t>
  </si>
  <si>
    <r>
      <t xml:space="preserve">
Responder  </t>
    </r>
    <r>
      <rPr>
        <sz val="10"/>
        <color indexed="10"/>
        <rFont val="Arial"/>
        <family val="2"/>
      </rPr>
      <t>100</t>
    </r>
    <r>
      <rPr>
        <sz val="10"/>
        <color indexed="8"/>
        <rFont val="Arial"/>
        <family val="2"/>
      </rPr>
      <t xml:space="preserve">% de las PQRS de manera integral por régimen de obras, establecimientos de comercio, espacio publico y propiedad horizontal </t>
    </r>
  </si>
  <si>
    <t xml:space="preserve">
Respuesta integral de las PQRS que llegan por régimen de obras, establecimientos de comercio, espacio publico y propiedad horizontal  </t>
  </si>
  <si>
    <t>El indicador mide el porcentaje de PQRS que que son respondidas de manera integral (Respuestas que contengan las entidades a las que se ha oficiado por competencia y/o Orden de trabajo), en relación a la cantidad de PQRS recibidas mensualmente.
Con el indicador se pretende medir la carga laboral de las coordinaciones jurídicas y las oficinas de obras.
Los PQRS cuyo tiempo legal (Periodo comprendido entre la radicación y respuesta ) se encuentre entre dos trimestres consecutivos, deberán pasar sus datos para el calculo del indicador para el trimestre inmediatamente posterior.</t>
  </si>
  <si>
    <t>N° de respuestas integrales emitidas mensualmente</t>
  </si>
  <si>
    <t>N° de PQRS recibidas mensualmente</t>
  </si>
  <si>
    <t>SDQS</t>
  </si>
  <si>
    <t>El término integral en esta meta hace referencia a a que la respuestas contengan información sobre:
- Entidades a las que se ha oficiado por competencia.
- Orden de trabajo  
Los datos para el calculo del indicador deben tener en cuenta el tiempo legal requerido para dar respuestas a las PQRS. En este sentido, el periodo de tiempo entre la radicación y la respuesta, puede ser un periodo de tiempo que coincida con un corte trimestral y donde se halle entre dos trimestres consecutivos. Por lo tanto, para el calculo del indicador, deben tenerse en cuenta los datos generados por los PQRS en el trimestre inmediatamente posterior.</t>
  </si>
  <si>
    <t>En enero radicaron 160 PQRS
En Feb radicaron 265 PQRS
En Mar radicaron 214 PQRS
Total de PQRS radicadas en el trimestre 639
A 31 de marzo quedaron 4 requerimientos en tramite</t>
  </si>
  <si>
    <t>En enero radicaron 160 PQS</t>
  </si>
  <si>
    <t>En abr radicaron 156 PQRS
En May radicaron 188 PQRS
En Jun radicaron 143 PQRS
Total de PQRS radicadas en el trimestre 487
A 31 de marzo quedaron 5 requerimientos en tramite</t>
  </si>
  <si>
    <t>Informes Servicio de atención a la ciudadanía</t>
  </si>
  <si>
    <t>En jul radicaron 197 PQRS
En Ago radicaron 141 PQRS
En Sep radicaron 190 PQRS
Total de PQRS radicadas en el trimestre 528
A 31 de septiembre quedaron 7 requerimientos en tramite</t>
  </si>
  <si>
    <t>En oct  radicaron 197 PQRS
En Nov radicaron 141 PQRS
En Dic radicaron 190 PQRS
Total de PQRS radicadas en el trimestre 528
A 31 de diciembre estaban pendiente de tramite 25</t>
  </si>
  <si>
    <r>
      <t xml:space="preserve">Registrar el </t>
    </r>
    <r>
      <rPr>
        <sz val="10"/>
        <color indexed="10"/>
        <rFont val="Arial"/>
        <family val="2"/>
      </rPr>
      <t>100</t>
    </r>
    <r>
      <rPr>
        <sz val="10"/>
        <color indexed="8"/>
        <rFont val="Arial"/>
        <family val="2"/>
      </rPr>
      <t>% de expedientes (ACTIVOS)  del 2014 y años anteriores en el aplicativo SI ACTUA (Previo inventario de expedientes físicos)</t>
    </r>
    <r>
      <rPr>
        <sz val="10"/>
        <color indexed="12"/>
        <rFont val="Arial"/>
        <family val="2"/>
      </rPr>
      <t xml:space="preserve"> Establecimientos de comercio
NO APLICA</t>
    </r>
  </si>
  <si>
    <r>
      <t xml:space="preserve">
</t>
    </r>
    <r>
      <rPr>
        <sz val="10"/>
        <color indexed="8"/>
        <rFont val="Arial"/>
        <family val="2"/>
      </rPr>
      <t>Expedientes anteriores al 2014 en establecimientos de comercio  registrados en el aplicativo SI ACTUA</t>
    </r>
  </si>
  <si>
    <t>El indicador mide el porcentaje de  Expedientes en físico (activos) registrados en el aplicativo SI ACTÚA del 2014 y años anteriores en establecimientos de comercio
Estos expedientes son los que en la actualidad no se encuentren registrados y hacen parte del inventario en físico
Para la fuente de datos del indicador, se utilizará el documento de apoyo denominad:  Formato Inventario expedientes plan de gestión</t>
  </si>
  <si>
    <t xml:space="preserve">N° de expedientes en establecimientos de comercio registrados en el aplicativo SI ACTUA </t>
  </si>
  <si>
    <t>N° de expedientes inventariados físicamente en Establecimientos de Comercio</t>
  </si>
  <si>
    <t>Formato Inventario expedientes plan de gestión</t>
  </si>
  <si>
    <t>La meta hace referencia al registro de expedientes en físico que aún no se han registrado en el SI ACTÚA.
La actualización de los expedientes se asume por procedimiento y no se incluiría en la meta.
La meta se formula para subsanar las debilidades del proceso que no se han podido subsanar por planes de mejoramiento. Por lo tanto el objetivo consiste en tener todos los expedientes en físico registrados en el aplicativo
En el año 2014,  Santa Fe cumplió esta meta.
La meta hace referencia al registro de expedientes en físico que aún no se han registrado en el SI ACTÚA.
La actualización de los expedientes se asume por procedimiento y no se incluiría en la meta.
La meta se formula para subsanar las debilidades del proceso que no se han podido subsanar por planes de mejoramiento. Por lo tanto el objetivo consiste en tener todos los expedientes en físico registrados en el aplicativo</t>
  </si>
  <si>
    <r>
      <t>Registrar el</t>
    </r>
    <r>
      <rPr>
        <sz val="10"/>
        <color indexed="10"/>
        <rFont val="Arial"/>
        <family val="2"/>
      </rPr>
      <t xml:space="preserve"> 100</t>
    </r>
    <r>
      <rPr>
        <sz val="10"/>
        <color indexed="8"/>
        <rFont val="Arial"/>
        <family val="2"/>
      </rPr>
      <t xml:space="preserve">% de expedientes (ACTIVOS)  del 2014 y años anteriores en el aplicativo SI ACTUA (Previo inventario de expedientes físicos) </t>
    </r>
    <r>
      <rPr>
        <sz val="10"/>
        <color indexed="12"/>
        <rFont val="Arial"/>
        <family val="2"/>
      </rPr>
      <t>Espacio Público
NO ALICA</t>
    </r>
  </si>
  <si>
    <r>
      <t xml:space="preserve">
</t>
    </r>
    <r>
      <rPr>
        <sz val="10"/>
        <color indexed="8"/>
        <rFont val="Arial"/>
        <family val="2"/>
      </rPr>
      <t>Expedientes anteriores al 2014 en espacio público registrados en el aplicativo SI ACTUA</t>
    </r>
  </si>
  <si>
    <t>El indicador mide el porcentaje de  Expedientes en físico (activos) registrados en el aplicativo SI ACTÚA del 2014 y años anteriores en espacio público
Estos expedientes son los que en la actualidad no se encuentren registrados y hacen parte del inventario en físico
Para la fuente de datos del indicador, se utilizará el documento de apoyo denominad:  Formato Inventario expedientes plan de gestión</t>
  </si>
  <si>
    <t>N° de expedientes inventariados físicamente en Espacio Público</t>
  </si>
  <si>
    <t>La meta hace referencia al registro de expedientes en físico que aún no se han registrado en el SI ACTÚA.
La actualización de los expedientes se asume por procedimiento y no se incluiría en la meta.
La meta se formula para subsanar las debilidades del proceso que no se han podido subsanar por planes de mejoramiento. Por lo tanto el objetivo consiste en tener todos los expedientes en físico registrados en el aplicativo
En el año 2014 Santa Fe cumplió esta meta.
La meta hace referencia al registro de expedientes en físico que aún no se han registrado en el SI ACTÚA.
La actualización de los expedientes se asume por procedimiento y no se incluiría en la meta.
La meta se formula para subsanar las debilidades del proceso que no se han podido subsanar por planes de mejoramiento. Por lo tanto el objetivo consiste en tener todos los expedientes en físico registrados en el aplicativo</t>
  </si>
  <si>
    <r>
      <t>Registrar el</t>
    </r>
    <r>
      <rPr>
        <sz val="10"/>
        <color indexed="10"/>
        <rFont val="Arial"/>
        <family val="2"/>
      </rPr>
      <t xml:space="preserve"> 100</t>
    </r>
    <r>
      <rPr>
        <sz val="10"/>
        <color indexed="8"/>
        <rFont val="Arial"/>
        <family val="2"/>
      </rPr>
      <t xml:space="preserve">% de expedientes (ACTIVOS)  del 2014 y años anteriores en el aplicativo SI ACTUA (Previo inventario de expedientes físicos) </t>
    </r>
    <r>
      <rPr>
        <sz val="10"/>
        <color indexed="12"/>
        <rFont val="Arial"/>
        <family val="2"/>
      </rPr>
      <t>Obras
NO APLICA</t>
    </r>
  </si>
  <si>
    <r>
      <t xml:space="preserve">
</t>
    </r>
    <r>
      <rPr>
        <sz val="10"/>
        <color indexed="8"/>
        <rFont val="Arial"/>
        <family val="2"/>
      </rPr>
      <t>Expedientes anteriores al 2014 en Obras registrados en el aplicativo SI ACTUA</t>
    </r>
  </si>
  <si>
    <t>El indicador mide el porcentaje de  Expedientes en físico (activos) registrados en el aplicativo SI ACTÚA del 2014 y años anteriores en Obras
Estos expedientes son los que en la actualidad no se encuentren registrados y hacen parte del inventario en físico
Para la fuente de datos del indicador, se utilizará el documento de apoyo denominad:  Formato Inventario expedientes plan de gestión</t>
  </si>
  <si>
    <t xml:space="preserve">N° de expedientes en Obras registrados en el aplicativo SI ACTUA </t>
  </si>
  <si>
    <t>N° de expedientes inventariados físicamente en Obras</t>
  </si>
  <si>
    <t xml:space="preserve">La meta hace referencia al registro de expedientes en físico que aún no se han registrado en el SI ACTÚA.
La actualización de los expedientes se asume por procedimiento y no se incluiría en la meta.
La meta se formula para subsanar las debilidades del proceso que no se han podido subsanar por planes de mejoramiento. Por lo tanto el objetivo consiste en tener todos los expedientes en físico registrados en el aplicativo
En el año 2014 Santa Fe cumplió esta meta.
La meta hace referencia al registro de expedientes en físico que aún no se han registrado en el SI ACTÚA.
</t>
  </si>
  <si>
    <t>Proferir 100 actos administrativos pertinentes al control en establecimientos de comercio y espacio público</t>
  </si>
  <si>
    <t>Cantidad</t>
  </si>
  <si>
    <t>Actos administrativos proferidos pertinentes al control en establecimientos de comercio y espacio público</t>
  </si>
  <si>
    <r>
      <t xml:space="preserve">El indicador mide la cantidad de actos administrativos proferidos en relación con su programación
Los actos administrativos que se miden hacen referencia a:
</t>
    </r>
    <r>
      <rPr>
        <sz val="10"/>
        <color indexed="8"/>
        <rFont val="Arial"/>
        <family val="2"/>
      </rPr>
      <t>- formulación de cargos
- sanción
- archivo
- resuelve el recurso de reposición
- perdida de fuerza ejecutoria
Revocatoria
Este indicador obtiene datos del indicador de la meta 6</t>
    </r>
  </si>
  <si>
    <t>N° de Actos administrativos proferidos</t>
  </si>
  <si>
    <t>N° de Actos administrativos programados</t>
  </si>
  <si>
    <r>
      <t xml:space="preserve">Los actos administrativos  se refieren a :
formulación de cargos
sanción
archivo
resuelve el recurso de reposición
perdida de fuerza ejecutoria
Revocatoria
la cuales se asumen firmadas por el alcalde local.
</t>
    </r>
    <r>
      <rPr>
        <b/>
        <sz val="10"/>
        <color indexed="8"/>
        <rFont val="Arial"/>
        <family val="2"/>
      </rPr>
      <t>La base de trabajo son 100 expedientes de establecimientos de comercio y 21 expedientes de espacio público.</t>
    </r>
  </si>
  <si>
    <t>se dictaron 12 actos administrativos dentro de los cuales están: formulación de cargos, liquidación de multa, archivo, tramite a recursos de reposición, revocatoria, ya que a la fecha no se cuenta con coordinador del Grupo de Gestión Jurídica, el Asesor Jurídico</t>
  </si>
  <si>
    <t>SI ACTUA</t>
  </si>
  <si>
    <t>Situación inicial:  se programaron 120 actos contando con tres abogados en el área: el coordinador, el asesor y un abogado de apoyo
Situación actual: A partir de mitad de enero trasladaron al coordinador jurídico y el nuevo coordinador llego a partir del 1o de junio.  El abogado de obras estaba a cargo de la coordinación y de la asesoría de obras, adicionalmente la asesora de obra tuvo una incapacidad en mayo por lo cual también estaba  cargo lo que redujo el tiempo/ abogado asignado para esta labor.   Con la llegada del nuevo coordinador se hizo un cambio en la directriz jurídica para resolver los casos de fondo
En establecimientos de comercio: tres en archivo, una liquidación de multa y una revocatoria directa;  en espacio público seis de archivo</t>
  </si>
  <si>
    <t>14 de establecimientos de comercio  y 17 de espacio publico</t>
  </si>
  <si>
    <t xml:space="preserve">carpeta operativos </t>
  </si>
  <si>
    <t>Se fallaron 30 de establecimientos de comercio y 2 de espacio publico</t>
  </si>
  <si>
    <t>Fallar el 13% de las actuaciones administrativas con la primera decisión de fondo  en materia de establecimientos de comercio y espacio publico del 2014 y años anteriores</t>
  </si>
  <si>
    <t xml:space="preserve"> Actuaciones administrativas  en materia de establecimientos de comercio y espacio publico del 2014 y años anteriores falladas con la primera decisión de fondo </t>
  </si>
  <si>
    <t>El indicador mide el porcentaje de expedientes que se fallan con la primera decisión de fondo en relación con el total de expedientes pendientes de fallo 
Las actuaciones administrativas hacen referencia a Establecimientos de comercio y espacio público</t>
  </si>
  <si>
    <t>N°  actuaciones administrativas en espacio público y establecimientos de comercio falladas con la primera decisión de fondo</t>
  </si>
  <si>
    <t xml:space="preserve">N° .de expedientes en establecimientos de comercio y espacio público  inventariados físicamente
</t>
  </si>
  <si>
    <t>Este punto depende del número de abogados que disponga la dependencia.  El valor dado es cada abogado.  Actualmente no tenemos coordinador Jurídico y tenemos un abogado por contrato
Actualmente se tienen 101 expedientes de establecimientos y 24 de espacio publico, para un total de 125
La primera decisión de fondo se refiere a: Resolución de sanción o resolución de archivo.
El objetivo consiste en la descongestión de las actuaciones administrativas. La primera decisión de fondo se refiere a: Resolución de sanción o resolución de archivo.
El objetivo consiste en la descongestión de las actuaciones administrativas. SE TIENE COMO BASE 121 ACTUACIONES ADMINISTRATIVAS (100 E.C Y 21 E.P.) PARA DECISION DE FONDO DE PRIMERA VEZ.</t>
  </si>
  <si>
    <t>se supera le meta del trimestre, ya que se dictaron 8 fallos de archivo de expedientes en los cuales
El 13% programado para la vigencia equivale a 16 expedientes de los cuales en este trimestre se fallaron en primera decisión de fondo 8, por que  los establecimientos de comercio dejaron de funcionar.</t>
  </si>
  <si>
    <t>En este trimestre se fallaron en primera decisión de fondo cuatro expedientes</t>
  </si>
  <si>
    <t>En este trimestre se fallaron en primera decisión de fondo cinco  expedientes  de establecimientos de comercio:   2 de parqueaderos, 2 bares y una asociación</t>
  </si>
  <si>
    <t>carpeta de operativos</t>
  </si>
  <si>
    <t>Se fallaron 12 proceos  de establecimientos de comercio</t>
  </si>
  <si>
    <t>Proferir 100 actos administrativos pertinentes al régimen de obras</t>
  </si>
  <si>
    <t>Actos administrativos proferidos pertinentes al régimen de obras</t>
  </si>
  <si>
    <t xml:space="preserve">"El indicador mide la cantidad de actos administrativos proferidos en relación con su programación
- Resolución de formulación de cargos
- Resolución de sanción
- resolución de archivo
- resolución que resuelve el recurso de reposición
- resolución de perdida de fuerza ejecutoria
Este indicador obtiene datos del indicador de la metas 7 y 8
</t>
  </si>
  <si>
    <t>Los actos administrativos (resoluciones) se refieren :
Resolución de formulación de cargos
Resolución de sanción
resolución de archivo
resolución que resuelve el recurso de reposición
resolución de perdida de fuerza ejecutoria
la cuales se asumen firmadas por el alcalde local.
100</t>
  </si>
  <si>
    <t>Se sobrepaso la meta porque se cuenta con un abogado de apoyo</t>
  </si>
  <si>
    <t>Carpeta de resoluciones</t>
  </si>
  <si>
    <t xml:space="preserve">Durante este trimestre la asesora de obras, ha tenido incapacidades por lo cual la meta trimestral no se logró.  Sin embargo, la meta esperada al semestre se va  cumpliendo teniendo en cuenta que el trimestre anterior se supero la meta </t>
  </si>
  <si>
    <t>Se dictaron 30 Actos Administrativos  dentro de los cuales están: formulación de cargos, liquidación de multa, archivo, tramite a recursos de reposición, revocatoria.</t>
  </si>
  <si>
    <t xml:space="preserve">Se dictaron 29 Actos Administrativos  dentro de los cuales están: formulación de cargos, liquidación de multa, archivo, tramite a recursos de reposición, revocatoria.
</t>
  </si>
  <si>
    <t>Fallar el XXX% de las actuaciones administrativas con la primera decisión de fondo en materia de obras y urbanismo, aperturadas en el 2010 y años anteriores, de conformidad con lo establecido legalmente con base en la labor de impulso procesal
NO APLICA</t>
  </si>
  <si>
    <t xml:space="preserve">Actuaciones administrativas en materia de obras y urbanismo del 2010 y años anteriores falladas con la primera decisión de fondo  </t>
  </si>
  <si>
    <t>El indicador mide el porcentaje de expedientes que se  fallan con la primera decisión de fondo en relación con el total de expedientes pendientes de fallo
  Las actuaciones son aquellas aperturadas en el 2010 y años anteriores
Las actuaciones administrativas hacen referencia a obras</t>
  </si>
  <si>
    <t>N°  actuaciones administrativas en obras y urbanismo falladas con la primera decisión de fondo del 2010 y años anteriores.</t>
  </si>
  <si>
    <t>N° de expedientes en obras y urbanismo inventariados físicamente del 2010 y anteriores.</t>
  </si>
  <si>
    <t>En el año 2014 se cumplió esta meta.</t>
  </si>
  <si>
    <t>Fallar el 100% de las actuaciones administrativas con la primera decisión de fondo en materia de obras y urbanismo, aperturadas entre el 2011 al 2013, de conformidad con lo establecido legalmente con base en la labor de impulso procesal.</t>
  </si>
  <si>
    <t xml:space="preserve">Actuaciones administrativas en materia de obras y urbanismo del  2011 al 2013 falladas con la primera decisión de fondo  </t>
  </si>
  <si>
    <t>El indicador mide el porcentaje de expedientes que se  fallan con la primera decisión de fondo en relación con el total de expedientes pendientes de fallo
  Las actuaciones son aquellas aperturadas entre el 2010 al 2013
Las actuaciones administrativas hacen referencia a obras</t>
  </si>
  <si>
    <t>N°  actuaciones administrativas en obras y urbanismo falladas con la primera decisión de fondo del 2011 al 2013</t>
  </si>
  <si>
    <t>N° de expedientes en obras y urbanismo inventariados físicamente del  2011 al 2013</t>
  </si>
  <si>
    <t>CARPETA DE RESOLUCIONES                                                            SE TIENE 30 ACTUACIONES ADMINISTRATIOVAS PARA DECISION DE FONDO DE PRIMERA .</t>
  </si>
  <si>
    <t>No se cumplió la meta por cuanto a la fecha las actuaciones se encuentran con formulación de descargos o traslados de alegatos de conclusiones cumpliendo así su etapa procesal como lo establece el artículo 47 del CPACA.</t>
  </si>
  <si>
    <t>Se reprogramo la meta por cuanto las actuaciones se encuentra con alegatos de conclusión  
Condiciones iniciales:  como recursos se tienen el abogado asesor de obras y un abogado de apoyo. En la actualidad se tienen 2 fallos de primera vez a las actuaciones administrativas  La razón es que por el  ajuste de la ley 1437 en su artículo 47 y también por la incapacidad que ha tenido la asesora de obras en este trimestre</t>
  </si>
  <si>
    <t xml:space="preserve">CARPETA DE RESOLUCIONES </t>
  </si>
  <si>
    <t>SE FALLARON 9 ACTUACIONES ADMINISTRATIVAS APERTURADAS ENTRE EL 2011 AL 2013 QUEDANDO PENDIENTE POR FALLAR 4 A.A. PARA CUMPLIR LA META YA QUE EN ALGUNAS ACTUACIONES SE ENCUENTRAN CON ALEGATOS DE CONCLUSION O CON AUTO DE PRUEBAS.</t>
  </si>
  <si>
    <t>SE FALLARON 5 ACTUACIONES ADMINISTRATIVAS APERTURADAS ENTRE EL 2011 AL 2013 QUEDANDO PENDIENTE POR FALLAR 9 A.A. PARA CUMPLIR LA META YA QUE EN ALGUNAS ACTUACIONES SE ENCUENTRAN CON ALEGATOS DE CONCLUSION O CON AUTO DE PRUEBAS.</t>
  </si>
  <si>
    <t>Realizar 22 actividades de prevención en materia de control en establecimientos de comercio y espacio público</t>
  </si>
  <si>
    <t xml:space="preserve">Actividades de prevención realizadas en materia de control en establecimientos de comercio y espacio público  </t>
  </si>
  <si>
    <t>El indicador mide la cantidad de actividades de prevención en establecimientos de comercio y espacio público  y cuya finalidad consiste en disminuir la formalización de actuaciones administrativas ya sea mediante talleres en etapa preliminar o en actividades y/o talleres en campo. Lo anterior en relación a la cantidad de actividades programadas.</t>
  </si>
  <si>
    <t xml:space="preserve">N°   Actividades de prevención realizadas
</t>
  </si>
  <si>
    <t>N°  Actividades de prevención programadas</t>
  </si>
  <si>
    <t>CARPETA DE ACTIVIDADES DE PREVENCION</t>
  </si>
  <si>
    <t xml:space="preserve">Actividad de prevención se refiere a: 
Talleres en etapa preliminar
Talleres dirigidos a la comunidad en zonas  definidas.
Difusión en Medios de comunicación comunitarios y/o espacios comunitarios
Cada alcaldía definiría la estrategia y en caso de elegir la segunda opción debe determinar que zona es la que va a intervenir.
El resultado va dirigido a disminuir las sanciones por infracciones al funcionamiento de establecimientos de comercio y espacio público
Se dará prioridad a actividades de prevención sobre el tema de operativos </t>
  </si>
  <si>
    <t xml:space="preserve">Sensibilizaciones a la indebida ocupación del espacio publico. </t>
  </si>
  <si>
    <t>Carpeta de operativos</t>
  </si>
  <si>
    <t>Situación inicial:  se realizo la planeación de acuerdo a las prioridades y al recurso disponible.  Situación actual:  Debido a que se requirieron jornadas respecto a sensibilizaciones de derechos de autos, se realizaron jormadas adicionales para cubrir este tema</t>
  </si>
  <si>
    <t>Sensibilizaciones ejecutadas 1 a parqueaderos, 2 sensibilizaciones a libreros y una de pagadiarios, una entre cra 17 y 19 con calle 5, una invasion espacio.
Debido a que se requirieron jornadas respecto a sensibilizaciones de derechos de autos, se realizaron jormadas adicionales para cubrir este tema</t>
  </si>
  <si>
    <t>Se llevaron a cabo 7 charlas de prevención para espacio público</t>
  </si>
  <si>
    <t xml:space="preserve">Realizar 3 actividades de prevención en materia de obras </t>
  </si>
  <si>
    <t>Actividades de prevención realizadas en materia de obras</t>
  </si>
  <si>
    <t>El indicador mide la cantidad de actividades de prevención en materia de obras  y cuya finalidad consiste en disminuir la formalización de actuaciones administrativas ya sea mediante talleres en etapa preliminar o en actividades y/o talleres en campo. Lo anterior en relación a la cantidad de actividades programadas.</t>
  </si>
  <si>
    <t>Actividad de prevención se refiere a: 
Talleres en etapa preliminar
Talleres dirigidos a la comunidad en zonas  definidas.
Difusión en Medios de comunicación comunitarios y/o espacios comunitarios
Cada alcaldía definiría la estrategia y en caso de elegir la segunda opción debe determinar que zona es la que va a intervenir.
El resultado va dirigido a disminuir las sanciones por infracciones al régimen de obras.</t>
  </si>
  <si>
    <t>se realizaron 2 actividades de prevención sobrepasando la meta por cuanto se cuenta con un grupo de apoyo de cerros orientales.</t>
  </si>
  <si>
    <t>Carpetas de actas de prevención</t>
  </si>
  <si>
    <t>SE REALIZARON 2 ACTIVIDADES DE PREVENCION EN CERROS ORIENTALES.  LA META SE SOBREPASA POR CONTAR CON UN GRUPO DE APOYO</t>
  </si>
  <si>
    <t>CARPETA DE ACTAS DE PREVECION</t>
  </si>
  <si>
    <t>Dado que la meta se cumplió en el tercer  trimestre, no se programaron actividades de prevención para este trimestre</t>
  </si>
  <si>
    <r>
      <t xml:space="preserve">Realizar </t>
    </r>
    <r>
      <rPr>
        <sz val="10"/>
        <color indexed="12"/>
        <rFont val="Arial"/>
        <family val="2"/>
      </rPr>
      <t>40</t>
    </r>
    <r>
      <rPr>
        <sz val="11"/>
        <color theme="1"/>
        <rFont val="Calibri"/>
        <family val="2"/>
        <scheme val="minor"/>
      </rPr>
      <t xml:space="preserve"> operativos de control al funcionamiento en establecimientos de comercio</t>
    </r>
  </si>
  <si>
    <t>Operativos de control de infracciones, en establecimientos de comercio realizados</t>
  </si>
  <si>
    <t>El indicador mide el numero de operativos de control de infracciones establecimientos de comercio  realizados en relación con una cantidad de operativos programados</t>
  </si>
  <si>
    <t>N. de operativos de control en establecimientos de comercio realizados</t>
  </si>
  <si>
    <t>N. de operativos de control programados</t>
  </si>
  <si>
    <t>CARPETA OPERATIVOS DE CONTROL EN ESTABLECIMIENTOS DE COMERCIO</t>
  </si>
  <si>
    <t>Los operativos que se realicen deben generar algún resultado o impacto, de igual manera se espera la participación de todas las entidades involucradas
La cantidad mínima de operativos a programar durante la vigencia es de 10</t>
  </si>
  <si>
    <t>se supera le meta ya que dentro del desarrollo de los operativos, se incrementaron los de verificación de tarifas de parqueaderos públicos, dentro de las políticas del nivel central a este tipo de establecimientos de comercio</t>
  </si>
  <si>
    <t>Se realizaron 10 operativos de control al funcionamiento en establecimientos de comercio</t>
  </si>
  <si>
    <t>se realizaron 15.  Los 5 adicionales se deben a operativos que solicito policia de turismo</t>
  </si>
  <si>
    <t>operativos de cotrol</t>
  </si>
  <si>
    <t>Se realizaron 10 operativos de control para establecimientos de comercio</t>
  </si>
  <si>
    <t>Carpeta de operativos de control</t>
  </si>
  <si>
    <t>Realizar 48 operativos de control de infracciones en obras y urbanismo</t>
  </si>
  <si>
    <t>Operativos de control de infracciones, en obras y urbanismo realizados</t>
  </si>
  <si>
    <t>El indicador mide el numero de operativos de control de infracciones al régimen de obras  realizados en relación con una cantidad de operativos programados</t>
  </si>
  <si>
    <t>N. de operativos de control de obras y urbanismo realizados</t>
  </si>
  <si>
    <t>CARPETA DE OPERATIVOS</t>
  </si>
  <si>
    <t xml:space="preserve">Los operativos que se realicen deben generar algún resultado o impacto </t>
  </si>
  <si>
    <t xml:space="preserve">Se realizaron 12  operativos en los diferente polígonos de monitoreo en  cerros orientales ya sean rurales o urbanos. </t>
  </si>
  <si>
    <t xml:space="preserve">SE REALIZARON 14 OPERATIVOS EN LOS DIFERENTES Polígonos DE MONITOREO EN CERROS ORIENTALES YA SEA RURALES O URBANOS SOBREPASANDO LA META POR CUANTO SE CUENTA CON UN GRUPO DE APOYO. </t>
  </si>
  <si>
    <t xml:space="preserve">SE REALIZARON 15 OPERATIVOS EN LOS DIFERENTES POLIGONOS DE MONITOREO EN CERROS ORIENTALES YA SEA RURALES O URBENOS SOBREPASANDO LA META POR CUANTO SE CUENTA CON UN GRUPO DE APOYO. </t>
  </si>
  <si>
    <r>
      <t xml:space="preserve">Realizar </t>
    </r>
    <r>
      <rPr>
        <sz val="10"/>
        <color indexed="12"/>
        <rFont val="Arial"/>
        <family val="2"/>
      </rPr>
      <t>108</t>
    </r>
    <r>
      <rPr>
        <sz val="11"/>
        <color theme="1"/>
        <rFont val="Calibri"/>
        <family val="2"/>
        <scheme val="minor"/>
      </rPr>
      <t xml:space="preserve"> operativos de control de ocupación  indebida de espacio público</t>
    </r>
  </si>
  <si>
    <t>Operativos de control de infracciones, en espacio público realizados</t>
  </si>
  <si>
    <t>El indicador mide el numero de operativos de control de infracciones en espacio público realizados en relación con una cantidad de operativos programados</t>
  </si>
  <si>
    <t>N°  de operativos de control de espacio público realizados</t>
  </si>
  <si>
    <t>N°  de operativos de control de espacio público programados</t>
  </si>
  <si>
    <t>Los operativos que se realicen deben generar algún resultado o impacto, de igual manera se espera la participación de todas las entidades involucradas
La cantidad mínima de operativos a programar durante la vigencia es de 4</t>
  </si>
  <si>
    <t>operativos realizados a la indebida ocupación del espacio público en asocio con la personería local, policía y hospital centro oriente</t>
  </si>
  <si>
    <t>Se programaron  36  de las cuales se realizaron 53  y se suspendieron  8 por que no se presento alguna de las autoridades que deben participar en ellas.  Las adicionales se deben a que se está realizando un operativo permanente solicitado por DADEP y SDG</t>
  </si>
  <si>
    <t>Se llevaron a cabo 29 operativos de control de espacio publico</t>
  </si>
  <si>
    <t>Evitar 5% de las Peticiones (PQRS o requerimientos recibidos de manera escrita o verbal) vayan a reparto como acción policiva, mediante acciones de prevención o mediante Orientación directa  
(Secretaría General de Inspecciones)</t>
  </si>
  <si>
    <t>Peticiones (PQRS o recibidas de manera directa de manera escrita o verbal) que no van a reparto como acción policiva por actividades de prevención o por orientación directa.</t>
  </si>
  <si>
    <t>El indicador mide el porcentaje de peticiones (PQRS o recibidas de manera directa de manera escrita o verbal) que no van a reparto como acciones policivas, lo anterior se logra  mediante actividades de prevención o por orientación directa</t>
  </si>
  <si>
    <t>N° Peticiones (PQRS o recibidas de manera directa de manera escrita o verbal) que no van a reparto como acción policiva</t>
  </si>
  <si>
    <t>N° de Ciudadanos atendidos con registro en ORFEO O SI- ACTUÁ</t>
  </si>
  <si>
    <t>Efectividad</t>
  </si>
  <si>
    <t>Orfeo o SI-ACTÚA</t>
  </si>
  <si>
    <t xml:space="preserve">El resultado o efecto  esperado de la meta consiste en evitar que se incremente el numero de acciones policivas que entran a reparto producto de la orientación directa o mediante actividades de prevención. </t>
  </si>
  <si>
    <t xml:space="preserve">No se cumplió la meta. Las quejas que se reciben por PQRS  en su mayoría constituyen contravenciones y son colocadas por ciudadanos anónimos por lo que se hace necesario iniciar contravención para identificar a los infractores </t>
  </si>
  <si>
    <t xml:space="preserve">De 68 casos recibidos por conflictos ciudadanos se puedo realizar actividad en la Carrera 7 con calle 12B donde la gran mayoría de edificaciones tienen desagües de aguas lluvias que arrojan el liquido sobre el espacio publico y están dañado las obras realizadas el Consorcio PV Avenida Jimenez que evito que fuera querella. </t>
  </si>
  <si>
    <t xml:space="preserve">CARPETA TRABAJO COMUNITARIO </t>
  </si>
  <si>
    <t>No se realiza actividad alguna porque se ve reflejada en en el consolidado del trabajo comunitario</t>
  </si>
  <si>
    <t>Emitir 30% de las decisiones que pongan fin a las acciones policivas radicadas del 2014 y años anteriores</t>
  </si>
  <si>
    <t>Decisiones emitidas que pongan fin a las acciones policivas radicadas del 2014 y años anteriores</t>
  </si>
  <si>
    <t>El indicador mide el porcentaje de procesos policivos finalizados mediante prescripción, desistimiento, conciliación, caducidad o fallo, en relación con el inventario de querellas y contravenciones activas del 2014 y años anteriores que están pendientes de una decisión final.</t>
  </si>
  <si>
    <t>N° de decisiones emitidas que pongan fin a las acciones policivas radicadas en el 2014 y años anteriores</t>
  </si>
  <si>
    <t>N° de querellas y contravenciones  activas al 31 de diciembre del 2014</t>
  </si>
  <si>
    <t>Aplicativo SI ACTUA Y carpeta archivadora de Resoluciones o fallos en cada Inspección</t>
  </si>
  <si>
    <t>Decisión se refiere a prescripción, desistimiento, conciliación, caducidad, fallo.</t>
  </si>
  <si>
    <t xml:space="preserve">el total del 30% de  las querellas que las inspecciones deben fallar corresponde a 285. en este primer periodo se emitieron 71 fallos dentro de querellas y contravenciones. se cumplió con la meta </t>
  </si>
  <si>
    <t xml:space="preserve">expedientes y carpeta de fallos en cada inspección </t>
  </si>
  <si>
    <t>Se  aclara que la línea base es 950 querellas.  Por lo tanto el 30% son 285.  Para este periodo se fallaron en las tres inspecciones de policía 99. 
En el primer trimestre el calculo se realizo numero de decisiones tomadas / 285 y no sobre 950 por lo cual parece sobreejecutada</t>
  </si>
  <si>
    <t xml:space="preserve">Expedientes y carpeta de fallos en cada una de las inspecciones de Policía </t>
  </si>
  <si>
    <t>Se  aclara que la línea base es 950 querellas.  Por lo tanto el 30% son 285.  Para este periodo se fallaron en las tres inspecciones de policía 104. 
En el primer trimestre el calculo se realizo numero de decisiones tomadas / 285 y no sobre 950 por lo cual parece sobreejecutada Para este periodo quedaron pendientes 115 querellas y fallaron los inspectores 104 quedando pendiente del 30% anual solo 11 expedientes.</t>
  </si>
  <si>
    <t xml:space="preserve">Cada uno de los expedientes que se tramitan en las inspecciones y carpeta de fallos en cada una de las inspecciones  </t>
  </si>
  <si>
    <t>Para este trimestre los inspectores fallaron 118 expedientes.</t>
  </si>
  <si>
    <t xml:space="preserve">Emitir 20% de las decisiones que pongan fin a las acciones policivas radicadas en el 2015 </t>
  </si>
  <si>
    <t xml:space="preserve"> Decisiones emitidas que pongan fin a los proceso radicados en la vigencia 2015</t>
  </si>
  <si>
    <t>El indicador mide el porcentaje de procesos policivos finalizados mediante prescripción, desistimiento, conciliación, caducidad o fallo, en relación con las querellas y contravenciones activas y radicadas en 2015.</t>
  </si>
  <si>
    <t>N°  de decisiones emitidas que pongan fin a las acciones policivas radicadas en el 2015</t>
  </si>
  <si>
    <t>N°  de procesos policivos radicados y activos en la vigencia 2015</t>
  </si>
  <si>
    <t>Carpeta que contiene la querella y carpeta de archivo de fallos que permanece en cada inspección</t>
  </si>
  <si>
    <t xml:space="preserve">El total del 20% de  las querellas que en promedio reciben las inspecciones por año corresponde a  116. en este primer periodo se emitieron 4 fallos dentro de querellas y contravenciones. se cumplió con la meta </t>
  </si>
  <si>
    <t xml:space="preserve">expediente  y carpeta de fallos en cada inspección </t>
  </si>
  <si>
    <t xml:space="preserve">La línea base son 580 acciones policivas radicadas promedio esperadas para el 2015, por lo cual se toma 116 como el 20% de las decisiones a tomar
Para este periodo se fallaron 28 expedientes entre querellas y contravenciones. </t>
  </si>
  <si>
    <t>La línea base son 580 acciones policivas radicadas promedio esperadas para el 2015, por lo cual se toma 116 como el 20% de las decisiones a tomar
.
Los inspectores fallaron 72 expedientes entre querellas y contravenciones</t>
  </si>
  <si>
    <t>La línea base son 580 acciones policivas radicadas promedio esperadas para el 2015, por lo cual se toma 116 como el 20% de las decisiones a tomar.
Para este periodo los inspectores fallaron 125 expedientes</t>
  </si>
  <si>
    <t>Lograr en 15  días la realización de la audiencia de conciliación, Secretaría General de las Inspecciones de Policía o Corregidores (tiempo máximo)</t>
  </si>
  <si>
    <r>
      <t>Promedio de días para la  realizaci</t>
    </r>
    <r>
      <rPr>
        <sz val="11"/>
        <color theme="1"/>
        <rFont val="Calibri"/>
        <family val="2"/>
        <scheme val="minor"/>
      </rPr>
      <t>ón de audiencias de conciliación</t>
    </r>
  </si>
  <si>
    <t>El indicador mide el promedio de días en el cual se están llevando a cabo las audiencias de conciliación efectivamente realizadas</t>
  </si>
  <si>
    <r>
      <t>Sumatoria de d</t>
    </r>
    <r>
      <rPr>
        <sz val="11"/>
        <color theme="1"/>
        <rFont val="Calibri"/>
        <family val="2"/>
        <scheme val="minor"/>
      </rPr>
      <t>ías para la realización de todas las audiencias de conciliación</t>
    </r>
  </si>
  <si>
    <t>N° de Audiencias realizadas.</t>
  </si>
  <si>
    <t>Eficiencia</t>
  </si>
  <si>
    <t>Libro radicador, aplicativo SI ACTUA y expediente</t>
  </si>
  <si>
    <t>La meta hace mención a las audiencias efectivamente realizadas.
La programación debe realizarse con base en el promedio histórico.</t>
  </si>
  <si>
    <t xml:space="preserve">Se realizaron 62 conciliaciones en el termino de 412 días presentándose un promedio de 7 días entre la recepción del escrito de queja y la práctica de la audiencia de conciliación </t>
  </si>
  <si>
    <t xml:space="preserve">expediente y carpeta actas de conciliación </t>
  </si>
  <si>
    <t xml:space="preserve">Se realizaron 90 conciliaciones en 1002 días presentándose un promedio de 11 días entre el radicado  de la queja y la audiencia. </t>
  </si>
  <si>
    <t xml:space="preserve">Expedientes y carpeta de conciliaciones </t>
  </si>
  <si>
    <t xml:space="preserve">SE REALIZARON 117 CONCILIACIONES EN 676 DIAS CUMPLIENDO CON LA META TRIMESTRAL </t>
  </si>
  <si>
    <t>CARPETA DE ACTAS DE CONCILIACION Y CADA UNO DE LOS EXPEDIENTES</t>
  </si>
  <si>
    <t xml:space="preserve">Ser realizaron 429 conciliaciones en 60 dias cumpliendo con la meta. </t>
  </si>
  <si>
    <t>Evacuar 72% de los procesos generados por retención de bienes por la ocupación del espacio público</t>
  </si>
  <si>
    <t>Procesos generados por retención de bienes por la ocupación del espacio público evacuados</t>
  </si>
  <si>
    <t xml:space="preserve">El indicador mide el porcentaje de procesos evacuados que se reciban durante el trimestre y que son  generados por por retención de bienes por la ocupación indebida del espacio público </t>
  </si>
  <si>
    <t xml:space="preserve">N. de procesos evacuados </t>
  </si>
  <si>
    <t xml:space="preserve">N. de procesos recibidos durante el trimestre
</t>
  </si>
  <si>
    <t>Libro radicador, aplicativo SI ACTUA, expediente</t>
  </si>
  <si>
    <r>
      <t xml:space="preserve"> </t>
    </r>
    <r>
      <rPr>
        <sz val="11"/>
        <color theme="1"/>
        <rFont val="Calibri"/>
        <family val="2"/>
        <scheme val="minor"/>
      </rPr>
      <t xml:space="preserve">La meta hace referencia a evitar la acumulación  de los elementos en bodega, igualmente mide la evacuación de los elementos por un proceso generado por la utilización indebida del espacio público; Cada persona, infractor o vendedor tiene un proceso independiente. </t>
    </r>
  </si>
  <si>
    <t>De un total de 386 procesos de bienes retenidos en el trimestre se evacuaron 274</t>
  </si>
  <si>
    <t>Se recibió en el trimestre 532 procesos por decomiso y se fallaron 382</t>
  </si>
  <si>
    <t xml:space="preserve">Expedientes y aplicativo SI ACTUA </t>
  </si>
  <si>
    <t>Se recibieron 436 actas de aprehensión en el trimestre. Se evacuaron 244. No se cumplió con la meta porque en el mes de septiembre llegaron la mayoría de actas de las cuales se reflejará el resultado en el cuarto trimestre.</t>
  </si>
  <si>
    <t>CADA EXPEDIENTE</t>
  </si>
  <si>
    <t>Para el 4to trimestre se recibieron 511 aprehensiones y se evacuaron 270.
Durante el 2015 se recibieron entre acumuladas y nuevas un total de 1865 actas de aprehensión en el trimestre. Se evacuaron 1622. Se cumplió con la meta.</t>
  </si>
  <si>
    <t>Garantizar las condiciones de convivencia pacífica, seguridad humana, el ejercicio de derechos y libertades para contribuir al mejoramiento de la calidad de vida en Bogotá</t>
  </si>
  <si>
    <t>Establecer el índice de satisfacción de nuestros usuarios y beneficiarios de los procesos, con el fin de contribuir a mejorar la calidad de vida de las personas del Distrito Capital</t>
  </si>
  <si>
    <t>GESTIÓN PARA LA CONVIVENCIA Y SEGURIDAD INTEGRAL</t>
  </si>
  <si>
    <t>Motivar a 280 personas para que cuenten con herramientas en el manejo adecuado de los conflictos</t>
  </si>
  <si>
    <t>Personas Motivadas en  herramientas para el manejo adecuado de conflictos</t>
  </si>
  <si>
    <t>El indicador mide la cantidad de personas motivadas en herramientas que les permitan manejar adecuadamente los conflictos, lo anterior en relación con la programación de una cantidad de personas determinada trimestralmente</t>
  </si>
  <si>
    <t>Número de  personas motivadas</t>
  </si>
  <si>
    <t>Número de personas programadas</t>
  </si>
  <si>
    <t>Formatos de asistencia 2L-GCS-F20 (Carpeta: Procedimiento motivación para la convivencia)</t>
  </si>
  <si>
    <t>Se refiere a personas participantes en talleres de prevención (Motivación) 
Se programaron  280</t>
  </si>
  <si>
    <t xml:space="preserve">Se supero la meta  debido a convenio con Pas Lourdes de SSDIL de Candelaria y Santa fe. Motivando semanalmente a dos grupos de adultos  </t>
  </si>
  <si>
    <t>Se supero la meta  debido a convenio con Pas Lourdes de SSDIL de Candelaria y Santa fe. Motivando semanalmente a dos grupos de adultos , ademas de convenio adicional con la policía metropolitana de Bogotá desarrollando esta labor con cuerpo de policía del</t>
  </si>
  <si>
    <t>Se supero la meta  debido a que se restablece en segundo semestre el convenio con SSLIS (Pas Lourdes) de Candelaria y Santa fe. Motivando semanalmente a dos grupos de adultos participantes en grupo de validación del bachillerato y dentro del proyecto N° 7</t>
  </si>
  <si>
    <t>Se supero ampliamente la meta debido a compromisos adquiridos con subsecretaria local de integración social (proyecto N° 753 -Fortalecimiento de la gestión local para el desarrollo humano en Bogotá) y policía nacional a nivel distrital</t>
  </si>
  <si>
    <t>Realizar 100 acompañamientos a procesos sociales de los AVCC  para mejorar los servicios prestados a la comunidad</t>
  </si>
  <si>
    <t xml:space="preserve">Acompañamientos realizados a procesos sociales de los AVCC </t>
  </si>
  <si>
    <t>El indicador mide la cantidad de Acompañamientos realizados a procesos sociales de los AVCC (Reuniones y visitas a PA) con el fin de mejorar el servicio, lo anterior en relación con la programación de una cantidad determinada de acompañamientos.</t>
  </si>
  <si>
    <t>N°  de acompañamientos realizados a procesos sociales de los AVCC</t>
  </si>
  <si>
    <t>N° de acompañamientos programados a procesos sociales de los AVCC</t>
  </si>
  <si>
    <t>Formato acta de reunión 1D-PGE-F10 (Carpeta:Procedimiento:Acompañamiento a la red local de actores voluntarios de convivencia) y formato 2L-GCS-F15 (Monitoreo a Pac)</t>
  </si>
  <si>
    <t>Acompañamiento hace referencia : Reuniones de la red local de AVCC y vistas a PAC
Se programaron 100</t>
  </si>
  <si>
    <t>No se logró la meta, faltando tan solo un acompañamiento, por lo que se espera nivelar el trimestre siguiente. De igual forma en el mes de enero solo dos conciliadores atendieron en sus respectivos Pac. Igualmente la conciliadora del Pac Las Cruces renunció</t>
  </si>
  <si>
    <t>Se sobrepasó la meta inicialmente establecida la meta,por cuanto a partir del mes de marzo se reabrió el Pac de Las Cruces, lo que permitió adicionar un seguimiento mas al ejercicio de los AVCC -Conciliadores-.</t>
  </si>
  <si>
    <t>Se cumplió satisfactoriamente con la meta establecida a pesar de la baja demanda de ciudadanos en situación de conflicto</t>
  </si>
  <si>
    <t>Se cumplió satisfactoriamente con la meta establecido debido a la apertura adicional de una jornada en el Pac Santa Barbara y a la integración de tres (3) nuevos conciliadores en equidad avalados por el ministerio de justicia</t>
  </si>
  <si>
    <r>
      <t>Alcanzar el</t>
    </r>
    <r>
      <rPr>
        <sz val="10"/>
        <color indexed="10"/>
        <rFont val="Arial"/>
        <family val="2"/>
      </rPr>
      <t xml:space="preserve"> 85</t>
    </r>
    <r>
      <rPr>
        <sz val="10"/>
        <color indexed="8"/>
        <rFont val="Arial"/>
        <family val="2"/>
      </rPr>
      <t>% en el nivel de satisfacción del servicio de todo el proceso de mediación institucional</t>
    </r>
  </si>
  <si>
    <t xml:space="preserve">Nivel alcanzado de satisfacción del servicio de todo el proceso de mediación institucional </t>
  </si>
  <si>
    <t>El indicador mide el nivel de satisfacción del servicio sobre una base numérica de tres preguntas que se evalúan de 1 a 5.
La puntuación obtenida es la suma de todos los puntos obtenidos en los formatos y esto se divide sobre la puntuación máxima a obtener (N° de formatos * 15) este es el denominador asumiendo que todos los que registran el formato califican todas las preguntas con una puntuación de 5.</t>
  </si>
  <si>
    <r>
      <t xml:space="preserve">Sumatoria de puntuación obtenida en todos los  </t>
    </r>
    <r>
      <rPr>
        <sz val="11"/>
        <color theme="1"/>
        <rFont val="Calibri"/>
        <family val="2"/>
        <scheme val="minor"/>
      </rPr>
      <t>Formatos de consulta sobre satisfacción del servicio</t>
    </r>
  </si>
  <si>
    <t xml:space="preserve"> (N° de  Formatos de consulta sobre satisfacción del servicio)*15</t>
  </si>
  <si>
    <t>Formato tabulación encuesta del servicio de mediación
Formato consulta satisfacción del servicio 2L-GCS-F7 y Aplicación Tabulación resultados encuesta</t>
  </si>
  <si>
    <t>Resultado de calificar tres (3) items cada uno con valor de uno a cinco para un total de 15 puntos de los cuales el 85% corresponde a 12,75 puntos</t>
  </si>
  <si>
    <t xml:space="preserve">Se cumplió satisfactoriamente la meta con un alto porcentaje de calificaciones altas lo que presenta un promedio de 14.04 sobre 15, por lo que se asume que se realiza de manera adecuada, con buenos resultados y la información pertinente las audiencias de </t>
  </si>
  <si>
    <t>Formato consulta satisfacción del servicio 2L-GCS-F7 y Aplicación Tabulación resultados encuesta</t>
  </si>
  <si>
    <t xml:space="preserve">El cumplimiento de la meta se superó satisfactoriamente  con un alto porcentaje de calificación lo que presenta un promedio de 14.25 sobre 15, por lo que se asume que el ejercicio de la atención por mediación se realiza adecuadamente y con satisfacción </t>
  </si>
  <si>
    <t>El cumplimiento de la meta se superó satisfactoriamente  con un alto porcentaje de calificación lo que presenta un promedio de 14.25 sobre 15, por lo que se asume que el ejercicio de la atención por mediación se realiza de forma adecuada y goza de aceptac</t>
  </si>
  <si>
    <t>El cumplimiento de la meta se superó  con un alto porcentaje de calificación lo que presenta un promedio de 14.30 sobre 15, o que refleja una buena atención al ciudadano en las mediaciones e igualmente se realizó acompañamiento a los acuerdos establecidos en el transcurso del año</t>
  </si>
  <si>
    <t>Realizar xxx actividades orientadas a la prevención de la conflictividad de cada localidad 
NO APLICA</t>
  </si>
  <si>
    <t>Actividades de prevención realizadas, basadas en la conflictividad de cada localidad</t>
  </si>
  <si>
    <t xml:space="preserve">El indicador mide la cantidad de actividades de prevención enfocadas a una conflictividad determinada de cada localidad y que no se suplen con las actividades de prevención de las UMC, Secretarias de Inspecciones e Inspecciones de policía. Las actividades se desarrollan en relación con una cantidad de actividades programada durante la vigencia
</t>
  </si>
  <si>
    <t xml:space="preserve">N°  de actividades de prevención realizadas
</t>
  </si>
  <si>
    <t>N°  de actividades de prevención programadas</t>
  </si>
  <si>
    <t>Santa Fe no tiene Casa de Justicia</t>
  </si>
  <si>
    <t>La responsabilidad de la meta recae en las casas de justicia, sin embargo, las coordinaciones jurídicas pueden asumir la ejecución de esta meta siempre y cuando la medición no se duplique con el registro de otra meta del plan.</t>
  </si>
  <si>
    <t>Realizar xxx actividades de promoción que permitan posicionar los servicios de las casas de justicia (afiches, plegables, web, etc)
NO APLICA</t>
  </si>
  <si>
    <t>Actividades de promoción realizadas que permitan posicionar los servicios de las casas de justicia (afiches, plegables, web, etc)</t>
  </si>
  <si>
    <t>El indicador mide la cantidad de actividades de promoción del portafolio de servicios de las casas de justicia. Lo anterior en relación a una cantidad de actividades programadas.</t>
  </si>
  <si>
    <t>N. de actividades de promoción realizadas</t>
  </si>
  <si>
    <t xml:space="preserve"> N. de actividades de promoción programadas</t>
  </si>
  <si>
    <r>
      <t>Realizar</t>
    </r>
    <r>
      <rPr>
        <sz val="10"/>
        <color indexed="12"/>
        <rFont val="Arial"/>
        <family val="2"/>
      </rPr>
      <t xml:space="preserve"> 2</t>
    </r>
    <r>
      <rPr>
        <sz val="10"/>
        <color indexed="8"/>
        <rFont val="Arial"/>
        <family val="2"/>
      </rPr>
      <t xml:space="preserve"> actividades de atención extra murales o en las casas de justicia móvil
NO APLICA</t>
    </r>
  </si>
  <si>
    <t>Actividades de atención extra murales o en las casas de justicia móvil realizadas</t>
  </si>
  <si>
    <t>El indicador mide la cantidad de actividades de atención a los ciudadanos en marco del programa Casa de Justicia, la cual se puede desarrollar bajo el mecanismo de Casa de Justicia Móvil, o mediante la atención extramural. Lo anterior en relación con una cantidad determinada de actividades programadas.</t>
  </si>
  <si>
    <t>N. de actividades de atención extra murales o en las casas de justicia móvil realizadas</t>
  </si>
  <si>
    <t>N. de actividades de atención extra murales o en las casas de justicia móvil programadas</t>
  </si>
  <si>
    <t xml:space="preserve">Realizar 20 acciones de sensibilización para el acatamiento voluntario en normas de convivencia
</t>
  </si>
  <si>
    <t>Acciones de sensibilización para el acatamiento voluntario en normas de convivencia realizadas</t>
  </si>
  <si>
    <t>El indicador mide la cantidad de acciones de sensibilización que realizan los secretarios generales de inspecciones para para el acatamiento voluntario en normas de convivencia con el fin de contribuir con la prevención de las infracciones. Lo anterior en relación con una cantidad determinada de acciones programadas</t>
  </si>
  <si>
    <t>N. de acciones de sensibilización realizadas</t>
  </si>
  <si>
    <t>N. de acciones de sensibilización programadas.</t>
  </si>
  <si>
    <t>Carpeta TRABAJO COMUNITARIO</t>
  </si>
  <si>
    <t>Sensibilizar a la comunidad sobre las normas de convivencia para hacer de Bogotá una ciudad mas tolerante y humana 
Se programaron 20 acciones</t>
  </si>
  <si>
    <t>Se realizaron dos charlas pedagógicas: 1) Plaza de Mercado de las Cruces -normas de convivencia comparendo ambiental-. 2) Colegio Antonio José Uribe -normas de convivencia relaciones de vecindad-</t>
  </si>
  <si>
    <t xml:space="preserve">Se realizaron seis (6) charlas pedagógicas: 1) comerciantes Barrio Laches por normas de convivencia y relaciones de vecindad -Sala conciliación Secretaria General-. 2) Comparendo ambiental -Sala de conciliación Secretaria General-. 3) Manejo escombros </t>
  </si>
  <si>
    <t xml:space="preserve">Carpeta trabajo comunitario </t>
  </si>
  <si>
    <t>Se realizaron seis (6) charlas pedagógicas: 1) Secretaria General de Inspecciones  -Disposición de escombros y obras de construcción-. 2) Plaza de Mercado La Perseverancia -Manejo de residuos solidos y basuras- 3) Sala Conciliación Secretaria General -Cha</t>
  </si>
  <si>
    <t xml:space="preserve">Se realizaron dos (2) charlas pedagógicas: 1) Sala de conciliación Secretaria General de Inspecciones -Charla relaciones de vecindad Edificio San Felipe-. 2) RESTAURANTE CHOPINAR  Carrera 7 No. 21-59 -Charla sobre manejo de residuos solidos y basuras-. No se cumplio la meta  </t>
  </si>
  <si>
    <r>
      <t xml:space="preserve">Formular </t>
    </r>
    <r>
      <rPr>
        <sz val="10"/>
        <color indexed="10"/>
        <rFont val="Arial"/>
        <family val="2"/>
      </rPr>
      <t xml:space="preserve">1 </t>
    </r>
    <r>
      <rPr>
        <sz val="10"/>
        <color indexed="8"/>
        <rFont val="Arial"/>
        <family val="2"/>
      </rPr>
      <t>PICS local con base en el PICS distrital debidamente aprobado por el consejo local de seguridad
NO APLICA</t>
    </r>
  </si>
  <si>
    <t>Plan integral de seguridad y convivencia  ciudadana formulado con base en el PICS Distrital.</t>
  </si>
  <si>
    <t>El indicador mide si el PICS local se encuentra formulado con base en el PICS distrital  y que esté debidamente aprobado por el consejo local de seguridad. Lo anterior en relación al periodo de tiempo que se programe la formulación y aprobación.</t>
  </si>
  <si>
    <t>Numero de planes Integrales de Seguridad y Convivencia Formulados</t>
  </si>
  <si>
    <t xml:space="preserve">Numero de planes Integrales de Seguridad y Convivencia programados </t>
  </si>
  <si>
    <t>En diciembre del 2014, el Consejo local de seguridad, aprobó el PIC formulado por la Alcaldía
Se recomienda que el PICS se formule y se apruebe antes durante el primer semestre del año.</t>
  </si>
  <si>
    <r>
      <t xml:space="preserve">Implementar el </t>
    </r>
    <r>
      <rPr>
        <sz val="10"/>
        <color indexed="10"/>
        <rFont val="Arial"/>
        <family val="2"/>
      </rPr>
      <t>100</t>
    </r>
    <r>
      <rPr>
        <sz val="10"/>
        <color indexed="8"/>
        <rFont val="Arial"/>
        <family val="2"/>
      </rPr>
      <t>% del plan de acción de convivencia y seguridad de la vigencia 2015
NO APLICA</t>
    </r>
  </si>
  <si>
    <t>Plan de acción del Consejo Local de seguridad  implementado</t>
  </si>
  <si>
    <t>El indicador mide la implementación del plan de acción del consejo local de seguridad de la vigencia 2015 para el cumplimiento de los objetivos del PICS.
La implementación se refiere a la ejecución de las acciones establecidas y programadas en el plan de acción. 
Una acción se asume implementada cuando se ejecuta en su totalidad</t>
  </si>
  <si>
    <t>N° de acciones implementadas</t>
  </si>
  <si>
    <t>N°  de acciones programadas en el plan de acción</t>
  </si>
  <si>
    <t>PLAN DE ACCIÓN DEL CONSEJO LOCAL DE SEGURIDAD.</t>
  </si>
  <si>
    <t>El plan de acción se encuentra en construcción. 
El plan de acción está armonizado con el PICS
El numerador del indicador comienza a contabilizarse en el momento en que la actividad quede plenamente cumplida.
Los efectos de las actividades del plan de acción y del PICS se ven reflejados en indicadores asociados a los objetivos establecidos en estos planes</t>
  </si>
  <si>
    <r>
      <t>Implementar el</t>
    </r>
    <r>
      <rPr>
        <sz val="10"/>
        <color indexed="10"/>
        <rFont val="Arial"/>
        <family val="2"/>
      </rPr>
      <t xml:space="preserve"> 100%</t>
    </r>
    <r>
      <rPr>
        <sz val="10"/>
        <color indexed="8"/>
        <rFont val="Arial"/>
        <family val="2"/>
      </rPr>
      <t xml:space="preserve"> del plan de acci</t>
    </r>
    <r>
      <rPr>
        <sz val="11"/>
        <color theme="1"/>
        <rFont val="Calibri"/>
        <family val="2"/>
        <scheme val="minor"/>
      </rPr>
      <t xml:space="preserve">ón del Consejo Local de Gestión del Riesgo y Cambio Climático
</t>
    </r>
  </si>
  <si>
    <t xml:space="preserve"> Plan de acción implementado del Consejo Local de Gestión del Riesgo y Cambio Climático</t>
  </si>
  <si>
    <t>El indicador mide la implementación del plan de acción del consejo local de gestión del riesgo y cambio climático de la vigencia 2015 para la gestión del riesgo en las localidades 
La implementación se refiere a la ejecución de las acciones establecidas y programadas en el plan de acción. 
Una acción se asume implementada cuando se ejecuta en su totalidad</t>
  </si>
  <si>
    <t>N. de acciones implementadas</t>
  </si>
  <si>
    <t>PLAN DE ACCION DEL CLE</t>
  </si>
  <si>
    <t>El numerador del indicador comienza a contabilizarse en el momento en que la actividad quede plenamente cumplida</t>
  </si>
  <si>
    <t>Actas físicas de reuniones</t>
  </si>
  <si>
    <t>De 81 actividades a realizar, se han realizado 23.
Desde febrero a junio no se tenía  funcionario para esta actividad, por lo cual se retraso el cumplimiento de la meta</t>
  </si>
  <si>
    <t>Carpeta CLE</t>
  </si>
  <si>
    <t>De 81 actividades a realizar, se han realizado 26.</t>
  </si>
  <si>
    <t>De 81 actividades a realizar, se han realizado 20.</t>
  </si>
  <si>
    <t>Articular la gestión entre los diferentes sectores del distrito, entidades regionales y nacionales, con el fin de mejorar la capacidad de respuesta en el territorio y dar cumplimiento al plan de desarrollo distrital y los planes de desarrollo local</t>
  </si>
  <si>
    <t>GESTIÓN PARA EL DESARROLLO LOCAL</t>
  </si>
  <si>
    <t>Lograr 25% de avance del cumplimiento físico en el plan de desarrollo</t>
  </si>
  <si>
    <t>Avance del cumplimiento físico logrado en el plan de desarrollo</t>
  </si>
  <si>
    <t>El indicador mide el avance en el cumplimiento físico del plan de desarrollo local según el porcentaje que arroje la matriz MUSI (Hoja AFP - Avance PDL (Ejecución real))</t>
  </si>
  <si>
    <t>% del avance en el cumplimiento Físico</t>
  </si>
  <si>
    <t>MATRIZ MUSI
Hoja AFP - Avance PDL (Ejecución real)</t>
  </si>
  <si>
    <t xml:space="preserve">Esta meta hará referencia al cumplimiento físico del plan de desarrollo, La magnitud de la meta hará referencia al avance acumulado de ejecución en el plan de desarrollo (Cuatrienio). </t>
  </si>
  <si>
    <t>Se logro con los proyectos: 1168-19-126, 1168-19-127, 1171-31-140, 1171-31-141, 1171-31-142, 165-17-23, 1163-8-118</t>
  </si>
  <si>
    <t>MUSI</t>
  </si>
  <si>
    <t>Se esperaban 16339 beneficiarios anuales es decir el 25% del cuatrienio; al 30 de Junio de 2015 se cuenta con una ejecución física de  12,801.
Se calculo 12,801 beneficiarios *25% / el total esperado para el cuatrienio 16,339 = 20% a junio, como se tomo el acumulado se resto el 5% obtenido en el primer trimestre</t>
  </si>
  <si>
    <t>Se esperaban 16339 beneficiarios anuales es decir el 25% del cuatrienio; al 30 de Septiiembre de 2015 se cuenta con una ejecución física de  12,907.</t>
  </si>
  <si>
    <t>Se esperaban 16339 beneficiarios anuales es decir el 25% del cuatrienio; al 31 de Dic de 2015 se cuenta con una ejecución física de  14841
Se calculo 14,841 beneficiarios *25% / el total esperado para el cuatrienio 16,339 = 20% a junio, como se tomo el acumulado se resto el 5% obtenido en el primer semestre
En resumen en el 2015 se beneficiaron 3,710 de los 16339 esperados para el cuatrenio</t>
  </si>
  <si>
    <t>Lograr que 90%  de las entidades participen en el ejercicio ISO 18091</t>
  </si>
  <si>
    <t>Porcentaje de entidades participantes en el ejercicio ISO 18091</t>
  </si>
  <si>
    <t>El indicador mide el porcentaje de entidades participantes  en el ejercicio ISO 18091</t>
  </si>
  <si>
    <t>N° de entidades participantes</t>
  </si>
  <si>
    <t xml:space="preserve"> N° de entidades convocadas</t>
  </si>
  <si>
    <t>Acta de reunión y oficios de convocatoria</t>
  </si>
  <si>
    <t>Se invito a 13 entidades para que participaran en las mesas ISO 18091.  Se logró la participación de 12 entidades</t>
  </si>
  <si>
    <t>Radicados de invitación y actas de reunión</t>
  </si>
  <si>
    <t>En Junio llego una adición presupuestal  por $6,119,520,000 y en julio se traslado de obligaciones por pagar de vigencias anteriores a vigencia por $147.076,174 y en  noviembre  se hace un traslado por  1,051,618,910, con  lo que se paso de un presupuesto de $14,866,625,000  a $22,184,840,084.00. El giro acumulado a diciembre 31 fue de $8.316.568.739,  que da un 10,82% de giros realizados. De haberse mantenido el valor del presupuesto inicial el indicador sería 15,38%</t>
  </si>
  <si>
    <t>Aumentar en un xxx% el porcentaje de indicadores en verde de la vigencia 2014 en comparación con la vigencia 2013 o de la vigencia anterior que cuente con información. lo anterior, en el marco del ejercicio de la norma ISO 18091
NO APLICA</t>
  </si>
  <si>
    <t xml:space="preserve">Aumento en el  Porcentaje de indicadores en verde </t>
  </si>
  <si>
    <t>El indicador mide el incremento en el porcentaje de indicadores en verde de la vigencia 2014 en relación con el porcentaje obtenido en la vigencia 2013 u otra vigencia que tenga definido el dato para la comparación (esto último, siempre y cuando no exista el dato para 2013). El objeto del indicador es el de medir la mejora en los resultados del ejercicio de la norma ISO 18091</t>
  </si>
  <si>
    <t>Porcentaje de indicadores en verde de la vigencia 2014</t>
  </si>
  <si>
    <t>Porcentaje de indicadores en verde de la vigencia 2013 o de la vigencia que cuente con información</t>
  </si>
  <si>
    <t>Para el 2014 solo se tuvo un indicador en rojo que tiene que ver con el cumplimiento de los giros de los compromuisos durante la vigencia.  Dado que ese indicador es complejo de cumplir no se tendrá como meta
Linea base : Porcentaje de indicadores en verde de la vigencia 2013 u otra vigencia que cuente con el dato de comparación.</t>
  </si>
  <si>
    <t>Espacio disponible para formulación de meta: Proyecto bandera de cada alcaldía local
NO APLICA</t>
  </si>
  <si>
    <t>Los proyectos que tiene la Alcaldía ya están medidos con el indicador 1</t>
  </si>
  <si>
    <t>Formular e implementar estrategias que generen sinergia entre las entidades del Sector Gobierno, Seguridad y Convivencia, con el fin de hacer eficaz y eficiente la gestion del mismo</t>
  </si>
  <si>
    <t>AGENCIAMIENTO DE LA POLÍTICA PÚBLICA EN LO LOCAL</t>
  </si>
  <si>
    <t>Cumplir el 60% de las acciones en los planes de acción del CLG</t>
  </si>
  <si>
    <t>Acciones en los planes de acción del CLG cumplidas</t>
  </si>
  <si>
    <t>Esto mide el cumplimiento de las acciones establecidas en los planes de acción del CLG</t>
  </si>
  <si>
    <t>N. de acciones en los planes de acción del CLG cumplidas</t>
  </si>
  <si>
    <t>N. de acciones en los planes de acción del CLG programadas</t>
  </si>
  <si>
    <t>Plan de acción y actas de reunión</t>
  </si>
  <si>
    <t>El plan de acción del CLG estableció siete (7)  acciones para el 2015 
Para el primer trimestre se ejecutó la primera acción</t>
  </si>
  <si>
    <t>Plan de acción del CLG
Acta de enero, febrero y marzo del CLG</t>
  </si>
  <si>
    <t>De 5 cinco actividades (100%) que se esperaban cumplir para el trimestre se cumplieron 4 (80%)
*  Documento de seguridad  y sistematización de la información
*  Consolidación de la inversión territorializada
*  Articulación San Juan de Dios
*  Reuniones VPR Verjon
La actividad no cumplida tiene que ver con la UPZ de la Macarena
La formula usada es 4 actividades realizadas * 15% porcentaje esperado / 5 acciones que se esperaban cumplir</t>
  </si>
  <si>
    <t>Plan de acción del CLG
Acta de abril, mayo y junio del CLG</t>
  </si>
  <si>
    <t>De 5  actividades (100%) que se esperaban cumplir para el trimestre se cumplieron 5 (100%)
*  Entrega de documento de estrategia por mesa
*  Entrega de matriz de priorización de la territorialización de la inversión
*  Articulación San Juan de Dios
* Definición de presupuestos participativos
* Sensibilización Bogotá Humana en Macarena y Lourdes</t>
  </si>
  <si>
    <t>Plan de acción del CLG
Acta de julio, agosto y septiembre del CLG</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</si>
</sst>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dd/mm/yy"/>
    <numFmt numFmtId="165" formatCode="yyyy\-mm\-dd;@"/>
    <numFmt numFmtId="166" formatCode="* #,##0&quot;    &quot;;\-* #,##0&quot;    &quot;;* \-#&quot;    &quot;;@\ "/>
    <numFmt numFmtId="167" formatCode="_ [$€-2]\ * #,##0.00_ ;_ [$€-2]\ * \-#,##0.00_ ;_ [$€-2]\ * \-??_ "/>
    <numFmt numFmtId="168" formatCode="yyyy/mm/dd"/>
    <numFmt numFmtId="169" formatCode="_-* #,##0.00\ _€_-;\-* #,##0.00\ _€_-;_-* \-??\ _€_-;_-@_-"/>
    <numFmt numFmtId="170" formatCode="_ * #,##0.00_ ;_ * \-#,##0.00_ ;_ * \-??_ ;_ @_ "/>
    <numFmt numFmtId="171" formatCode="_(* #,##0.00_);_(* \(#,##0.00\);_(* \-??_);_(@_)"/>
  </numFmts>
  <fonts count="45">
    <font>
      <sz val="11"/>
      <color theme="1"/>
      <name val="Calibri"/>
      <family val="2"/>
      <scheme val="minor"/>
    </font>
    <font>
      <sz val="11"/>
      <color indexed="8"/>
      <name val="Calibri"/>
      <family val="2"/>
    </font>
    <font>
      <sz val="10"/>
      <name val="Calibri"/>
      <family val="2"/>
    </font>
    <font>
      <b/>
      <sz val="10"/>
      <name val="Calibri"/>
      <family val="2"/>
    </font>
    <font>
      <sz val="10"/>
      <name val="Arial"/>
      <family val="2"/>
    </font>
    <font>
      <sz val="10"/>
      <color indexed="8"/>
      <name val="Calibri"/>
      <family val="2"/>
    </font>
    <font>
      <b/>
      <sz val="10"/>
      <color indexed="8"/>
      <name val="Calibri"/>
      <family val="2"/>
    </font>
    <font>
      <b/>
      <sz val="10"/>
      <name val="Arial"/>
      <family val="2"/>
    </font>
    <font>
      <b/>
      <sz val="9"/>
      <color indexed="8"/>
      <name val="Calibri"/>
      <family val="2"/>
    </font>
    <font>
      <b/>
      <sz val="10"/>
      <color indexed="9"/>
      <name val="Calibri"/>
      <family val="2"/>
    </font>
    <font>
      <sz val="10"/>
      <color indexed="8"/>
      <name val="Arial"/>
      <family val="2"/>
    </font>
    <font>
      <sz val="11"/>
      <color indexed="8"/>
      <name val="Arial"/>
      <family val="2"/>
      <charset val="1"/>
    </font>
    <font>
      <b/>
      <u/>
      <sz val="10"/>
      <color indexed="10"/>
      <name val="Arial"/>
      <family val="2"/>
      <charset val="1"/>
    </font>
    <font>
      <sz val="10"/>
      <color indexed="10"/>
      <name val="Arial"/>
      <family val="2"/>
    </font>
    <font>
      <sz val="10"/>
      <color indexed="8"/>
      <name val="Arial"/>
      <family val="2"/>
      <charset val="1"/>
    </font>
    <font>
      <sz val="9"/>
      <name val="Arial"/>
      <family val="2"/>
    </font>
    <font>
      <sz val="10"/>
      <color indexed="10"/>
      <name val="Arial"/>
      <family val="2"/>
      <charset val="1"/>
    </font>
    <font>
      <b/>
      <sz val="10"/>
      <color indexed="10"/>
      <name val="Arial"/>
      <family val="2"/>
      <charset val="1"/>
    </font>
    <font>
      <sz val="10"/>
      <color indexed="12"/>
      <name val="Arial"/>
      <family val="2"/>
    </font>
    <font>
      <b/>
      <sz val="10"/>
      <color indexed="8"/>
      <name val="Arial"/>
      <family val="2"/>
    </font>
    <font>
      <sz val="10"/>
      <color indexed="8"/>
      <name val="Arial"/>
      <family val="2"/>
      <charset val="128"/>
    </font>
    <font>
      <vertAlign val="superscript"/>
      <sz val="10"/>
      <color indexed="8"/>
      <name val="Arial"/>
      <family val="2"/>
    </font>
    <font>
      <sz val="9"/>
      <color indexed="8"/>
      <name val="Arial"/>
      <family val="2"/>
    </font>
    <font>
      <b/>
      <sz val="10"/>
      <color indexed="8"/>
      <name val="Arial"/>
      <family val="2"/>
      <charset val="1"/>
    </font>
    <font>
      <sz val="10"/>
      <name val="Arial"/>
      <family val="2"/>
      <charset val="1"/>
    </font>
    <font>
      <sz val="10"/>
      <color indexed="8"/>
      <name val="Calibri"/>
      <family val="1"/>
    </font>
    <font>
      <sz val="8"/>
      <name val="Arial"/>
      <family val="2"/>
    </font>
    <font>
      <b/>
      <sz val="10"/>
      <color indexed="10"/>
      <name val="Arial"/>
      <family val="2"/>
    </font>
    <font>
      <b/>
      <sz val="10"/>
      <name val="Arial"/>
      <family val="2"/>
      <charset val="1"/>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sz val="11"/>
      <color indexed="60"/>
      <name val="Calibri"/>
      <family val="2"/>
    </font>
    <font>
      <b/>
      <sz val="11"/>
      <color indexed="63"/>
      <name val="Calibri"/>
      <family val="2"/>
    </font>
    <font>
      <sz val="11"/>
      <color indexed="10"/>
      <name val="Calibri"/>
      <family val="2"/>
    </font>
    <font>
      <b/>
      <sz val="18"/>
      <color indexed="56"/>
      <name val="Cambria"/>
      <family val="2"/>
    </font>
    <font>
      <b/>
      <sz val="11"/>
      <color indexed="8"/>
      <name val="Calibri"/>
      <family val="2"/>
    </font>
  </fonts>
  <fills count="28">
    <fill>
      <patternFill patternType="none"/>
    </fill>
    <fill>
      <patternFill patternType="gray125"/>
    </fill>
    <fill>
      <patternFill patternType="solid">
        <fgColor indexed="9"/>
        <bgColor indexed="26"/>
      </patternFill>
    </fill>
    <fill>
      <patternFill patternType="solid">
        <fgColor indexed="22"/>
        <bgColor indexed="31"/>
      </patternFill>
    </fill>
    <fill>
      <patternFill patternType="solid">
        <fgColor indexed="62"/>
        <bgColor indexed="56"/>
      </patternFill>
    </fill>
    <fill>
      <patternFill patternType="solid">
        <fgColor indexed="31"/>
        <bgColor indexed="22"/>
      </patternFill>
    </fill>
    <fill>
      <patternFill patternType="solid">
        <fgColor indexed="44"/>
        <bgColor indexed="31"/>
      </patternFill>
    </fill>
    <fill>
      <patternFill patternType="solid">
        <fgColor indexed="11"/>
        <bgColor indexed="49"/>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29"/>
        <bgColor indexed="45"/>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10"/>
        <bgColor indexed="25"/>
      </patternFill>
    </fill>
    <fill>
      <patternFill patternType="solid">
        <fgColor indexed="57"/>
        <bgColor indexed="21"/>
      </patternFill>
    </fill>
    <fill>
      <patternFill patternType="solid">
        <fgColor indexed="53"/>
        <bgColor indexed="52"/>
      </patternFill>
    </fill>
    <fill>
      <patternFill patternType="solid">
        <fgColor indexed="13"/>
        <bgColor indexed="34"/>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10"/>
        <bgColor indexed="60"/>
      </patternFill>
    </fill>
    <fill>
      <patternFill patternType="solid">
        <fgColor indexed="17"/>
        <bgColor indexed="21"/>
      </patternFill>
    </fill>
  </fills>
  <borders count="71">
    <border>
      <left/>
      <right/>
      <top/>
      <bottom/>
      <diagonal/>
    </border>
    <border>
      <left style="medium">
        <color indexed="63"/>
      </left>
      <right style="thin">
        <color indexed="63"/>
      </right>
      <top style="medium">
        <color indexed="63"/>
      </top>
      <bottom/>
      <diagonal/>
    </border>
    <border>
      <left style="thin">
        <color indexed="63"/>
      </left>
      <right/>
      <top/>
      <bottom/>
      <diagonal/>
    </border>
    <border>
      <left style="thin">
        <color indexed="63"/>
      </left>
      <right/>
      <top/>
      <bottom style="thin">
        <color indexed="63"/>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3"/>
      </top>
      <bottom style="medium">
        <color indexed="63"/>
      </bottom>
      <diagonal/>
    </border>
    <border>
      <left style="medium">
        <color indexed="63"/>
      </left>
      <right/>
      <top style="medium">
        <color indexed="63"/>
      </top>
      <bottom style="medium">
        <color indexed="63"/>
      </bottom>
      <diagonal/>
    </border>
    <border>
      <left style="medium">
        <color indexed="63"/>
      </left>
      <right style="thin">
        <color indexed="63"/>
      </right>
      <top style="medium">
        <color indexed="63"/>
      </top>
      <bottom style="medium">
        <color indexed="63"/>
      </bottom>
      <diagonal/>
    </border>
    <border>
      <left style="thin">
        <color indexed="8"/>
      </left>
      <right style="thin">
        <color indexed="8"/>
      </right>
      <top style="medium">
        <color indexed="63"/>
      </top>
      <bottom style="medium">
        <color indexed="63"/>
      </bottom>
      <diagonal/>
    </border>
    <border>
      <left style="thin">
        <color indexed="63"/>
      </left>
      <right style="thin">
        <color indexed="63"/>
      </right>
      <top style="medium">
        <color indexed="63"/>
      </top>
      <bottom style="medium">
        <color indexed="63"/>
      </bottom>
      <diagonal/>
    </border>
    <border>
      <left style="thin">
        <color indexed="63"/>
      </left>
      <right style="medium">
        <color indexed="63"/>
      </right>
      <top style="medium">
        <color indexed="63"/>
      </top>
      <bottom style="medium">
        <color indexed="63"/>
      </bottom>
      <diagonal/>
    </border>
    <border>
      <left/>
      <right style="thick">
        <color indexed="8"/>
      </right>
      <top style="thick">
        <color indexed="8"/>
      </top>
      <bottom style="thick">
        <color indexed="8"/>
      </bottom>
      <diagonal/>
    </border>
    <border>
      <left style="thick">
        <color indexed="8"/>
      </left>
      <right style="thick">
        <color indexed="8"/>
      </right>
      <top style="thick">
        <color indexed="8"/>
      </top>
      <bottom style="thick">
        <color indexed="8"/>
      </bottom>
      <diagonal/>
    </border>
    <border>
      <left style="thick">
        <color indexed="8"/>
      </left>
      <right style="thin">
        <color indexed="8"/>
      </right>
      <top style="thick">
        <color indexed="8"/>
      </top>
      <bottom style="thick">
        <color indexed="8"/>
      </bottom>
      <diagonal/>
    </border>
    <border>
      <left style="thin">
        <color indexed="8"/>
      </left>
      <right style="thin">
        <color indexed="8"/>
      </right>
      <top style="thick">
        <color indexed="8"/>
      </top>
      <bottom style="thick">
        <color indexed="8"/>
      </bottom>
      <diagonal/>
    </border>
    <border>
      <left style="thin">
        <color indexed="8"/>
      </left>
      <right style="thick">
        <color indexed="8"/>
      </right>
      <top style="thick">
        <color indexed="8"/>
      </top>
      <bottom style="thick">
        <color indexed="8"/>
      </bottom>
      <diagonal/>
    </border>
    <border>
      <left style="medium">
        <color indexed="63"/>
      </left>
      <right style="medium">
        <color indexed="63"/>
      </right>
      <top style="medium">
        <color indexed="63"/>
      </top>
      <bottom/>
      <diagonal/>
    </border>
    <border>
      <left style="thin">
        <color indexed="8"/>
      </left>
      <right style="thin">
        <color indexed="8"/>
      </right>
      <top style="thin">
        <color indexed="8"/>
      </top>
      <bottom style="thin">
        <color indexed="8"/>
      </bottom>
      <diagonal/>
    </border>
    <border>
      <left style="medium">
        <color indexed="63"/>
      </left>
      <right style="thin">
        <color indexed="63"/>
      </right>
      <top/>
      <bottom style="thin">
        <color indexed="63"/>
      </bottom>
      <diagonal/>
    </border>
    <border>
      <left/>
      <right/>
      <top/>
      <bottom style="thin">
        <color indexed="63"/>
      </bottom>
      <diagonal/>
    </border>
    <border>
      <left style="thick">
        <color indexed="63"/>
      </left>
      <right style="thick">
        <color indexed="63"/>
      </right>
      <top style="thick">
        <color indexed="63"/>
      </top>
      <bottom style="thick">
        <color indexed="63"/>
      </bottom>
      <diagonal/>
    </border>
    <border>
      <left/>
      <right style="thin">
        <color indexed="63"/>
      </right>
      <top style="medium">
        <color indexed="63"/>
      </top>
      <bottom style="thin">
        <color indexed="63"/>
      </bottom>
      <diagonal/>
    </border>
    <border>
      <left style="thin">
        <color indexed="63"/>
      </left>
      <right style="thin">
        <color indexed="63"/>
      </right>
      <top style="medium">
        <color indexed="63"/>
      </top>
      <bottom style="thin">
        <color indexed="63"/>
      </bottom>
      <diagonal/>
    </border>
    <border>
      <left style="thin">
        <color indexed="63"/>
      </left>
      <right/>
      <top style="medium">
        <color indexed="63"/>
      </top>
      <bottom style="thin">
        <color indexed="63"/>
      </bottom>
      <diagonal/>
    </border>
    <border>
      <left style="thin">
        <color indexed="63"/>
      </left>
      <right style="medium">
        <color indexed="63"/>
      </right>
      <top style="medium">
        <color indexed="63"/>
      </top>
      <bottom style="thin">
        <color indexed="63"/>
      </bottom>
      <diagonal/>
    </border>
    <border>
      <left style="hair">
        <color indexed="8"/>
      </left>
      <right style="hair">
        <color indexed="8"/>
      </right>
      <top style="hair">
        <color indexed="8"/>
      </top>
      <bottom style="hair">
        <color indexed="8"/>
      </bottom>
      <diagonal/>
    </border>
    <border>
      <left style="hair">
        <color indexed="8"/>
      </left>
      <right style="thick">
        <color indexed="8"/>
      </right>
      <top style="hair">
        <color indexed="8"/>
      </top>
      <bottom style="hair">
        <color indexed="8"/>
      </bottom>
      <diagonal/>
    </border>
    <border>
      <left style="medium">
        <color indexed="63"/>
      </left>
      <right style="thin">
        <color indexed="63"/>
      </right>
      <top style="thin">
        <color indexed="63"/>
      </top>
      <bottom style="thin">
        <color indexed="63"/>
      </bottom>
      <diagonal/>
    </border>
    <border>
      <left/>
      <right/>
      <top style="thin">
        <color indexed="63"/>
      </top>
      <bottom style="thin">
        <color indexed="63"/>
      </bottom>
      <diagonal/>
    </border>
    <border>
      <left/>
      <right style="thin">
        <color indexed="63"/>
      </right>
      <top style="thin">
        <color indexed="63"/>
      </top>
      <bottom style="thin">
        <color indexed="63"/>
      </bottom>
      <diagonal/>
    </border>
    <border>
      <left style="thin">
        <color indexed="63"/>
      </left>
      <right style="medium">
        <color indexed="63"/>
      </right>
      <top style="thin">
        <color indexed="63"/>
      </top>
      <bottom style="thin">
        <color indexed="63"/>
      </bottom>
      <diagonal/>
    </border>
    <border>
      <left style="medium">
        <color indexed="63"/>
      </left>
      <right style="thin">
        <color indexed="63"/>
      </right>
      <top style="thin">
        <color indexed="63"/>
      </top>
      <bottom/>
      <diagonal/>
    </border>
    <border>
      <left/>
      <right/>
      <top style="thin">
        <color indexed="63"/>
      </top>
      <bottom style="medium">
        <color indexed="63"/>
      </bottom>
      <diagonal/>
    </border>
    <border>
      <left/>
      <right style="thin">
        <color indexed="63"/>
      </right>
      <top style="thin">
        <color indexed="63"/>
      </top>
      <bottom style="medium">
        <color indexed="63"/>
      </bottom>
      <diagonal/>
    </border>
    <border>
      <left style="thin">
        <color indexed="63"/>
      </left>
      <right style="medium">
        <color indexed="63"/>
      </right>
      <top style="thin">
        <color indexed="63"/>
      </top>
      <bottom style="medium">
        <color indexed="63"/>
      </bottom>
      <diagonal/>
    </border>
    <border>
      <left style="hair">
        <color indexed="8"/>
      </left>
      <right style="hair">
        <color indexed="8"/>
      </right>
      <top style="hair">
        <color indexed="8"/>
      </top>
      <bottom/>
      <diagonal/>
    </border>
    <border>
      <left style="hair">
        <color indexed="8"/>
      </left>
      <right style="thick">
        <color indexed="8"/>
      </right>
      <top style="hair">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medium">
        <color indexed="63"/>
      </left>
      <right style="medium">
        <color indexed="63"/>
      </right>
      <top/>
      <bottom style="medium">
        <color indexed="63"/>
      </bottom>
      <diagonal/>
    </border>
    <border>
      <left style="thin">
        <color indexed="8"/>
      </left>
      <right style="thin">
        <color indexed="8"/>
      </right>
      <top style="thin">
        <color indexed="63"/>
      </top>
      <bottom style="medium">
        <color indexed="63"/>
      </bottom>
      <diagonal/>
    </border>
    <border>
      <left style="medium">
        <color indexed="63"/>
      </left>
      <right style="medium">
        <color indexed="63"/>
      </right>
      <top style="thin">
        <color indexed="63"/>
      </top>
      <bottom style="thin">
        <color indexed="63"/>
      </bottom>
      <diagonal/>
    </border>
    <border>
      <left style="medium">
        <color indexed="63"/>
      </left>
      <right style="medium">
        <color indexed="63"/>
      </right>
      <top style="medium">
        <color indexed="63"/>
      </top>
      <bottom style="medium">
        <color indexed="63"/>
      </bottom>
      <diagonal/>
    </border>
    <border>
      <left style="thin">
        <color indexed="8"/>
      </left>
      <right style="thin">
        <color indexed="8"/>
      </right>
      <top/>
      <bottom style="thin">
        <color indexed="63"/>
      </bottom>
      <diagonal/>
    </border>
    <border>
      <left style="hair">
        <color indexed="8"/>
      </left>
      <right style="hair">
        <color indexed="8"/>
      </right>
      <top/>
      <bottom style="hair">
        <color indexed="8"/>
      </bottom>
      <diagonal/>
    </border>
    <border>
      <left style="thin">
        <color indexed="8"/>
      </left>
      <right style="thick">
        <color indexed="8"/>
      </right>
      <top style="thin">
        <color indexed="8"/>
      </top>
      <bottom style="thin">
        <color indexed="8"/>
      </bottom>
      <diagonal/>
    </border>
    <border>
      <left style="thin">
        <color indexed="8"/>
      </left>
      <right style="thin">
        <color indexed="8"/>
      </right>
      <top style="thin">
        <color indexed="63"/>
      </top>
      <bottom style="thin">
        <color indexed="63"/>
      </bottom>
      <diagonal/>
    </border>
    <border>
      <left style="thin">
        <color indexed="8"/>
      </left>
      <right style="thin">
        <color indexed="8"/>
      </right>
      <top style="thin">
        <color indexed="63"/>
      </top>
      <bottom style="thin">
        <color indexed="8"/>
      </bottom>
      <diagonal/>
    </border>
    <border>
      <left style="thin">
        <color indexed="63"/>
      </left>
      <right style="thin">
        <color indexed="63"/>
      </right>
      <top/>
      <bottom style="thin">
        <color indexed="63"/>
      </bottom>
      <diagonal/>
    </border>
    <border>
      <left style="thick">
        <color indexed="63"/>
      </left>
      <right/>
      <top/>
      <bottom style="thick">
        <color indexed="63"/>
      </bottom>
      <diagonal/>
    </border>
    <border>
      <left style="hair">
        <color indexed="8"/>
      </left>
      <right style="thick">
        <color indexed="8"/>
      </right>
      <top/>
      <bottom style="hair">
        <color indexed="8"/>
      </bottom>
      <diagonal/>
    </border>
    <border>
      <left style="thin">
        <color indexed="63"/>
      </left>
      <right/>
      <top style="thin">
        <color indexed="63"/>
      </top>
      <bottom style="thin">
        <color indexed="63"/>
      </bottom>
      <diagonal/>
    </border>
    <border>
      <left/>
      <right/>
      <top style="thin">
        <color indexed="63"/>
      </top>
      <bottom/>
      <diagonal/>
    </border>
    <border>
      <left style="thick">
        <color indexed="63"/>
      </left>
      <right/>
      <top style="thick">
        <color indexed="63"/>
      </top>
      <bottom style="thick">
        <color indexed="63"/>
      </bottom>
      <diagonal/>
    </border>
    <border>
      <left/>
      <right style="thick">
        <color indexed="8"/>
      </right>
      <top/>
      <bottom/>
      <diagonal/>
    </border>
    <border>
      <left/>
      <right style="hair">
        <color indexed="8"/>
      </right>
      <top style="hair">
        <color indexed="8"/>
      </top>
      <bottom style="hair">
        <color indexed="8"/>
      </bottom>
      <diagonal/>
    </border>
    <border>
      <left/>
      <right style="medium">
        <color indexed="63"/>
      </right>
      <top style="medium">
        <color indexed="63"/>
      </top>
      <bottom style="medium">
        <color indexed="63"/>
      </bottom>
      <diagonal/>
    </border>
    <border>
      <left style="thick">
        <color indexed="63"/>
      </left>
      <right style="thick">
        <color indexed="63"/>
      </right>
      <top/>
      <bottom style="thick">
        <color indexed="63"/>
      </bottom>
      <diagonal/>
    </border>
    <border>
      <left/>
      <right style="thin">
        <color indexed="63"/>
      </right>
      <top/>
      <bottom style="thin">
        <color indexed="63"/>
      </bottom>
      <diagonal/>
    </border>
    <border>
      <left style="thin">
        <color indexed="63"/>
      </left>
      <right style="medium">
        <color indexed="63"/>
      </right>
      <top/>
      <bottom style="thin">
        <color indexed="63"/>
      </bottom>
      <diagonal/>
    </border>
    <border>
      <left/>
      <right style="thick">
        <color indexed="63"/>
      </right>
      <top style="thick">
        <color indexed="63"/>
      </top>
      <bottom style="thick">
        <color indexed="63"/>
      </bottom>
      <diagonal/>
    </border>
    <border>
      <left/>
      <right/>
      <top/>
      <bottom style="thick">
        <color indexed="63"/>
      </bottom>
      <diagonal/>
    </border>
    <border>
      <left style="medium">
        <color indexed="63"/>
      </left>
      <right style="medium">
        <color indexed="63"/>
      </right>
      <top style="medium">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s>
  <cellStyleXfs count="99">
    <xf numFmtId="0" fontId="0" fillId="0" borderId="0"/>
    <xf numFmtId="0" fontId="1" fillId="0" borderId="0"/>
    <xf numFmtId="0" fontId="4" fillId="0" borderId="0"/>
    <xf numFmtId="0" fontId="11" fillId="0" borderId="0"/>
    <xf numFmtId="9" fontId="4" fillId="0" borderId="0" applyFill="0" applyBorder="0" applyAlignment="0" applyProtection="0"/>
    <xf numFmtId="165" fontId="4" fillId="0" borderId="0" applyFill="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6" borderId="0" applyNumberFormat="0" applyBorder="0" applyAlignment="0" applyProtection="0"/>
    <xf numFmtId="0" fontId="1" fillId="13" borderId="0" applyNumberFormat="0" applyBorder="0" applyAlignment="0" applyProtection="0"/>
    <xf numFmtId="0" fontId="1" fillId="7" borderId="0" applyNumberFormat="0" applyBorder="0" applyAlignment="0" applyProtection="0"/>
    <xf numFmtId="0" fontId="1" fillId="10" borderId="0" applyNumberFormat="0" applyBorder="0" applyAlignment="0" applyProtection="0"/>
    <xf numFmtId="0" fontId="1" fillId="6" borderId="0" applyNumberFormat="0" applyBorder="0" applyAlignment="0" applyProtection="0"/>
    <xf numFmtId="0" fontId="1" fillId="14" borderId="0" applyNumberFormat="0" applyBorder="0" applyAlignment="0" applyProtection="0"/>
    <xf numFmtId="0" fontId="1" fillId="6" borderId="0" applyNumberFormat="0" applyBorder="0" applyAlignment="0" applyProtection="0"/>
    <xf numFmtId="0" fontId="1" fillId="13" borderId="0" applyNumberFormat="0" applyBorder="0" applyAlignment="0" applyProtection="0"/>
    <xf numFmtId="0" fontId="1" fillId="7" borderId="0" applyNumberFormat="0" applyBorder="0" applyAlignment="0" applyProtection="0"/>
    <xf numFmtId="0" fontId="1" fillId="10" borderId="0" applyNumberFormat="0" applyBorder="0" applyAlignment="0" applyProtection="0"/>
    <xf numFmtId="0" fontId="1" fillId="6" borderId="0" applyNumberFormat="0" applyBorder="0" applyAlignment="0" applyProtection="0"/>
    <xf numFmtId="0" fontId="1" fillId="14" borderId="0" applyNumberFormat="0" applyBorder="0" applyAlignment="0" applyProtection="0"/>
    <xf numFmtId="0" fontId="29" fillId="15" borderId="0" applyNumberFormat="0" applyBorder="0" applyAlignment="0" applyProtection="0"/>
    <xf numFmtId="0" fontId="29" fillId="13" borderId="0" applyNumberFormat="0" applyBorder="0" applyAlignment="0" applyProtection="0"/>
    <xf numFmtId="0" fontId="29" fillId="7"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5" borderId="0" applyNumberFormat="0" applyBorder="0" applyAlignment="0" applyProtection="0"/>
    <xf numFmtId="0" fontId="29" fillId="13" borderId="0" applyNumberFormat="0" applyBorder="0" applyAlignment="0" applyProtection="0"/>
    <xf numFmtId="0" fontId="29" fillId="7"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4"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21" borderId="0" applyNumberFormat="0" applyBorder="0" applyAlignment="0" applyProtection="0"/>
    <xf numFmtId="0" fontId="4" fillId="22" borderId="0" applyNumberFormat="0" applyBorder="0" applyAlignment="0" applyProtection="0"/>
    <xf numFmtId="0" fontId="30" fillId="8" borderId="0" applyNumberFormat="0" applyBorder="0" applyAlignment="0" applyProtection="0"/>
    <xf numFmtId="0" fontId="31" fillId="9" borderId="0" applyNumberFormat="0" applyBorder="0" applyAlignment="0" applyProtection="0"/>
    <xf numFmtId="0" fontId="32" fillId="3" borderId="63" applyNumberFormat="0" applyAlignment="0" applyProtection="0"/>
    <xf numFmtId="0" fontId="32" fillId="3" borderId="63" applyNumberFormat="0" applyAlignment="0" applyProtection="0"/>
    <xf numFmtId="0" fontId="33" fillId="23" borderId="64" applyNumberFormat="0" applyAlignment="0" applyProtection="0"/>
    <xf numFmtId="0" fontId="34" fillId="0" borderId="65" applyNumberFormat="0" applyFill="0" applyAlignment="0" applyProtection="0"/>
    <xf numFmtId="0" fontId="35" fillId="0" borderId="0" applyNumberFormat="0" applyFill="0" applyBorder="0" applyAlignment="0" applyProtection="0"/>
    <xf numFmtId="0" fontId="29" fillId="4"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21" borderId="0" applyNumberFormat="0" applyBorder="0" applyAlignment="0" applyProtection="0"/>
    <xf numFmtId="0" fontId="36" fillId="12" borderId="63" applyNumberFormat="0" applyAlignment="0" applyProtection="0"/>
    <xf numFmtId="167" fontId="4" fillId="0" borderId="0" applyFill="0" applyBorder="0" applyAlignment="0" applyProtection="0"/>
    <xf numFmtId="167" fontId="4" fillId="0" borderId="0" applyFill="0" applyBorder="0" applyAlignment="0" applyProtection="0"/>
    <xf numFmtId="0" fontId="37" fillId="0" borderId="0" applyNumberFormat="0" applyFill="0" applyBorder="0" applyAlignment="0" applyProtection="0"/>
    <xf numFmtId="0" fontId="38" fillId="0" borderId="66" applyNumberFormat="0" applyFill="0" applyAlignment="0" applyProtection="0"/>
    <xf numFmtId="0" fontId="39" fillId="0" borderId="67" applyNumberFormat="0" applyFill="0" applyAlignment="0" applyProtection="0"/>
    <xf numFmtId="0" fontId="35" fillId="0" borderId="68" applyNumberFormat="0" applyFill="0" applyAlignment="0" applyProtection="0"/>
    <xf numFmtId="0" fontId="30" fillId="8" borderId="0" applyNumberFormat="0" applyBorder="0" applyAlignment="0" applyProtection="0"/>
    <xf numFmtId="168" fontId="1" fillId="0" borderId="0" applyFont="0" applyFill="0" applyBorder="0" applyAlignment="0" applyProtection="0"/>
    <xf numFmtId="169" fontId="4" fillId="0" borderId="0" applyFill="0" applyBorder="0" applyAlignment="0" applyProtection="0"/>
    <xf numFmtId="170" fontId="4" fillId="0" borderId="0" applyFill="0" applyBorder="0" applyAlignment="0" applyProtection="0"/>
    <xf numFmtId="170" fontId="4" fillId="0" borderId="0" applyFill="0" applyBorder="0" applyAlignment="0" applyProtection="0"/>
    <xf numFmtId="171" fontId="4" fillId="0" borderId="0" applyFill="0" applyBorder="0" applyAlignment="0" applyProtection="0"/>
    <xf numFmtId="165" fontId="4" fillId="0" borderId="0" applyFill="0" applyBorder="0" applyAlignment="0" applyProtection="0"/>
    <xf numFmtId="0" fontId="40" fillId="24" borderId="0" applyNumberFormat="0" applyBorder="0" applyAlignment="0" applyProtection="0"/>
    <xf numFmtId="0" fontId="1" fillId="0" borderId="0"/>
    <xf numFmtId="0" fontId="4" fillId="0" borderId="0"/>
    <xf numFmtId="0" fontId="4" fillId="0" borderId="0"/>
    <xf numFmtId="0" fontId="4" fillId="25" borderId="69" applyNumberFormat="0" applyAlignment="0" applyProtection="0"/>
    <xf numFmtId="0" fontId="4" fillId="25" borderId="69" applyNumberFormat="0" applyAlignment="0" applyProtection="0"/>
    <xf numFmtId="0" fontId="41" fillId="3" borderId="4" applyNumberFormat="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ill="0" applyBorder="0" applyAlignment="0" applyProtection="0"/>
    <xf numFmtId="9" fontId="4" fillId="0" borderId="0" applyFill="0" applyBorder="0" applyAlignment="0" applyProtection="0"/>
    <xf numFmtId="0" fontId="4" fillId="26" borderId="0" applyNumberFormat="0" applyBorder="0" applyAlignment="0" applyProtection="0"/>
    <xf numFmtId="0" fontId="41" fillId="3" borderId="4" applyNumberFormat="0" applyAlignment="0" applyProtection="0"/>
    <xf numFmtId="0" fontId="24" fillId="0" borderId="0"/>
    <xf numFmtId="0" fontId="42" fillId="0" borderId="0" applyNumberFormat="0" applyFill="0" applyBorder="0" applyAlignment="0" applyProtection="0"/>
    <xf numFmtId="0" fontId="37" fillId="0" borderId="0" applyNumberFormat="0" applyFill="0" applyBorder="0" applyAlignment="0" applyProtection="0"/>
    <xf numFmtId="0" fontId="43" fillId="0" borderId="0" applyNumberFormat="0" applyFill="0" applyBorder="0" applyAlignment="0" applyProtection="0"/>
    <xf numFmtId="0" fontId="38" fillId="0" borderId="66" applyNumberFormat="0" applyFill="0" applyAlignment="0" applyProtection="0"/>
    <xf numFmtId="0" fontId="39" fillId="0" borderId="67" applyNumberFormat="0" applyFill="0" applyAlignment="0" applyProtection="0"/>
    <xf numFmtId="0" fontId="35" fillId="0" borderId="68" applyNumberFormat="0" applyFill="0" applyAlignment="0" applyProtection="0"/>
    <xf numFmtId="0" fontId="43" fillId="0" borderId="0" applyNumberFormat="0" applyFill="0" applyBorder="0" applyAlignment="0" applyProtection="0"/>
    <xf numFmtId="0" fontId="44" fillId="0" borderId="70" applyNumberFormat="0" applyFill="0" applyAlignment="0" applyProtection="0"/>
    <xf numFmtId="0" fontId="4" fillId="27" borderId="0" applyNumberFormat="0" applyBorder="0" applyAlignment="0" applyProtection="0"/>
  </cellStyleXfs>
  <cellXfs count="336">
    <xf numFmtId="0" fontId="0" fillId="0" borderId="0" xfId="0"/>
    <xf numFmtId="0" fontId="2" fillId="2" borderId="1" xfId="1" applyFont="1" applyFill="1" applyBorder="1" applyAlignment="1" applyProtection="1">
      <alignment horizontal="center" wrapText="1"/>
    </xf>
    <xf numFmtId="0" fontId="3" fillId="2" borderId="2" xfId="1" applyFont="1" applyFill="1" applyBorder="1" applyAlignment="1" applyProtection="1">
      <alignment horizontal="center"/>
    </xf>
    <xf numFmtId="0" fontId="2" fillId="2" borderId="2" xfId="1" applyFont="1" applyFill="1" applyBorder="1" applyAlignment="1" applyProtection="1">
      <alignment horizontal="center"/>
    </xf>
    <xf numFmtId="0" fontId="4" fillId="0" borderId="0" xfId="2"/>
    <xf numFmtId="0" fontId="3" fillId="2" borderId="3" xfId="1" applyFont="1" applyFill="1" applyBorder="1" applyAlignment="1" applyProtection="1">
      <alignment horizontal="center" vertical="center" wrapText="1"/>
    </xf>
    <xf numFmtId="0" fontId="2" fillId="2" borderId="3" xfId="1" applyFont="1" applyFill="1" applyBorder="1" applyAlignment="1" applyProtection="1">
      <alignment horizontal="center" vertical="center" wrapText="1"/>
    </xf>
    <xf numFmtId="0" fontId="3" fillId="3" borderId="4" xfId="1" applyFont="1" applyFill="1" applyBorder="1" applyAlignment="1" applyProtection="1">
      <alignment horizontal="center" wrapText="1"/>
    </xf>
    <xf numFmtId="0" fontId="5" fillId="2" borderId="4" xfId="1" applyFont="1" applyFill="1" applyBorder="1" applyAlignment="1" applyProtection="1">
      <alignment horizontal="center" wrapText="1"/>
    </xf>
    <xf numFmtId="0" fontId="5" fillId="2" borderId="4" xfId="1" applyFont="1" applyFill="1" applyBorder="1" applyAlignment="1" applyProtection="1">
      <alignment horizontal="center" wrapText="1"/>
    </xf>
    <xf numFmtId="0" fontId="6" fillId="2" borderId="4" xfId="1" applyFont="1" applyFill="1" applyBorder="1" applyAlignment="1" applyProtection="1">
      <alignment horizontal="center"/>
    </xf>
    <xf numFmtId="0" fontId="6" fillId="2" borderId="4" xfId="1" applyFont="1" applyFill="1" applyBorder="1" applyAlignment="1" applyProtection="1">
      <alignment horizontal="center"/>
    </xf>
    <xf numFmtId="0" fontId="3" fillId="3" borderId="4" xfId="1" applyFont="1" applyFill="1" applyBorder="1" applyAlignment="1" applyProtection="1">
      <alignment horizontal="center" vertical="center" wrapText="1"/>
    </xf>
    <xf numFmtId="164" fontId="6" fillId="2" borderId="4" xfId="1" applyNumberFormat="1" applyFont="1" applyFill="1" applyBorder="1" applyAlignment="1" applyProtection="1">
      <alignment horizontal="center" vertical="center"/>
    </xf>
    <xf numFmtId="0" fontId="3" fillId="3" borderId="5" xfId="1" applyFont="1" applyFill="1" applyBorder="1" applyAlignment="1" applyProtection="1">
      <alignment horizontal="center" wrapText="1"/>
    </xf>
    <xf numFmtId="0" fontId="6" fillId="2" borderId="5" xfId="1" applyFont="1" applyFill="1" applyBorder="1" applyAlignment="1" applyProtection="1">
      <alignment horizontal="center" wrapText="1"/>
    </xf>
    <xf numFmtId="0" fontId="6" fillId="2" borderId="5" xfId="1" applyFont="1" applyFill="1" applyBorder="1" applyAlignment="1" applyProtection="1">
      <alignment horizontal="center" wrapText="1"/>
    </xf>
    <xf numFmtId="0" fontId="6" fillId="3" borderId="6" xfId="1" applyFont="1" applyFill="1" applyBorder="1" applyAlignment="1" applyProtection="1">
      <alignment horizontal="center" vertical="center" wrapText="1"/>
    </xf>
    <xf numFmtId="0" fontId="6" fillId="3" borderId="7" xfId="1" applyFont="1" applyFill="1" applyBorder="1" applyAlignment="1" applyProtection="1">
      <alignment horizontal="center" vertical="center" wrapText="1"/>
    </xf>
    <xf numFmtId="0" fontId="6" fillId="3" borderId="8" xfId="1" applyFont="1" applyFill="1" applyBorder="1" applyAlignment="1" applyProtection="1">
      <alignment horizontal="center" vertical="center" wrapText="1"/>
    </xf>
    <xf numFmtId="0" fontId="6" fillId="3" borderId="9" xfId="1" applyFont="1" applyFill="1" applyBorder="1" applyAlignment="1" applyProtection="1">
      <alignment horizontal="center" vertical="center" wrapText="1"/>
    </xf>
    <xf numFmtId="0" fontId="6" fillId="3" borderId="9" xfId="1" applyFont="1" applyFill="1" applyBorder="1" applyAlignment="1" applyProtection="1">
      <alignment horizontal="center" vertical="center" textRotation="90" wrapText="1"/>
    </xf>
    <xf numFmtId="0" fontId="6" fillId="3" borderId="10" xfId="1" applyFont="1" applyFill="1" applyBorder="1" applyAlignment="1" applyProtection="1">
      <alignment horizontal="center" vertical="center" wrapText="1"/>
    </xf>
    <xf numFmtId="0" fontId="7" fillId="0" borderId="0" xfId="2" applyFont="1"/>
    <xf numFmtId="0" fontId="6" fillId="3" borderId="9" xfId="1" applyFont="1" applyFill="1" applyBorder="1" applyAlignment="1" applyProtection="1">
      <alignment horizontal="center" vertical="center" wrapText="1"/>
    </xf>
    <xf numFmtId="0" fontId="8" fillId="3" borderId="10" xfId="1" applyFont="1" applyFill="1" applyBorder="1" applyAlignment="1" applyProtection="1">
      <alignment horizontal="center" vertical="center" wrapText="1"/>
    </xf>
    <xf numFmtId="9" fontId="9" fillId="4" borderId="9" xfId="1" applyNumberFormat="1" applyFont="1" applyFill="1" applyBorder="1" applyAlignment="1" applyProtection="1">
      <alignment horizontal="center" vertical="center" wrapText="1"/>
    </xf>
    <xf numFmtId="0" fontId="8" fillId="3" borderId="9" xfId="1" applyFont="1" applyFill="1" applyBorder="1" applyAlignment="1" applyProtection="1">
      <alignment horizontal="center" vertical="center" wrapText="1"/>
    </xf>
    <xf numFmtId="0" fontId="6" fillId="3" borderId="11" xfId="2" applyFont="1" applyFill="1" applyBorder="1" applyAlignment="1" applyProtection="1">
      <alignment horizontal="center" vertical="center" wrapText="1"/>
      <protection locked="0"/>
    </xf>
    <xf numFmtId="0" fontId="6" fillId="3" borderId="12" xfId="2" applyFont="1" applyFill="1" applyBorder="1" applyAlignment="1" applyProtection="1">
      <alignment horizontal="center" vertical="center" wrapText="1"/>
      <protection locked="0"/>
    </xf>
    <xf numFmtId="0" fontId="6" fillId="3" borderId="6" xfId="1" applyFont="1" applyFill="1" applyBorder="1" applyAlignment="1" applyProtection="1">
      <alignment horizontal="center" vertical="center" wrapText="1"/>
    </xf>
    <xf numFmtId="0" fontId="8" fillId="3" borderId="13" xfId="2" applyFont="1" applyFill="1" applyBorder="1" applyAlignment="1" applyProtection="1">
      <alignment horizontal="center" vertical="center" wrapText="1"/>
      <protection locked="0"/>
    </xf>
    <xf numFmtId="0" fontId="8" fillId="3" borderId="14" xfId="2" applyFont="1" applyFill="1" applyBorder="1" applyAlignment="1" applyProtection="1">
      <alignment horizontal="center" vertical="center" wrapText="1"/>
      <protection locked="0"/>
    </xf>
    <xf numFmtId="0" fontId="8" fillId="3" borderId="15" xfId="2" applyFont="1" applyFill="1" applyBorder="1" applyAlignment="1" applyProtection="1">
      <alignment horizontal="center" vertical="center" wrapText="1"/>
      <protection locked="0"/>
    </xf>
    <xf numFmtId="0" fontId="8" fillId="3" borderId="12" xfId="2" applyFont="1" applyFill="1" applyBorder="1" applyAlignment="1" applyProtection="1">
      <alignment horizontal="center" vertical="center" wrapText="1"/>
      <protection locked="0"/>
    </xf>
    <xf numFmtId="0" fontId="0" fillId="2" borderId="16" xfId="1" applyFont="1" applyFill="1" applyBorder="1" applyAlignment="1" applyProtection="1">
      <alignment horizontal="center" vertical="center" wrapText="1"/>
    </xf>
    <xf numFmtId="0" fontId="10" fillId="2" borderId="17" xfId="1" applyFont="1" applyFill="1" applyBorder="1" applyAlignment="1" applyProtection="1">
      <alignment horizontal="center" vertical="center" wrapText="1"/>
    </xf>
    <xf numFmtId="0" fontId="10" fillId="2" borderId="18" xfId="1" applyFont="1" applyFill="1" applyBorder="1" applyAlignment="1" applyProtection="1">
      <alignment horizontal="center" vertical="center" wrapText="1"/>
    </xf>
    <xf numFmtId="0" fontId="0" fillId="2" borderId="19" xfId="1" applyFont="1" applyFill="1" applyBorder="1" applyAlignment="1" applyProtection="1">
      <alignment horizontal="center" vertical="center" wrapText="1"/>
    </xf>
    <xf numFmtId="9" fontId="12" fillId="2" borderId="20" xfId="3" applyNumberFormat="1" applyFont="1" applyFill="1" applyBorder="1" applyAlignment="1" applyProtection="1">
      <alignment horizontal="center" vertical="center" wrapText="1"/>
    </xf>
    <xf numFmtId="0" fontId="0" fillId="2" borderId="21" xfId="1" applyFont="1" applyFill="1" applyBorder="1" applyAlignment="1" applyProtection="1">
      <alignment horizontal="center" vertical="center" wrapText="1"/>
    </xf>
    <xf numFmtId="0" fontId="0" fillId="2" borderId="22" xfId="1" applyFont="1" applyFill="1" applyBorder="1" applyAlignment="1" applyProtection="1">
      <alignment horizontal="center" vertical="center" wrapText="1"/>
    </xf>
    <xf numFmtId="0" fontId="13" fillId="5" borderId="22" xfId="1" applyNumberFormat="1" applyFont="1" applyFill="1" applyBorder="1" applyAlignment="1" applyProtection="1">
      <alignment horizontal="center" vertical="center" wrapText="1"/>
    </xf>
    <xf numFmtId="0" fontId="0" fillId="5" borderId="22" xfId="1" applyNumberFormat="1" applyFont="1" applyFill="1" applyBorder="1" applyAlignment="1" applyProtection="1">
      <alignment horizontal="center" vertical="center" wrapText="1"/>
    </xf>
    <xf numFmtId="9" fontId="10" fillId="5" borderId="22" xfId="4" applyFont="1" applyFill="1" applyBorder="1" applyAlignment="1" applyProtection="1">
      <alignment horizontal="center" vertical="center" wrapText="1"/>
    </xf>
    <xf numFmtId="0" fontId="13" fillId="2" borderId="22" xfId="1" applyNumberFormat="1" applyFont="1" applyFill="1" applyBorder="1" applyAlignment="1" applyProtection="1">
      <alignment horizontal="center" vertical="center" wrapText="1"/>
    </xf>
    <xf numFmtId="0" fontId="0" fillId="2" borderId="22" xfId="1" applyNumberFormat="1" applyFont="1" applyFill="1" applyBorder="1" applyAlignment="1" applyProtection="1">
      <alignment horizontal="center" vertical="center" wrapText="1"/>
    </xf>
    <xf numFmtId="9" fontId="10" fillId="2" borderId="22" xfId="4" applyFont="1" applyFill="1" applyBorder="1" applyAlignment="1" applyProtection="1">
      <alignment horizontal="center" vertical="center" wrapText="1"/>
    </xf>
    <xf numFmtId="1" fontId="7" fillId="5" borderId="23" xfId="1" applyNumberFormat="1" applyFont="1" applyFill="1" applyBorder="1" applyAlignment="1" applyProtection="1">
      <alignment horizontal="center" vertical="center" wrapText="1"/>
    </xf>
    <xf numFmtId="1" fontId="7" fillId="5" borderId="4" xfId="1" applyNumberFormat="1" applyFont="1" applyFill="1" applyBorder="1" applyAlignment="1" applyProtection="1">
      <alignment horizontal="center" vertical="center" wrapText="1"/>
    </xf>
    <xf numFmtId="9" fontId="7" fillId="5" borderId="4" xfId="4" applyFont="1" applyFill="1" applyBorder="1" applyAlignment="1" applyProtection="1">
      <alignment horizontal="center" vertical="center" wrapText="1"/>
    </xf>
    <xf numFmtId="166" fontId="10" fillId="2" borderId="21" xfId="5" applyNumberFormat="1" applyFont="1" applyFill="1" applyBorder="1" applyAlignment="1" applyProtection="1">
      <alignment horizontal="center" vertical="center" wrapText="1"/>
    </xf>
    <xf numFmtId="166" fontId="10" fillId="2" borderId="22" xfId="1" applyNumberFormat="1" applyFont="1" applyFill="1" applyBorder="1" applyAlignment="1" applyProtection="1">
      <alignment horizontal="center" vertical="center" wrapText="1"/>
    </xf>
    <xf numFmtId="10" fontId="10" fillId="2" borderId="22" xfId="1" applyNumberFormat="1" applyFont="1" applyFill="1" applyBorder="1" applyAlignment="1" applyProtection="1">
      <alignment horizontal="center" vertical="center" wrapText="1"/>
    </xf>
    <xf numFmtId="10" fontId="10" fillId="2" borderId="24" xfId="1" applyNumberFormat="1" applyFont="1" applyFill="1" applyBorder="1" applyAlignment="1" applyProtection="1">
      <alignment horizontal="center" vertical="center" wrapText="1"/>
    </xf>
    <xf numFmtId="10" fontId="14" fillId="2" borderId="20" xfId="3" applyNumberFormat="1" applyFont="1" applyFill="1" applyBorder="1" applyAlignment="1" applyProtection="1">
      <alignment horizontal="center" vertical="center" wrapText="1"/>
    </xf>
    <xf numFmtId="0" fontId="4" fillId="6" borderId="25" xfId="2" applyFont="1" applyFill="1" applyBorder="1" applyAlignment="1" applyProtection="1">
      <alignment horizontal="center" vertical="center" wrapText="1"/>
      <protection locked="0"/>
    </xf>
    <xf numFmtId="9" fontId="4" fillId="6" borderId="25" xfId="2" applyNumberFormat="1" applyFont="1" applyFill="1" applyBorder="1" applyAlignment="1">
      <alignment horizontal="center" vertical="center" wrapText="1"/>
    </xf>
    <xf numFmtId="0" fontId="4" fillId="0" borderId="25" xfId="2" applyFont="1" applyBorder="1" applyAlignment="1" applyProtection="1">
      <alignment horizontal="center" vertical="center" wrapText="1"/>
      <protection locked="0"/>
    </xf>
    <xf numFmtId="0" fontId="4" fillId="0" borderId="25" xfId="2" applyFont="1" applyBorder="1" applyAlignment="1">
      <alignment horizontal="center" vertical="center" wrapText="1"/>
    </xf>
    <xf numFmtId="0" fontId="4" fillId="0" borderId="26" xfId="2" applyFont="1" applyBorder="1" applyAlignment="1">
      <alignment horizontal="center" vertical="center" wrapText="1"/>
    </xf>
    <xf numFmtId="0" fontId="4" fillId="6" borderId="17" xfId="2" applyFont="1" applyFill="1" applyBorder="1" applyAlignment="1" applyProtection="1">
      <alignment horizontal="center" vertical="center" wrapText="1"/>
      <protection locked="0"/>
    </xf>
    <xf numFmtId="9" fontId="4" fillId="6" borderId="17" xfId="2" applyNumberFormat="1" applyFont="1" applyFill="1" applyBorder="1" applyAlignment="1">
      <alignment horizontal="center" vertical="center" wrapText="1"/>
    </xf>
    <xf numFmtId="0" fontId="4" fillId="2" borderId="17" xfId="2" applyFont="1" applyFill="1" applyBorder="1" applyAlignment="1" applyProtection="1">
      <alignment horizontal="center" vertical="center" wrapText="1"/>
      <protection locked="0"/>
    </xf>
    <xf numFmtId="9" fontId="4" fillId="2" borderId="17" xfId="2" applyNumberFormat="1" applyFont="1" applyFill="1" applyBorder="1" applyAlignment="1">
      <alignment horizontal="left" vertical="top" wrapText="1"/>
    </xf>
    <xf numFmtId="0" fontId="10" fillId="2" borderId="27" xfId="1" applyFont="1" applyFill="1" applyBorder="1" applyAlignment="1" applyProtection="1">
      <alignment horizontal="center" vertical="center" wrapText="1"/>
    </xf>
    <xf numFmtId="0" fontId="0" fillId="2" borderId="28" xfId="1" applyFont="1" applyFill="1" applyBorder="1" applyAlignment="1" applyProtection="1">
      <alignment horizontal="center" vertical="center" wrapText="1"/>
    </xf>
    <xf numFmtId="0" fontId="0" fillId="2" borderId="29" xfId="1" applyFont="1" applyFill="1" applyBorder="1" applyAlignment="1" applyProtection="1">
      <alignment horizontal="center" vertical="center" wrapText="1"/>
    </xf>
    <xf numFmtId="0" fontId="0" fillId="2" borderId="4" xfId="1" applyFont="1" applyFill="1" applyBorder="1" applyAlignment="1" applyProtection="1">
      <alignment horizontal="center" vertical="center" wrapText="1"/>
    </xf>
    <xf numFmtId="0" fontId="13" fillId="5" borderId="4" xfId="1" applyNumberFormat="1" applyFont="1" applyFill="1" applyBorder="1" applyAlignment="1" applyProtection="1">
      <alignment horizontal="center" vertical="center" wrapText="1"/>
    </xf>
    <xf numFmtId="0" fontId="13" fillId="2" borderId="4" xfId="1" applyNumberFormat="1" applyFont="1" applyFill="1" applyBorder="1" applyAlignment="1" applyProtection="1">
      <alignment horizontal="center" vertical="center" wrapText="1"/>
    </xf>
    <xf numFmtId="166" fontId="10" fillId="2" borderId="29" xfId="5" applyNumberFormat="1" applyFont="1" applyFill="1" applyBorder="1" applyAlignment="1" applyProtection="1">
      <alignment horizontal="center" vertical="center" wrapText="1"/>
    </xf>
    <xf numFmtId="166" fontId="10" fillId="2" borderId="4" xfId="1" applyNumberFormat="1" applyFont="1" applyFill="1" applyBorder="1" applyAlignment="1" applyProtection="1">
      <alignment horizontal="center" vertical="center" wrapText="1"/>
    </xf>
    <xf numFmtId="10" fontId="10" fillId="2" borderId="30" xfId="1" applyNumberFormat="1" applyFont="1" applyFill="1" applyBorder="1" applyAlignment="1" applyProtection="1">
      <alignment horizontal="center" vertical="center" wrapText="1"/>
    </xf>
    <xf numFmtId="0" fontId="4" fillId="0" borderId="17" xfId="2" applyFont="1" applyBorder="1" applyAlignment="1" applyProtection="1">
      <alignment horizontal="center" vertical="center" wrapText="1"/>
      <protection locked="0"/>
    </xf>
    <xf numFmtId="9" fontId="4" fillId="0" borderId="17" xfId="2" applyNumberFormat="1" applyFont="1" applyFill="1" applyBorder="1" applyAlignment="1">
      <alignment horizontal="left" vertical="center" wrapText="1"/>
    </xf>
    <xf numFmtId="0" fontId="10" fillId="2" borderId="31" xfId="1" applyFont="1" applyFill="1" applyBorder="1" applyAlignment="1" applyProtection="1">
      <alignment horizontal="center" vertical="center" wrapText="1"/>
    </xf>
    <xf numFmtId="0" fontId="0" fillId="2" borderId="32" xfId="1" applyFont="1" applyFill="1" applyBorder="1" applyAlignment="1" applyProtection="1">
      <alignment horizontal="center" vertical="center" wrapText="1"/>
    </xf>
    <xf numFmtId="0" fontId="0" fillId="2" borderId="33" xfId="1" applyFont="1" applyFill="1" applyBorder="1" applyAlignment="1" applyProtection="1">
      <alignment horizontal="center" vertical="center" wrapText="1"/>
    </xf>
    <xf numFmtId="0" fontId="0" fillId="2" borderId="5" xfId="1" applyFont="1" applyFill="1" applyBorder="1" applyAlignment="1" applyProtection="1">
      <alignment horizontal="center" vertical="center" wrapText="1"/>
    </xf>
    <xf numFmtId="0" fontId="13" fillId="5" borderId="5" xfId="1" applyNumberFormat="1" applyFont="1" applyFill="1" applyBorder="1" applyAlignment="1" applyProtection="1">
      <alignment horizontal="center" vertical="center" wrapText="1"/>
    </xf>
    <xf numFmtId="0" fontId="13" fillId="2" borderId="5" xfId="1" applyNumberFormat="1" applyFont="1" applyFill="1" applyBorder="1" applyAlignment="1" applyProtection="1">
      <alignment horizontal="center" vertical="center" wrapText="1"/>
    </xf>
    <xf numFmtId="10" fontId="10" fillId="2" borderId="33" xfId="1" applyNumberFormat="1" applyFont="1" applyFill="1" applyBorder="1" applyAlignment="1" applyProtection="1">
      <alignment horizontal="center" vertical="center" wrapText="1"/>
    </xf>
    <xf numFmtId="10" fontId="10" fillId="2" borderId="5" xfId="1" applyNumberFormat="1" applyFont="1" applyFill="1" applyBorder="1" applyAlignment="1" applyProtection="1">
      <alignment horizontal="center" vertical="center" wrapText="1"/>
    </xf>
    <xf numFmtId="10" fontId="10" fillId="2" borderId="34" xfId="1" applyNumberFormat="1" applyFont="1" applyFill="1" applyBorder="1" applyAlignment="1" applyProtection="1">
      <alignment horizontal="center" vertical="center" wrapText="1"/>
    </xf>
    <xf numFmtId="9" fontId="4" fillId="6" borderId="35" xfId="2" applyNumberFormat="1" applyFont="1" applyFill="1" applyBorder="1" applyAlignment="1">
      <alignment horizontal="left" vertical="center" wrapText="1"/>
    </xf>
    <xf numFmtId="9" fontId="4" fillId="6" borderId="35" xfId="2" applyNumberFormat="1" applyFont="1" applyFill="1" applyBorder="1" applyAlignment="1">
      <alignment horizontal="center" vertical="center" wrapText="1"/>
    </xf>
    <xf numFmtId="0" fontId="4" fillId="2" borderId="35" xfId="2" applyFont="1" applyFill="1" applyBorder="1" applyAlignment="1">
      <alignment horizontal="center" vertical="center" wrapText="1"/>
    </xf>
    <xf numFmtId="0" fontId="4" fillId="0" borderId="36" xfId="2" applyFont="1" applyBorder="1" applyAlignment="1">
      <alignment horizontal="center" vertical="center" wrapText="1"/>
    </xf>
    <xf numFmtId="9" fontId="15" fillId="6" borderId="37" xfId="2" applyNumberFormat="1" applyFont="1" applyFill="1" applyBorder="1" applyAlignment="1">
      <alignment horizontal="left" vertical="center" wrapText="1"/>
    </xf>
    <xf numFmtId="9" fontId="4" fillId="6" borderId="38" xfId="2" applyNumberFormat="1" applyFont="1" applyFill="1" applyBorder="1" applyAlignment="1">
      <alignment horizontal="center" vertical="center" wrapText="1"/>
    </xf>
    <xf numFmtId="9" fontId="4" fillId="0" borderId="17" xfId="2" applyNumberFormat="1" applyFont="1" applyFill="1" applyBorder="1" applyAlignment="1">
      <alignment horizontal="left" vertical="top" wrapText="1"/>
    </xf>
    <xf numFmtId="0" fontId="5" fillId="3" borderId="39" xfId="1" applyFont="1" applyFill="1" applyBorder="1" applyAlignment="1" applyProtection="1">
      <alignment horizontal="center" vertical="center" wrapText="1"/>
    </xf>
    <xf numFmtId="0" fontId="6" fillId="7" borderId="40" xfId="1" applyFont="1" applyFill="1" applyBorder="1" applyAlignment="1" applyProtection="1">
      <alignment horizontal="center" vertical="center" wrapText="1"/>
    </xf>
    <xf numFmtId="0" fontId="10" fillId="3" borderId="41" xfId="1" applyFont="1" applyFill="1" applyBorder="1" applyAlignment="1" applyProtection="1">
      <alignment horizontal="center" vertical="center" wrapText="1"/>
    </xf>
    <xf numFmtId="0" fontId="0" fillId="2" borderId="42" xfId="1" applyFont="1" applyFill="1" applyBorder="1" applyAlignment="1" applyProtection="1">
      <alignment horizontal="center" vertical="center" wrapText="1"/>
    </xf>
    <xf numFmtId="0" fontId="10" fillId="2" borderId="42" xfId="1" applyFont="1" applyFill="1" applyBorder="1" applyAlignment="1" applyProtection="1">
      <alignment horizontal="center" vertical="center" wrapText="1"/>
    </xf>
    <xf numFmtId="0" fontId="10" fillId="2" borderId="43" xfId="1" applyFont="1" applyFill="1" applyBorder="1" applyAlignment="1" applyProtection="1">
      <alignment horizontal="center" vertical="center" wrapText="1"/>
    </xf>
    <xf numFmtId="0" fontId="14" fillId="0" borderId="28" xfId="1" applyFont="1" applyFill="1" applyBorder="1" applyAlignment="1" applyProtection="1">
      <alignment horizontal="center" vertical="center" wrapText="1"/>
    </xf>
    <xf numFmtId="9" fontId="17" fillId="2" borderId="20" xfId="4" applyFont="1" applyFill="1" applyBorder="1" applyAlignment="1" applyProtection="1">
      <alignment horizontal="center" vertical="center" wrapText="1"/>
    </xf>
    <xf numFmtId="9" fontId="13" fillId="5" borderId="22" xfId="1" applyNumberFormat="1" applyFont="1" applyFill="1" applyBorder="1" applyAlignment="1" applyProtection="1">
      <alignment horizontal="center" vertical="center" wrapText="1"/>
    </xf>
    <xf numFmtId="10" fontId="0" fillId="5" borderId="22" xfId="1" applyNumberFormat="1" applyFont="1" applyFill="1" applyBorder="1" applyAlignment="1" applyProtection="1">
      <alignment horizontal="center" vertical="center" wrapText="1"/>
    </xf>
    <xf numFmtId="9" fontId="13" fillId="2" borderId="22" xfId="1" applyNumberFormat="1" applyFont="1" applyFill="1" applyBorder="1" applyAlignment="1" applyProtection="1">
      <alignment horizontal="center" vertical="center" wrapText="1"/>
    </xf>
    <xf numFmtId="10" fontId="0" fillId="2" borderId="22" xfId="1" applyNumberFormat="1" applyFont="1" applyFill="1" applyBorder="1" applyAlignment="1" applyProtection="1">
      <alignment horizontal="center" vertical="center" wrapText="1"/>
    </xf>
    <xf numFmtId="9" fontId="7" fillId="5" borderId="23" xfId="1" applyNumberFormat="1" applyFont="1" applyFill="1" applyBorder="1" applyAlignment="1" applyProtection="1">
      <alignment horizontal="center" vertical="center" wrapText="1"/>
    </xf>
    <xf numFmtId="0" fontId="10" fillId="0" borderId="25" xfId="1" applyFont="1" applyBorder="1" applyAlignment="1">
      <alignment horizontal="center" vertical="center" wrapText="1"/>
    </xf>
    <xf numFmtId="0" fontId="10" fillId="2" borderId="22" xfId="1" applyFont="1" applyFill="1" applyBorder="1" applyAlignment="1" applyProtection="1">
      <alignment horizontal="center" vertical="center" wrapText="1"/>
    </xf>
    <xf numFmtId="0" fontId="0" fillId="2" borderId="24" xfId="1" applyFont="1" applyFill="1" applyBorder="1" applyAlignment="1" applyProtection="1">
      <alignment horizontal="center" vertical="center" wrapText="1"/>
    </xf>
    <xf numFmtId="0" fontId="10" fillId="2" borderId="24" xfId="1" applyFont="1" applyFill="1" applyBorder="1" applyAlignment="1" applyProtection="1">
      <alignment horizontal="center" vertical="center" wrapText="1"/>
    </xf>
    <xf numFmtId="10" fontId="4" fillId="6" borderId="25" xfId="2" applyNumberFormat="1" applyFont="1" applyFill="1" applyBorder="1" applyAlignment="1" applyProtection="1">
      <alignment horizontal="center" vertical="center" wrapText="1"/>
      <protection locked="0"/>
    </xf>
    <xf numFmtId="9" fontId="4" fillId="6" borderId="25" xfId="2" applyNumberFormat="1" applyFont="1" applyFill="1" applyBorder="1" applyAlignment="1" applyProtection="1">
      <alignment horizontal="center" vertical="center" wrapText="1"/>
      <protection locked="0"/>
    </xf>
    <xf numFmtId="0" fontId="4" fillId="6" borderId="44" xfId="2" applyFont="1" applyFill="1" applyBorder="1" applyAlignment="1">
      <alignment horizontal="center" vertical="center" wrapText="1"/>
    </xf>
    <xf numFmtId="10" fontId="4" fillId="0" borderId="25" xfId="2" applyNumberFormat="1" applyFont="1" applyBorder="1" applyAlignment="1" applyProtection="1">
      <alignment horizontal="center" vertical="center" wrapText="1"/>
      <protection locked="0"/>
    </xf>
    <xf numFmtId="9" fontId="4" fillId="2" borderId="44" xfId="2" applyNumberFormat="1" applyFont="1" applyFill="1" applyBorder="1" applyAlignment="1">
      <alignment horizontal="center" vertical="center" wrapText="1"/>
    </xf>
    <xf numFmtId="0" fontId="4" fillId="2" borderId="44" xfId="2" applyFont="1" applyFill="1" applyBorder="1" applyAlignment="1">
      <alignment horizontal="center" vertical="center" wrapText="1"/>
    </xf>
    <xf numFmtId="10" fontId="4" fillId="6" borderId="17" xfId="2" applyNumberFormat="1" applyFont="1" applyFill="1" applyBorder="1" applyAlignment="1" applyProtection="1">
      <alignment horizontal="center" vertical="center" wrapText="1"/>
      <protection locked="0"/>
    </xf>
    <xf numFmtId="9" fontId="4" fillId="6" borderId="37" xfId="2" applyNumberFormat="1" applyFont="1" applyFill="1" applyBorder="1" applyAlignment="1">
      <alignment horizontal="center" vertical="center" wrapText="1"/>
    </xf>
    <xf numFmtId="10" fontId="4" fillId="0" borderId="17" xfId="2" applyNumberFormat="1" applyFont="1" applyBorder="1" applyAlignment="1" applyProtection="1">
      <alignment horizontal="center" vertical="center" wrapText="1"/>
      <protection locked="0"/>
    </xf>
    <xf numFmtId="9" fontId="4" fillId="0" borderId="37" xfId="2" applyNumberFormat="1" applyFont="1" applyBorder="1" applyAlignment="1">
      <alignment horizontal="center" vertical="center" wrapText="1"/>
    </xf>
    <xf numFmtId="0" fontId="10" fillId="2" borderId="28" xfId="1" applyFont="1" applyFill="1" applyBorder="1" applyAlignment="1" applyProtection="1">
      <alignment horizontal="center" vertical="center" wrapText="1"/>
    </xf>
    <xf numFmtId="9" fontId="13" fillId="5" borderId="4" xfId="1" applyNumberFormat="1" applyFont="1" applyFill="1" applyBorder="1" applyAlignment="1" applyProtection="1">
      <alignment horizontal="center" vertical="center" wrapText="1"/>
    </xf>
    <xf numFmtId="9" fontId="0" fillId="5" borderId="22" xfId="4" applyFont="1" applyFill="1" applyBorder="1" applyAlignment="1" applyProtection="1">
      <alignment horizontal="center" vertical="center" wrapText="1"/>
    </xf>
    <xf numFmtId="9" fontId="18" fillId="2" borderId="4" xfId="1" applyNumberFormat="1" applyFont="1" applyFill="1" applyBorder="1" applyAlignment="1" applyProtection="1">
      <alignment horizontal="center" vertical="center" wrapText="1"/>
    </xf>
    <xf numFmtId="9" fontId="0" fillId="2" borderId="22" xfId="4" applyFont="1" applyFill="1" applyBorder="1" applyAlignment="1" applyProtection="1">
      <alignment horizontal="center" vertical="center" wrapText="1"/>
    </xf>
    <xf numFmtId="9" fontId="13" fillId="2" borderId="4" xfId="1" applyNumberFormat="1" applyFont="1" applyFill="1" applyBorder="1" applyAlignment="1" applyProtection="1">
      <alignment horizontal="center" vertical="center" wrapText="1"/>
    </xf>
    <xf numFmtId="9" fontId="7" fillId="5" borderId="23" xfId="4" applyFont="1" applyFill="1" applyBorder="1" applyAlignment="1" applyProtection="1">
      <alignment horizontal="center" vertical="center" wrapText="1"/>
    </xf>
    <xf numFmtId="9" fontId="7" fillId="5" borderId="4" xfId="4" applyNumberFormat="1" applyFont="1" applyFill="1" applyBorder="1" applyAlignment="1" applyProtection="1">
      <alignment horizontal="center" vertical="center" wrapText="1"/>
    </xf>
    <xf numFmtId="9" fontId="19" fillId="5" borderId="22" xfId="4" applyFont="1" applyFill="1" applyBorder="1" applyAlignment="1" applyProtection="1">
      <alignment horizontal="center" vertical="center" wrapText="1"/>
    </xf>
    <xf numFmtId="0" fontId="10" fillId="2" borderId="29" xfId="1" applyFont="1" applyFill="1" applyBorder="1" applyAlignment="1" applyProtection="1">
      <alignment horizontal="center" vertical="center" wrapText="1"/>
    </xf>
    <xf numFmtId="0" fontId="20" fillId="2" borderId="4" xfId="1" applyFont="1" applyFill="1" applyBorder="1" applyAlignment="1" applyProtection="1">
      <alignment horizontal="center" vertical="center" wrapText="1"/>
    </xf>
    <xf numFmtId="0" fontId="10" fillId="2" borderId="4" xfId="1" applyFont="1" applyFill="1" applyBorder="1" applyAlignment="1" applyProtection="1">
      <alignment horizontal="center" vertical="center" wrapText="1"/>
    </xf>
    <xf numFmtId="10" fontId="0" fillId="2" borderId="30" xfId="1" applyNumberFormat="1" applyFont="1" applyFill="1" applyBorder="1" applyAlignment="1" applyProtection="1">
      <alignment horizontal="center" vertical="center" wrapText="1"/>
    </xf>
    <xf numFmtId="3" fontId="14" fillId="2" borderId="20" xfId="3" applyNumberFormat="1" applyFont="1" applyFill="1" applyBorder="1" applyAlignment="1" applyProtection="1">
      <alignment horizontal="center" vertical="center" wrapText="1"/>
    </xf>
    <xf numFmtId="0" fontId="4" fillId="6" borderId="25" xfId="2" applyFont="1" applyFill="1" applyBorder="1" applyAlignment="1">
      <alignment horizontal="left" vertical="center" wrapText="1"/>
    </xf>
    <xf numFmtId="0" fontId="4" fillId="6" borderId="25" xfId="2" applyFont="1" applyFill="1" applyBorder="1" applyAlignment="1">
      <alignment horizontal="center" vertical="center" wrapText="1"/>
    </xf>
    <xf numFmtId="9" fontId="4" fillId="0" borderId="25" xfId="2" applyNumberFormat="1" applyFont="1" applyBorder="1" applyAlignment="1" applyProtection="1">
      <alignment horizontal="center" vertical="center" wrapText="1"/>
      <protection locked="0"/>
    </xf>
    <xf numFmtId="0" fontId="4" fillId="2" borderId="25" xfId="2" applyFont="1" applyFill="1" applyBorder="1" applyAlignment="1">
      <alignment horizontal="left" vertical="center" wrapText="1"/>
    </xf>
    <xf numFmtId="9" fontId="4" fillId="6" borderId="17" xfId="2" applyNumberFormat="1" applyFont="1" applyFill="1" applyBorder="1" applyAlignment="1" applyProtection="1">
      <alignment horizontal="center" vertical="center" wrapText="1"/>
      <protection locked="0"/>
    </xf>
    <xf numFmtId="0" fontId="4" fillId="6" borderId="17" xfId="2" applyFont="1" applyFill="1" applyBorder="1" applyAlignment="1">
      <alignment horizontal="left" vertical="center" wrapText="1"/>
    </xf>
    <xf numFmtId="0" fontId="4" fillId="6" borderId="36" xfId="2" applyFont="1" applyFill="1" applyBorder="1" applyAlignment="1">
      <alignment horizontal="center" vertical="center" wrapText="1"/>
    </xf>
    <xf numFmtId="9" fontId="4" fillId="0" borderId="17" xfId="2" applyNumberFormat="1" applyFont="1" applyFill="1" applyBorder="1" applyAlignment="1">
      <alignment horizontal="center" vertical="top" wrapText="1"/>
    </xf>
    <xf numFmtId="9" fontId="4" fillId="0" borderId="26" xfId="2" applyNumberFormat="1" applyFont="1" applyBorder="1" applyAlignment="1">
      <alignment horizontal="center" vertical="center" wrapText="1"/>
    </xf>
    <xf numFmtId="9" fontId="4" fillId="6" borderId="17" xfId="2" applyNumberFormat="1" applyFont="1" applyFill="1" applyBorder="1" applyAlignment="1">
      <alignment horizontal="left" vertical="center" wrapText="1"/>
    </xf>
    <xf numFmtId="9" fontId="4" fillId="6" borderId="26" xfId="2" applyNumberFormat="1" applyFont="1" applyFill="1" applyBorder="1" applyAlignment="1">
      <alignment horizontal="center" vertical="center" wrapText="1"/>
    </xf>
    <xf numFmtId="0" fontId="10" fillId="2" borderId="32" xfId="1" applyFont="1" applyFill="1" applyBorder="1" applyAlignment="1" applyProtection="1">
      <alignment horizontal="center" vertical="center" wrapText="1"/>
    </xf>
    <xf numFmtId="0" fontId="20" fillId="2" borderId="29" xfId="1" applyFont="1" applyFill="1" applyBorder="1" applyAlignment="1" applyProtection="1">
      <alignment horizontal="center" vertical="center" wrapText="1"/>
    </xf>
    <xf numFmtId="10" fontId="1" fillId="0" borderId="17" xfId="2" applyNumberFormat="1" applyFont="1" applyBorder="1" applyAlignment="1" applyProtection="1">
      <alignment horizontal="center" vertical="center" wrapText="1"/>
      <protection locked="0"/>
    </xf>
    <xf numFmtId="9" fontId="4" fillId="0" borderId="17" xfId="2" applyNumberFormat="1" applyFont="1" applyBorder="1" applyAlignment="1">
      <alignment horizontal="center" vertical="center" wrapText="1"/>
    </xf>
    <xf numFmtId="9" fontId="4" fillId="0" borderId="17" xfId="2" applyNumberFormat="1" applyFont="1" applyFill="1" applyBorder="1" applyAlignment="1">
      <alignment horizontal="center" vertical="center" wrapText="1"/>
    </xf>
    <xf numFmtId="0" fontId="10" fillId="6" borderId="25" xfId="2" applyFont="1" applyFill="1" applyBorder="1" applyAlignment="1">
      <alignment horizontal="left" vertical="center" wrapText="1"/>
    </xf>
    <xf numFmtId="9" fontId="10" fillId="0" borderId="25" xfId="2" applyNumberFormat="1" applyFont="1" applyBorder="1" applyAlignment="1">
      <alignment horizontal="center" vertical="center" wrapText="1"/>
    </xf>
    <xf numFmtId="9" fontId="14" fillId="6" borderId="17" xfId="2" applyNumberFormat="1" applyFont="1" applyFill="1" applyBorder="1" applyAlignment="1">
      <alignment horizontal="center" vertical="center" wrapText="1"/>
    </xf>
    <xf numFmtId="0" fontId="4" fillId="0" borderId="17" xfId="2" applyNumberFormat="1" applyFont="1" applyBorder="1" applyAlignment="1">
      <alignment horizontal="center" vertical="center" wrapText="1"/>
    </xf>
    <xf numFmtId="9" fontId="4" fillId="2" borderId="33" xfId="2" applyNumberFormat="1" applyFont="1" applyFill="1" applyBorder="1" applyAlignment="1" applyProtection="1">
      <alignment horizontal="center" vertical="center" wrapText="1"/>
    </xf>
    <xf numFmtId="9" fontId="4" fillId="2" borderId="5" xfId="2" applyNumberFormat="1" applyFont="1" applyFill="1" applyBorder="1" applyAlignment="1" applyProtection="1">
      <alignment horizontal="center" vertical="center" wrapText="1"/>
    </xf>
    <xf numFmtId="9" fontId="10" fillId="6" borderId="17" xfId="2" applyNumberFormat="1" applyFont="1" applyFill="1" applyBorder="1" applyAlignment="1">
      <alignment horizontal="center" vertical="center" wrapText="1"/>
    </xf>
    <xf numFmtId="9" fontId="0" fillId="0" borderId="17" xfId="4" applyNumberFormat="1" applyFont="1" applyFill="1" applyBorder="1" applyAlignment="1" applyProtection="1">
      <alignment horizontal="center" vertical="center" wrapText="1"/>
      <protection locked="0"/>
    </xf>
    <xf numFmtId="9" fontId="4" fillId="0" borderId="45" xfId="2" applyNumberFormat="1" applyFont="1" applyBorder="1" applyAlignment="1">
      <alignment horizontal="center" vertical="center" wrapText="1"/>
    </xf>
    <xf numFmtId="0" fontId="4" fillId="3" borderId="10" xfId="2" applyFill="1" applyBorder="1" applyAlignment="1">
      <alignment horizontal="center" vertical="center"/>
    </xf>
    <xf numFmtId="0" fontId="6" fillId="7" borderId="46" xfId="1" applyFont="1" applyFill="1" applyBorder="1" applyAlignment="1" applyProtection="1">
      <alignment horizontal="center" vertical="center" wrapText="1"/>
    </xf>
    <xf numFmtId="0" fontId="10" fillId="3" borderId="41" xfId="1" applyFont="1" applyFill="1" applyBorder="1" applyAlignment="1" applyProtection="1">
      <alignment horizontal="center" vertical="center" wrapText="1"/>
    </xf>
    <xf numFmtId="10" fontId="10" fillId="3" borderId="17" xfId="1" applyNumberFormat="1" applyFont="1" applyFill="1" applyBorder="1" applyAlignment="1" applyProtection="1">
      <alignment horizontal="center" vertical="center" wrapText="1"/>
    </xf>
    <xf numFmtId="0" fontId="4" fillId="0" borderId="10" xfId="2" applyFont="1" applyBorder="1" applyAlignment="1">
      <alignment horizontal="center" vertical="center" wrapText="1"/>
    </xf>
    <xf numFmtId="0" fontId="4" fillId="0" borderId="47" xfId="2" applyFont="1" applyBorder="1" applyAlignment="1">
      <alignment horizontal="center" vertical="center" wrapText="1"/>
    </xf>
    <xf numFmtId="0" fontId="4" fillId="0" borderId="18" xfId="2" applyFont="1" applyBorder="1" applyAlignment="1">
      <alignment horizontal="center" vertical="center" wrapText="1"/>
    </xf>
    <xf numFmtId="0" fontId="10" fillId="2" borderId="17" xfId="1" applyFont="1" applyFill="1" applyBorder="1" applyAlignment="1" applyProtection="1">
      <alignment horizontal="center" vertical="center" wrapText="1"/>
    </xf>
    <xf numFmtId="10" fontId="17" fillId="2" borderId="20" xfId="4" applyNumberFormat="1" applyFont="1" applyFill="1" applyBorder="1" applyAlignment="1" applyProtection="1">
      <alignment horizontal="center" vertical="center" wrapText="1"/>
    </xf>
    <xf numFmtId="9" fontId="0" fillId="5" borderId="22" xfId="1" applyNumberFormat="1" applyFont="1" applyFill="1" applyBorder="1" applyAlignment="1" applyProtection="1">
      <alignment horizontal="center" vertical="center" wrapText="1"/>
    </xf>
    <xf numFmtId="9" fontId="0" fillId="2" borderId="22" xfId="1" applyNumberFormat="1" applyFont="1" applyFill="1" applyBorder="1" applyAlignment="1" applyProtection="1">
      <alignment horizontal="center" vertical="center" wrapText="1"/>
    </xf>
    <xf numFmtId="9" fontId="7" fillId="5" borderId="22" xfId="1" applyNumberFormat="1" applyFont="1" applyFill="1" applyBorder="1" applyAlignment="1" applyProtection="1">
      <alignment horizontal="center" vertical="center" wrapText="1"/>
    </xf>
    <xf numFmtId="0" fontId="10" fillId="2" borderId="48" xfId="1" applyFont="1" applyFill="1" applyBorder="1" applyAlignment="1" applyProtection="1">
      <alignment horizontal="center" vertical="center" wrapText="1"/>
    </xf>
    <xf numFmtId="0" fontId="0" fillId="2" borderId="3" xfId="1" applyFont="1" applyFill="1" applyBorder="1" applyAlignment="1" applyProtection="1">
      <alignment horizontal="center" vertical="center" wrapText="1"/>
    </xf>
    <xf numFmtId="0" fontId="14" fillId="0" borderId="49" xfId="3" applyFont="1" applyFill="1" applyBorder="1" applyAlignment="1" applyProtection="1">
      <alignment horizontal="center" vertical="center" wrapText="1"/>
    </xf>
    <xf numFmtId="0" fontId="22" fillId="2" borderId="3" xfId="1" applyFont="1" applyFill="1" applyBorder="1" applyAlignment="1" applyProtection="1">
      <alignment horizontal="center" vertical="center" wrapText="1"/>
    </xf>
    <xf numFmtId="9" fontId="4" fillId="6" borderId="44" xfId="2" applyNumberFormat="1" applyFont="1" applyFill="1" applyBorder="1" applyAlignment="1">
      <alignment horizontal="left" vertical="center" wrapText="1"/>
    </xf>
    <xf numFmtId="9" fontId="4" fillId="6" borderId="44" xfId="2" applyNumberFormat="1" applyFont="1" applyFill="1" applyBorder="1" applyAlignment="1">
      <alignment horizontal="center" vertical="center" wrapText="1"/>
    </xf>
    <xf numFmtId="9" fontId="4" fillId="0" borderId="44" xfId="2" applyNumberFormat="1" applyFont="1" applyFill="1" applyBorder="1" applyAlignment="1">
      <alignment horizontal="left" vertical="center" wrapText="1"/>
    </xf>
    <xf numFmtId="9" fontId="4" fillId="0" borderId="50" xfId="2" applyNumberFormat="1" applyFont="1" applyBorder="1" applyAlignment="1">
      <alignment horizontal="center" vertical="center" wrapText="1"/>
    </xf>
    <xf numFmtId="9" fontId="4" fillId="6" borderId="37" xfId="2" applyNumberFormat="1" applyFont="1" applyFill="1" applyBorder="1" applyAlignment="1">
      <alignment horizontal="left" vertical="center" wrapText="1"/>
    </xf>
    <xf numFmtId="9" fontId="4" fillId="0" borderId="17" xfId="2" applyNumberFormat="1" applyFont="1" applyBorder="1" applyAlignment="1" applyProtection="1">
      <alignment horizontal="center" vertical="center" wrapText="1"/>
      <protection locked="0"/>
    </xf>
    <xf numFmtId="9" fontId="7" fillId="5" borderId="22" xfId="4" applyFont="1" applyFill="1" applyBorder="1" applyAlignment="1" applyProtection="1">
      <alignment horizontal="center" vertical="center" wrapText="1"/>
    </xf>
    <xf numFmtId="10" fontId="0" fillId="0" borderId="17" xfId="1" applyNumberFormat="1" applyFont="1" applyFill="1" applyBorder="1" applyAlignment="1" applyProtection="1">
      <alignment horizontal="center" vertical="center" wrapText="1"/>
    </xf>
    <xf numFmtId="10" fontId="10" fillId="0" borderId="4" xfId="1" applyNumberFormat="1" applyFont="1" applyFill="1" applyBorder="1" applyAlignment="1" applyProtection="1">
      <alignment horizontal="center" vertical="center" wrapText="1"/>
    </xf>
    <xf numFmtId="0" fontId="0" fillId="2" borderId="51" xfId="1" applyFont="1" applyFill="1" applyBorder="1" applyAlignment="1" applyProtection="1">
      <alignment horizontal="center" vertical="center" wrapText="1"/>
    </xf>
    <xf numFmtId="0" fontId="10" fillId="2" borderId="3" xfId="1" applyFont="1" applyFill="1" applyBorder="1" applyAlignment="1" applyProtection="1">
      <alignment horizontal="center" vertical="center" wrapText="1"/>
    </xf>
    <xf numFmtId="0" fontId="22" fillId="2" borderId="51" xfId="1" applyFont="1" applyFill="1" applyBorder="1" applyAlignment="1" applyProtection="1">
      <alignment horizontal="center" vertical="center" wrapText="1"/>
    </xf>
    <xf numFmtId="0" fontId="4" fillId="6" borderId="17" xfId="2" applyFont="1" applyFill="1" applyBorder="1" applyAlignment="1">
      <alignment horizontal="center" vertical="center" wrapText="1"/>
    </xf>
    <xf numFmtId="0" fontId="4" fillId="6" borderId="45" xfId="2" applyFont="1" applyFill="1" applyBorder="1" applyAlignment="1">
      <alignment horizontal="center" vertical="center" wrapText="1"/>
    </xf>
    <xf numFmtId="0" fontId="10" fillId="2" borderId="52" xfId="1" applyFont="1" applyFill="1" applyBorder="1" applyAlignment="1" applyProtection="1">
      <alignment horizontal="center" vertical="center" wrapText="1"/>
    </xf>
    <xf numFmtId="0" fontId="4" fillId="0" borderId="0" xfId="2" applyFont="1" applyBorder="1" applyAlignment="1">
      <alignment horizontal="center" vertical="center" wrapText="1"/>
    </xf>
    <xf numFmtId="0" fontId="4" fillId="6" borderId="0" xfId="2" applyFont="1" applyFill="1" applyBorder="1" applyAlignment="1">
      <alignment horizontal="center" vertical="center" wrapText="1"/>
    </xf>
    <xf numFmtId="0" fontId="10" fillId="2" borderId="51" xfId="1" applyFont="1" applyFill="1" applyBorder="1" applyAlignment="1" applyProtection="1">
      <alignment horizontal="center" vertical="center" wrapText="1"/>
    </xf>
    <xf numFmtId="9" fontId="4" fillId="0" borderId="25" xfId="2" applyNumberFormat="1" applyFont="1" applyBorder="1" applyAlignment="1">
      <alignment horizontal="center" vertical="center" wrapText="1"/>
    </xf>
    <xf numFmtId="9" fontId="4" fillId="6" borderId="45" xfId="2" applyNumberFormat="1" applyFont="1" applyFill="1" applyBorder="1" applyAlignment="1">
      <alignment horizontal="center" vertical="center" wrapText="1"/>
    </xf>
    <xf numFmtId="0" fontId="0" fillId="5" borderId="22" xfId="4" applyNumberFormat="1" applyFont="1" applyFill="1" applyBorder="1" applyAlignment="1" applyProtection="1">
      <alignment horizontal="center" vertical="center" wrapText="1"/>
    </xf>
    <xf numFmtId="0" fontId="0" fillId="2" borderId="22" xfId="4" applyNumberFormat="1" applyFont="1" applyFill="1" applyBorder="1" applyAlignment="1" applyProtection="1">
      <alignment horizontal="center" vertical="center" wrapText="1"/>
    </xf>
    <xf numFmtId="0" fontId="7" fillId="5" borderId="23" xfId="4" applyNumberFormat="1" applyFont="1" applyFill="1" applyBorder="1" applyAlignment="1" applyProtection="1">
      <alignment horizontal="center" vertical="center" wrapText="1"/>
    </xf>
    <xf numFmtId="0" fontId="7" fillId="5" borderId="22" xfId="4" applyNumberFormat="1" applyFont="1" applyFill="1" applyBorder="1" applyAlignment="1" applyProtection="1">
      <alignment horizontal="center" vertical="center" wrapText="1"/>
    </xf>
    <xf numFmtId="10" fontId="0" fillId="0" borderId="29" xfId="1" applyNumberFormat="1" applyFont="1" applyFill="1" applyBorder="1" applyAlignment="1" applyProtection="1">
      <alignment horizontal="center" vertical="center" wrapText="1"/>
    </xf>
    <xf numFmtId="10" fontId="0" fillId="0" borderId="4" xfId="1" applyNumberFormat="1" applyFont="1" applyFill="1" applyBorder="1" applyAlignment="1" applyProtection="1">
      <alignment horizontal="center" vertical="center" wrapText="1"/>
    </xf>
    <xf numFmtId="0" fontId="4" fillId="6" borderId="25" xfId="2" applyNumberFormat="1" applyFont="1" applyFill="1" applyBorder="1" applyAlignment="1" applyProtection="1">
      <alignment horizontal="center" vertical="center" wrapText="1"/>
      <protection locked="0"/>
    </xf>
    <xf numFmtId="0" fontId="4" fillId="0" borderId="25" xfId="2" applyNumberFormat="1" applyFont="1" applyBorder="1" applyAlignment="1" applyProtection="1">
      <alignment horizontal="center" vertical="center" wrapText="1"/>
      <protection locked="0"/>
    </xf>
    <xf numFmtId="9" fontId="10" fillId="2" borderId="25" xfId="2" applyNumberFormat="1" applyFont="1" applyFill="1" applyBorder="1" applyAlignment="1">
      <alignment horizontal="center" vertical="center" wrapText="1"/>
    </xf>
    <xf numFmtId="9" fontId="4" fillId="2" borderId="25" xfId="2" applyNumberFormat="1" applyFont="1" applyFill="1" applyBorder="1" applyAlignment="1">
      <alignment horizontal="center" vertical="center" wrapText="1"/>
    </xf>
    <xf numFmtId="0" fontId="4" fillId="6" borderId="17" xfId="2" applyNumberFormat="1" applyFont="1" applyFill="1" applyBorder="1" applyAlignment="1" applyProtection="1">
      <alignment horizontal="center" vertical="center" wrapText="1"/>
      <protection locked="0"/>
    </xf>
    <xf numFmtId="0" fontId="4" fillId="0" borderId="17" xfId="2" applyNumberFormat="1" applyFont="1" applyBorder="1" applyAlignment="1" applyProtection="1">
      <alignment horizontal="center" vertical="center" wrapText="1"/>
      <protection locked="0"/>
    </xf>
    <xf numFmtId="0" fontId="14" fillId="2" borderId="53" xfId="3" applyFont="1" applyFill="1" applyBorder="1" applyAlignment="1" applyProtection="1">
      <alignment horizontal="center" vertical="center" wrapText="1"/>
    </xf>
    <xf numFmtId="9" fontId="4" fillId="2" borderId="17" xfId="2" applyNumberFormat="1" applyFont="1" applyFill="1" applyBorder="1" applyAlignment="1">
      <alignment horizontal="center" vertical="center" wrapText="1"/>
    </xf>
    <xf numFmtId="0" fontId="23" fillId="2" borderId="53" xfId="3" applyFont="1" applyFill="1" applyBorder="1" applyAlignment="1" applyProtection="1">
      <alignment horizontal="center" vertical="center" wrapText="1"/>
    </xf>
    <xf numFmtId="0" fontId="14" fillId="2" borderId="53" xfId="3" applyFont="1" applyFill="1" applyBorder="1" applyAlignment="1" applyProtection="1">
      <alignment horizontal="left" vertical="center" wrapText="1"/>
    </xf>
    <xf numFmtId="9" fontId="24" fillId="2" borderId="25" xfId="2" applyNumberFormat="1" applyFont="1" applyFill="1" applyBorder="1" applyAlignment="1">
      <alignment horizontal="center" vertical="center" wrapText="1"/>
    </xf>
    <xf numFmtId="0" fontId="10" fillId="0" borderId="25" xfId="2" applyFont="1" applyBorder="1" applyAlignment="1">
      <alignment horizontal="center" vertical="center" wrapText="1"/>
    </xf>
    <xf numFmtId="0" fontId="10" fillId="0" borderId="54" xfId="2" applyFont="1" applyBorder="1" applyAlignment="1">
      <alignment horizontal="center" vertical="center" wrapText="1"/>
    </xf>
    <xf numFmtId="9" fontId="4" fillId="6" borderId="0" xfId="2" applyNumberFormat="1" applyFont="1" applyFill="1" applyBorder="1" applyAlignment="1">
      <alignment horizontal="center" vertical="center" wrapText="1"/>
    </xf>
    <xf numFmtId="9" fontId="4" fillId="0" borderId="0" xfId="2" applyNumberFormat="1" applyFont="1" applyFill="1" applyBorder="1" applyAlignment="1">
      <alignment horizontal="center" vertical="center" wrapText="1"/>
    </xf>
    <xf numFmtId="10" fontId="10" fillId="2" borderId="29" xfId="1" applyNumberFormat="1" applyFont="1" applyFill="1" applyBorder="1" applyAlignment="1" applyProtection="1">
      <alignment horizontal="center" vertical="center" wrapText="1"/>
    </xf>
    <xf numFmtId="10" fontId="10" fillId="2" borderId="4" xfId="1" applyNumberFormat="1" applyFont="1" applyFill="1" applyBorder="1" applyAlignment="1" applyProtection="1">
      <alignment horizontal="center" vertical="center" wrapText="1"/>
    </xf>
    <xf numFmtId="0" fontId="4" fillId="2" borderId="25" xfId="2" applyFont="1" applyFill="1" applyBorder="1" applyAlignment="1">
      <alignment horizontal="center" vertical="center" wrapText="1"/>
    </xf>
    <xf numFmtId="9" fontId="4" fillId="2" borderId="17" xfId="2" applyNumberFormat="1" applyFont="1" applyFill="1" applyBorder="1" applyAlignment="1">
      <alignment horizontal="left" vertical="center" wrapText="1"/>
    </xf>
    <xf numFmtId="0" fontId="4" fillId="2" borderId="0" xfId="2" applyFill="1"/>
    <xf numFmtId="0" fontId="10" fillId="2" borderId="22" xfId="4" applyNumberFormat="1" applyFont="1" applyFill="1" applyBorder="1" applyAlignment="1" applyProtection="1">
      <alignment horizontal="center" vertical="center" wrapText="1"/>
    </xf>
    <xf numFmtId="0" fontId="24" fillId="2" borderId="25" xfId="2" applyFont="1" applyFill="1" applyBorder="1" applyAlignment="1">
      <alignment horizontal="center" vertical="center" wrapText="1"/>
    </xf>
    <xf numFmtId="0" fontId="10" fillId="2" borderId="25" xfId="2" applyNumberFormat="1" applyFont="1" applyFill="1" applyBorder="1" applyAlignment="1" applyProtection="1">
      <alignment horizontal="center" vertical="center" wrapText="1"/>
      <protection locked="0"/>
    </xf>
    <xf numFmtId="0" fontId="10" fillId="0" borderId="25" xfId="2" applyNumberFormat="1" applyFont="1" applyFill="1" applyBorder="1" applyAlignment="1" applyProtection="1">
      <alignment horizontal="center" vertical="center" wrapText="1"/>
      <protection locked="0"/>
    </xf>
    <xf numFmtId="9" fontId="4" fillId="2" borderId="0" xfId="2" applyNumberFormat="1" applyFont="1" applyFill="1" applyBorder="1" applyAlignment="1">
      <alignment horizontal="center" vertical="center" wrapText="1"/>
    </xf>
    <xf numFmtId="0" fontId="4" fillId="0" borderId="25" xfId="2" applyNumberFormat="1" applyFont="1" applyFill="1" applyBorder="1" applyAlignment="1" applyProtection="1">
      <alignment horizontal="center" vertical="center" wrapText="1"/>
      <protection locked="0"/>
    </xf>
    <xf numFmtId="10" fontId="10" fillId="0" borderId="29" xfId="1" applyNumberFormat="1" applyFont="1" applyFill="1" applyBorder="1" applyAlignment="1" applyProtection="1">
      <alignment horizontal="center" vertical="center" wrapText="1"/>
    </xf>
    <xf numFmtId="9" fontId="4" fillId="6" borderId="55" xfId="2" applyNumberFormat="1" applyFont="1" applyFill="1" applyBorder="1" applyAlignment="1">
      <alignment horizontal="center" vertical="center" wrapText="1"/>
    </xf>
    <xf numFmtId="9" fontId="4" fillId="0" borderId="25" xfId="2" applyNumberFormat="1" applyFont="1" applyFill="1" applyBorder="1" applyAlignment="1" applyProtection="1">
      <alignment horizontal="center" vertical="center" wrapText="1"/>
      <protection locked="0"/>
    </xf>
    <xf numFmtId="9" fontId="10" fillId="0" borderId="17" xfId="2" applyNumberFormat="1" applyFont="1" applyFill="1" applyBorder="1" applyAlignment="1">
      <alignment horizontal="left" vertical="center" wrapText="1"/>
    </xf>
    <xf numFmtId="9" fontId="7" fillId="5" borderId="22" xfId="4" applyNumberFormat="1" applyFont="1" applyFill="1" applyBorder="1" applyAlignment="1" applyProtection="1">
      <alignment horizontal="center" vertical="center" wrapText="1"/>
    </xf>
    <xf numFmtId="9" fontId="4" fillId="2" borderId="25" xfId="2" applyNumberFormat="1" applyFont="1" applyFill="1" applyBorder="1" applyAlignment="1" applyProtection="1">
      <alignment horizontal="center" vertical="center" wrapText="1"/>
      <protection locked="0"/>
    </xf>
    <xf numFmtId="10" fontId="10" fillId="5" borderId="22" xfId="4" applyNumberFormat="1" applyFont="1" applyFill="1" applyBorder="1" applyAlignment="1" applyProtection="1">
      <alignment horizontal="center" vertical="center" wrapText="1"/>
    </xf>
    <xf numFmtId="10" fontId="10" fillId="2" borderId="22" xfId="4" applyNumberFormat="1" applyFont="1" applyFill="1" applyBorder="1" applyAlignment="1" applyProtection="1">
      <alignment horizontal="center" vertical="center" wrapText="1"/>
    </xf>
    <xf numFmtId="10" fontId="7" fillId="5" borderId="4" xfId="4" applyNumberFormat="1" applyFont="1" applyFill="1" applyBorder="1" applyAlignment="1" applyProtection="1">
      <alignment horizontal="center" vertical="center" wrapText="1"/>
    </xf>
    <xf numFmtId="0" fontId="4" fillId="6" borderId="17" xfId="2" applyNumberFormat="1" applyFont="1" applyFill="1" applyBorder="1" applyAlignment="1" applyProtection="1">
      <alignment horizontal="left" vertical="center" wrapText="1" indent="5"/>
      <protection locked="0"/>
    </xf>
    <xf numFmtId="9" fontId="15" fillId="6" borderId="17" xfId="2" applyNumberFormat="1" applyFont="1" applyFill="1" applyBorder="1" applyAlignment="1">
      <alignment horizontal="center" vertical="center" wrapText="1"/>
    </xf>
    <xf numFmtId="0" fontId="10" fillId="2" borderId="17" xfId="2" applyNumberFormat="1" applyFont="1" applyFill="1" applyBorder="1" applyAlignment="1" applyProtection="1">
      <alignment horizontal="center" vertical="center" wrapText="1"/>
      <protection locked="0"/>
    </xf>
    <xf numFmtId="9" fontId="15" fillId="0" borderId="17" xfId="2" applyNumberFormat="1" applyFont="1" applyFill="1" applyBorder="1" applyAlignment="1">
      <alignment horizontal="left" vertical="center" wrapText="1"/>
    </xf>
    <xf numFmtId="0" fontId="25" fillId="2" borderId="51" xfId="1" applyFont="1" applyFill="1" applyBorder="1" applyAlignment="1" applyProtection="1">
      <alignment horizontal="center" vertical="center" wrapText="1"/>
    </xf>
    <xf numFmtId="9" fontId="4" fillId="0" borderId="17" xfId="2" applyNumberFormat="1" applyFont="1" applyFill="1" applyBorder="1" applyAlignment="1">
      <alignment horizontal="justify" vertical="center" wrapText="1"/>
    </xf>
    <xf numFmtId="0" fontId="4" fillId="3" borderId="56" xfId="2" applyFill="1" applyBorder="1"/>
    <xf numFmtId="0" fontId="6" fillId="7" borderId="19" xfId="1" applyFont="1" applyFill="1" applyBorder="1" applyAlignment="1" applyProtection="1">
      <alignment horizontal="center" vertical="center" wrapText="1"/>
    </xf>
    <xf numFmtId="0" fontId="4" fillId="0" borderId="34" xfId="2" applyFont="1" applyBorder="1" applyAlignment="1">
      <alignment horizontal="center" vertical="center" wrapText="1"/>
    </xf>
    <xf numFmtId="0" fontId="4" fillId="0" borderId="41" xfId="2" applyFont="1" applyBorder="1" applyAlignment="1">
      <alignment horizontal="center" vertical="center" wrapText="1"/>
    </xf>
    <xf numFmtId="0" fontId="10" fillId="2" borderId="19" xfId="1" applyFont="1" applyFill="1" applyBorder="1" applyAlignment="1" applyProtection="1">
      <alignment horizontal="center" vertical="center" wrapText="1"/>
    </xf>
    <xf numFmtId="10" fontId="17" fillId="2" borderId="57" xfId="4" applyNumberFormat="1" applyFont="1" applyFill="1" applyBorder="1" applyAlignment="1" applyProtection="1">
      <alignment horizontal="center" vertical="center" wrapText="1"/>
    </xf>
    <xf numFmtId="0" fontId="0" fillId="2" borderId="58" xfId="1" applyFont="1" applyFill="1" applyBorder="1" applyAlignment="1" applyProtection="1">
      <alignment horizontal="center" vertical="center" wrapText="1"/>
    </xf>
    <xf numFmtId="0" fontId="0" fillId="2" borderId="48" xfId="1" applyFont="1" applyFill="1" applyBorder="1" applyAlignment="1" applyProtection="1">
      <alignment horizontal="center" vertical="center" wrapText="1"/>
    </xf>
    <xf numFmtId="0" fontId="13" fillId="5" borderId="48" xfId="4" applyNumberFormat="1" applyFont="1" applyFill="1" applyBorder="1" applyAlignment="1" applyProtection="1">
      <alignment horizontal="center" vertical="center" wrapText="1"/>
    </xf>
    <xf numFmtId="0" fontId="13" fillId="2" borderId="48" xfId="4" applyNumberFormat="1" applyFont="1" applyFill="1" applyBorder="1" applyAlignment="1" applyProtection="1">
      <alignment horizontal="center" vertical="center" wrapText="1"/>
    </xf>
    <xf numFmtId="1" fontId="4" fillId="2" borderId="22" xfId="4" applyNumberFormat="1" applyFill="1" applyBorder="1" applyAlignment="1" applyProtection="1">
      <alignment horizontal="center" vertical="center" wrapText="1"/>
    </xf>
    <xf numFmtId="1" fontId="7" fillId="5" borderId="23" xfId="4" applyNumberFormat="1" applyFont="1" applyFill="1" applyBorder="1" applyAlignment="1" applyProtection="1">
      <alignment horizontal="center" vertical="center" wrapText="1"/>
    </xf>
    <xf numFmtId="0" fontId="0" fillId="2" borderId="59" xfId="1" applyFont="1" applyFill="1" applyBorder="1" applyAlignment="1" applyProtection="1">
      <alignment horizontal="center" vertical="center" wrapText="1"/>
    </xf>
    <xf numFmtId="9" fontId="24" fillId="0" borderId="44" xfId="2" applyNumberFormat="1" applyFont="1" applyBorder="1" applyAlignment="1">
      <alignment horizontal="center" vertical="center" wrapText="1"/>
    </xf>
    <xf numFmtId="0" fontId="14" fillId="2" borderId="57" xfId="3" applyFont="1" applyFill="1" applyBorder="1" applyAlignment="1" applyProtection="1">
      <alignment horizontal="center" vertical="center" wrapText="1"/>
    </xf>
    <xf numFmtId="9" fontId="26" fillId="6" borderId="44" xfId="2" applyNumberFormat="1" applyFont="1" applyFill="1" applyBorder="1" applyAlignment="1">
      <alignment horizontal="center" vertical="center" wrapText="1"/>
    </xf>
    <xf numFmtId="9" fontId="26" fillId="2" borderId="44" xfId="2" applyNumberFormat="1" applyFont="1" applyFill="1" applyBorder="1" applyAlignment="1">
      <alignment horizontal="center" vertical="center" wrapText="1"/>
    </xf>
    <xf numFmtId="0" fontId="4" fillId="6" borderId="37" xfId="2" applyFont="1" applyFill="1" applyBorder="1" applyAlignment="1">
      <alignment horizontal="center" vertical="center" wrapText="1"/>
    </xf>
    <xf numFmtId="9" fontId="26" fillId="6" borderId="37" xfId="2" applyNumberFormat="1" applyFont="1" applyFill="1" applyBorder="1" applyAlignment="1">
      <alignment horizontal="center" vertical="center" wrapText="1"/>
    </xf>
    <xf numFmtId="0" fontId="4" fillId="0" borderId="17" xfId="2" applyNumberFormat="1" applyFont="1" applyFill="1" applyBorder="1" applyAlignment="1" applyProtection="1">
      <alignment horizontal="center" vertical="center" wrapText="1"/>
      <protection locked="0"/>
    </xf>
    <xf numFmtId="9" fontId="15" fillId="0" borderId="37" xfId="2" applyNumberFormat="1" applyFont="1" applyFill="1" applyBorder="1" applyAlignment="1">
      <alignment horizontal="center" vertical="center" wrapText="1"/>
    </xf>
    <xf numFmtId="0" fontId="13" fillId="5" borderId="4" xfId="4" applyNumberFormat="1" applyFont="1" applyFill="1" applyBorder="1" applyAlignment="1" applyProtection="1">
      <alignment horizontal="center" vertical="center" wrapText="1"/>
    </xf>
    <xf numFmtId="0" fontId="13" fillId="2" borderId="4" xfId="4" applyNumberFormat="1" applyFont="1" applyFill="1" applyBorder="1" applyAlignment="1" applyProtection="1">
      <alignment horizontal="center" vertical="center" wrapText="1"/>
    </xf>
    <xf numFmtId="0" fontId="0" fillId="2" borderId="30" xfId="1" applyFont="1" applyFill="1" applyBorder="1" applyAlignment="1" applyProtection="1">
      <alignment horizontal="center" vertical="center" wrapText="1"/>
    </xf>
    <xf numFmtId="9" fontId="24" fillId="0" borderId="25" xfId="2" applyNumberFormat="1" applyFont="1" applyBorder="1" applyAlignment="1">
      <alignment horizontal="center" vertical="center" wrapText="1"/>
    </xf>
    <xf numFmtId="0" fontId="14" fillId="2" borderId="20" xfId="3" applyFont="1" applyFill="1" applyBorder="1" applyAlignment="1" applyProtection="1">
      <alignment horizontal="center" vertical="center" wrapText="1"/>
    </xf>
    <xf numFmtId="9" fontId="26" fillId="6" borderId="25" xfId="2" applyNumberFormat="1" applyFont="1" applyFill="1" applyBorder="1" applyAlignment="1">
      <alignment horizontal="center" vertical="center" wrapText="1"/>
    </xf>
    <xf numFmtId="9" fontId="26" fillId="2" borderId="25" xfId="2" applyNumberFormat="1" applyFont="1" applyFill="1" applyBorder="1" applyAlignment="1">
      <alignment horizontal="center" vertical="center" wrapText="1"/>
    </xf>
    <xf numFmtId="9" fontId="26" fillId="6" borderId="17" xfId="2" applyNumberFormat="1" applyFont="1" applyFill="1" applyBorder="1" applyAlignment="1">
      <alignment horizontal="center" vertical="center" wrapText="1"/>
    </xf>
    <xf numFmtId="9" fontId="15" fillId="0" borderId="17" xfId="2" applyNumberFormat="1" applyFont="1" applyFill="1" applyBorder="1" applyAlignment="1">
      <alignment horizontal="center" vertical="center" wrapText="1"/>
    </xf>
    <xf numFmtId="0" fontId="10" fillId="0" borderId="28" xfId="1" applyFont="1" applyFill="1" applyBorder="1" applyAlignment="1" applyProtection="1">
      <alignment horizontal="center" vertical="center" wrapText="1"/>
    </xf>
    <xf numFmtId="10" fontId="17" fillId="0" borderId="20" xfId="4" applyNumberFormat="1" applyFont="1" applyFill="1" applyBorder="1" applyAlignment="1" applyProtection="1">
      <alignment horizontal="center" vertical="center" wrapText="1"/>
    </xf>
    <xf numFmtId="0" fontId="0" fillId="0" borderId="29" xfId="1" applyFont="1" applyFill="1" applyBorder="1" applyAlignment="1" applyProtection="1">
      <alignment horizontal="center" vertical="center" wrapText="1"/>
    </xf>
    <xf numFmtId="0" fontId="0" fillId="0" borderId="4" xfId="1" applyFont="1" applyFill="1" applyBorder="1" applyAlignment="1" applyProtection="1">
      <alignment horizontal="center" vertical="center" wrapText="1"/>
    </xf>
    <xf numFmtId="9" fontId="13" fillId="5" borderId="4" xfId="4" applyNumberFormat="1" applyFont="1" applyFill="1" applyBorder="1" applyAlignment="1" applyProtection="1">
      <alignment horizontal="center" vertical="center" wrapText="1"/>
    </xf>
    <xf numFmtId="9" fontId="13" fillId="0" borderId="4" xfId="4" applyNumberFormat="1" applyFont="1" applyFill="1" applyBorder="1" applyAlignment="1" applyProtection="1">
      <alignment horizontal="center" vertical="center" wrapText="1"/>
    </xf>
    <xf numFmtId="1" fontId="0" fillId="0" borderId="29" xfId="1" applyNumberFormat="1" applyFont="1" applyFill="1" applyBorder="1" applyAlignment="1" applyProtection="1">
      <alignment horizontal="center" vertical="center" wrapText="1"/>
    </xf>
    <xf numFmtId="0" fontId="10" fillId="0" borderId="4" xfId="1" applyFont="1" applyFill="1" applyBorder="1" applyAlignment="1" applyProtection="1">
      <alignment horizontal="center" vertical="center" wrapText="1"/>
    </xf>
    <xf numFmtId="10" fontId="0" fillId="0" borderId="30" xfId="1" applyNumberFormat="1" applyFont="1" applyFill="1" applyBorder="1" applyAlignment="1" applyProtection="1">
      <alignment horizontal="center" vertical="center" wrapText="1"/>
    </xf>
    <xf numFmtId="10" fontId="15" fillId="6" borderId="30" xfId="1" applyNumberFormat="1" applyFont="1" applyFill="1" applyBorder="1" applyAlignment="1" applyProtection="1">
      <alignment horizontal="center" vertical="center" wrapText="1"/>
    </xf>
    <xf numFmtId="10" fontId="15" fillId="2" borderId="30" xfId="1" applyNumberFormat="1" applyFont="1" applyFill="1" applyBorder="1" applyAlignment="1" applyProtection="1">
      <alignment horizontal="center" vertical="center" wrapText="1"/>
    </xf>
    <xf numFmtId="9" fontId="4" fillId="0" borderId="17" xfId="2" applyNumberFormat="1" applyFont="1" applyFill="1" applyBorder="1" applyAlignment="1" applyProtection="1">
      <alignment horizontal="center" vertical="center" wrapText="1"/>
      <protection locked="0"/>
    </xf>
    <xf numFmtId="1" fontId="13" fillId="5" borderId="4" xfId="4" applyNumberFormat="1" applyFont="1" applyFill="1" applyBorder="1" applyAlignment="1" applyProtection="1">
      <alignment horizontal="center" vertical="center" wrapText="1"/>
    </xf>
    <xf numFmtId="1" fontId="13" fillId="0" borderId="4" xfId="4" applyNumberFormat="1" applyFont="1" applyFill="1" applyBorder="1" applyAlignment="1" applyProtection="1">
      <alignment horizontal="center" vertical="center" wrapText="1"/>
    </xf>
    <xf numFmtId="0" fontId="7" fillId="5" borderId="22" xfId="1" applyNumberFormat="1" applyFont="1" applyFill="1" applyBorder="1" applyAlignment="1" applyProtection="1">
      <alignment horizontal="center" vertical="center" wrapText="1"/>
    </xf>
    <xf numFmtId="0" fontId="14" fillId="2" borderId="12" xfId="3" applyFont="1" applyFill="1" applyBorder="1" applyAlignment="1">
      <alignment horizontal="center" vertical="center" wrapText="1"/>
    </xf>
    <xf numFmtId="9" fontId="4" fillId="6" borderId="17" xfId="2" applyNumberFormat="1" applyFont="1" applyFill="1" applyBorder="1" applyAlignment="1">
      <alignment horizontal="justify" vertical="center" wrapText="1"/>
    </xf>
    <xf numFmtId="0" fontId="10" fillId="0" borderId="17" xfId="2" applyFont="1" applyFill="1" applyBorder="1" applyAlignment="1" applyProtection="1">
      <alignment horizontal="center" vertical="center" wrapText="1"/>
      <protection locked="0"/>
    </xf>
    <xf numFmtId="9" fontId="10" fillId="0" borderId="17" xfId="2" applyNumberFormat="1" applyFont="1" applyFill="1" applyBorder="1" applyAlignment="1">
      <alignment horizontal="center" vertical="center" wrapText="1"/>
    </xf>
    <xf numFmtId="9" fontId="13" fillId="2" borderId="4" xfId="4" applyNumberFormat="1" applyFont="1" applyFill="1" applyBorder="1" applyAlignment="1" applyProtection="1">
      <alignment horizontal="center" vertical="center" wrapText="1"/>
    </xf>
    <xf numFmtId="10" fontId="4" fillId="0" borderId="17" xfId="2" applyNumberFormat="1" applyFont="1" applyFill="1" applyBorder="1" applyAlignment="1" applyProtection="1">
      <alignment horizontal="center" vertical="center" wrapText="1"/>
      <protection locked="0"/>
    </xf>
    <xf numFmtId="1" fontId="10" fillId="2" borderId="29" xfId="1" applyNumberFormat="1" applyFont="1" applyFill="1" applyBorder="1" applyAlignment="1" applyProtection="1">
      <alignment horizontal="center" vertical="center" wrapText="1"/>
    </xf>
    <xf numFmtId="0" fontId="10" fillId="0" borderId="25" xfId="2" applyFont="1" applyBorder="1" applyAlignment="1" applyProtection="1">
      <alignment horizontal="center" vertical="center" wrapText="1"/>
      <protection locked="0"/>
    </xf>
    <xf numFmtId="9" fontId="4" fillId="0" borderId="54" xfId="2" applyNumberFormat="1" applyFont="1" applyBorder="1" applyAlignment="1">
      <alignment horizontal="center" vertical="center" wrapText="1"/>
    </xf>
    <xf numFmtId="10" fontId="10" fillId="6" borderId="0" xfId="2" applyNumberFormat="1" applyFont="1" applyFill="1" applyBorder="1" applyAlignment="1" applyProtection="1">
      <alignment horizontal="center" vertical="center" wrapText="1"/>
      <protection locked="0"/>
    </xf>
    <xf numFmtId="9" fontId="4" fillId="6" borderId="54" xfId="2" applyNumberFormat="1" applyFont="1" applyFill="1" applyBorder="1" applyAlignment="1">
      <alignment horizontal="center" vertical="center" wrapText="1"/>
    </xf>
    <xf numFmtId="0" fontId="4" fillId="3" borderId="56" xfId="2" applyFill="1" applyBorder="1" applyAlignment="1">
      <alignment horizontal="center" vertical="center"/>
    </xf>
    <xf numFmtId="0" fontId="6" fillId="7" borderId="52" xfId="1" applyFont="1" applyFill="1" applyBorder="1" applyAlignment="1" applyProtection="1">
      <alignment horizontal="center" vertical="center" wrapText="1"/>
    </xf>
    <xf numFmtId="0" fontId="4" fillId="0" borderId="28" xfId="2" applyFont="1" applyBorder="1" applyAlignment="1">
      <alignment horizontal="center" vertical="center" wrapText="1"/>
    </xf>
    <xf numFmtId="9" fontId="13" fillId="5" borderId="22" xfId="4" applyFont="1" applyFill="1" applyBorder="1" applyAlignment="1" applyProtection="1">
      <alignment horizontal="center" vertical="center" wrapText="1"/>
    </xf>
    <xf numFmtId="9" fontId="13" fillId="2" borderId="22" xfId="4" applyFont="1" applyFill="1" applyBorder="1" applyAlignment="1" applyProtection="1">
      <alignment horizontal="center" vertical="center" wrapText="1"/>
    </xf>
    <xf numFmtId="0" fontId="0" fillId="2" borderId="22" xfId="1" applyFont="1" applyFill="1" applyBorder="1" applyAlignment="1" applyProtection="1">
      <alignment vertical="center" wrapText="1"/>
      <protection locked="0"/>
    </xf>
    <xf numFmtId="10" fontId="0" fillId="2" borderId="24" xfId="1" applyNumberFormat="1" applyFont="1" applyFill="1" applyBorder="1" applyAlignment="1" applyProtection="1">
      <alignment horizontal="center" vertical="center" wrapText="1"/>
    </xf>
    <xf numFmtId="9" fontId="10" fillId="2" borderId="17" xfId="4" applyFont="1" applyFill="1" applyBorder="1" applyAlignment="1" applyProtection="1">
      <alignment horizontal="center" vertical="center" wrapText="1"/>
      <protection locked="0"/>
    </xf>
    <xf numFmtId="9" fontId="10" fillId="2" borderId="17" xfId="2" applyNumberFormat="1" applyFont="1" applyFill="1" applyBorder="1" applyAlignment="1">
      <alignment horizontal="center" vertical="center" wrapText="1"/>
    </xf>
    <xf numFmtId="0" fontId="4" fillId="0" borderId="27" xfId="2" applyFont="1" applyBorder="1" applyAlignment="1">
      <alignment horizontal="center" vertical="center" wrapText="1"/>
    </xf>
    <xf numFmtId="10" fontId="13" fillId="5" borderId="4" xfId="4" applyNumberFormat="1" applyFont="1" applyFill="1" applyBorder="1" applyAlignment="1" applyProtection="1">
      <alignment horizontal="center" vertical="center" wrapText="1"/>
    </xf>
    <xf numFmtId="10" fontId="0" fillId="5" borderId="22" xfId="4" applyNumberFormat="1" applyFont="1" applyFill="1" applyBorder="1" applyAlignment="1" applyProtection="1">
      <alignment horizontal="center" vertical="center" wrapText="1"/>
    </xf>
    <xf numFmtId="10" fontId="13" fillId="2" borderId="4" xfId="4" applyNumberFormat="1" applyFont="1" applyFill="1" applyBorder="1" applyAlignment="1" applyProtection="1">
      <alignment horizontal="center" vertical="center" wrapText="1"/>
    </xf>
    <xf numFmtId="10" fontId="0" fillId="2" borderId="22" xfId="4" applyNumberFormat="1" applyFont="1" applyFill="1" applyBorder="1" applyAlignment="1" applyProtection="1">
      <alignment horizontal="center" vertical="center" wrapText="1"/>
    </xf>
    <xf numFmtId="10" fontId="7" fillId="5" borderId="23" xfId="4" applyNumberFormat="1" applyFont="1" applyFill="1" applyBorder="1" applyAlignment="1" applyProtection="1">
      <alignment horizontal="center" vertical="center" wrapText="1"/>
    </xf>
    <xf numFmtId="10" fontId="7" fillId="5" borderId="22" xfId="4" applyNumberFormat="1" applyFont="1" applyFill="1" applyBorder="1" applyAlignment="1" applyProtection="1">
      <alignment horizontal="center" vertical="center" wrapText="1"/>
    </xf>
    <xf numFmtId="0" fontId="0" fillId="2" borderId="4" xfId="1" applyFont="1" applyFill="1" applyBorder="1" applyAlignment="1" applyProtection="1">
      <alignment horizontal="center" vertical="center" wrapText="1"/>
      <protection locked="0"/>
    </xf>
    <xf numFmtId="10" fontId="10" fillId="0" borderId="17" xfId="4" applyNumberFormat="1" applyFont="1" applyFill="1" applyBorder="1" applyAlignment="1" applyProtection="1">
      <alignment horizontal="center" vertical="center" wrapText="1"/>
      <protection locked="0"/>
    </xf>
    <xf numFmtId="10" fontId="27" fillId="2" borderId="41" xfId="4" applyNumberFormat="1" applyFont="1" applyFill="1" applyBorder="1" applyAlignment="1" applyProtection="1">
      <alignment horizontal="center" vertical="center" wrapText="1"/>
    </xf>
    <xf numFmtId="1" fontId="13" fillId="2" borderId="4" xfId="4" applyNumberFormat="1" applyFont="1" applyFill="1" applyBorder="1" applyAlignment="1" applyProtection="1">
      <alignment horizontal="center" vertical="center" wrapText="1"/>
    </xf>
    <xf numFmtId="10" fontId="0" fillId="2" borderId="29" xfId="1" applyNumberFormat="1" applyFont="1" applyFill="1" applyBorder="1" applyAlignment="1" applyProtection="1">
      <alignment horizontal="center" vertical="center" wrapText="1"/>
    </xf>
    <xf numFmtId="0" fontId="10" fillId="0" borderId="0" xfId="1" applyFont="1" applyAlignment="1">
      <alignment horizontal="center" vertical="center" wrapText="1"/>
    </xf>
    <xf numFmtId="10" fontId="0" fillId="2" borderId="4" xfId="1" applyNumberFormat="1" applyFont="1" applyFill="1" applyBorder="1" applyAlignment="1" applyProtection="1">
      <alignment horizontal="center" vertical="center" wrapText="1"/>
    </xf>
    <xf numFmtId="10" fontId="28" fillId="2" borderId="60" xfId="3" applyNumberFormat="1" applyFont="1" applyFill="1" applyBorder="1" applyAlignment="1" applyProtection="1">
      <alignment horizontal="center" vertical="center" wrapText="1"/>
    </xf>
    <xf numFmtId="0" fontId="10" fillId="0" borderId="17" xfId="2" applyFont="1" applyBorder="1" applyAlignment="1" applyProtection="1">
      <alignment horizontal="center" vertical="center" wrapText="1"/>
      <protection locked="0"/>
    </xf>
    <xf numFmtId="0" fontId="4" fillId="0" borderId="59" xfId="2" applyFont="1" applyBorder="1" applyAlignment="1">
      <alignment horizontal="center" vertical="center" wrapText="1"/>
    </xf>
    <xf numFmtId="0" fontId="4" fillId="0" borderId="28" xfId="2" applyFont="1" applyBorder="1" applyAlignment="1">
      <alignment horizontal="center" vertical="center" wrapText="1"/>
    </xf>
    <xf numFmtId="0" fontId="24" fillId="2" borderId="61" xfId="3" applyFont="1" applyFill="1" applyBorder="1" applyAlignment="1" applyProtection="1">
      <alignment horizontal="center" vertical="center" wrapText="1"/>
    </xf>
    <xf numFmtId="10" fontId="27" fillId="2" borderId="62" xfId="4" applyNumberFormat="1" applyFont="1" applyFill="1" applyBorder="1" applyAlignment="1" applyProtection="1">
      <alignment horizontal="center" vertical="center" wrapText="1"/>
    </xf>
    <xf numFmtId="10" fontId="13" fillId="5" borderId="22" xfId="1" applyNumberFormat="1" applyFont="1" applyFill="1" applyBorder="1" applyAlignment="1" applyProtection="1">
      <alignment horizontal="center" vertical="center" wrapText="1"/>
    </xf>
    <xf numFmtId="10" fontId="13" fillId="2" borderId="22" xfId="1" applyNumberFormat="1" applyFont="1" applyFill="1" applyBorder="1" applyAlignment="1" applyProtection="1">
      <alignment horizontal="center" vertical="center" wrapText="1"/>
    </xf>
    <xf numFmtId="10" fontId="7" fillId="5" borderId="23" xfId="1" applyNumberFormat="1" applyFont="1" applyFill="1" applyBorder="1" applyAlignment="1" applyProtection="1">
      <alignment horizontal="center" vertical="center" wrapText="1"/>
    </xf>
    <xf numFmtId="10" fontId="7" fillId="5" borderId="22" xfId="1" applyNumberFormat="1" applyFont="1" applyFill="1" applyBorder="1" applyAlignment="1" applyProtection="1">
      <alignment horizontal="center" vertical="center" wrapText="1"/>
    </xf>
    <xf numFmtId="1" fontId="10" fillId="2" borderId="21" xfId="1" applyNumberFormat="1" applyFont="1" applyFill="1" applyBorder="1" applyAlignment="1" applyProtection="1">
      <alignment horizontal="center" vertical="center" wrapText="1"/>
    </xf>
    <xf numFmtId="1" fontId="0" fillId="2" borderId="22" xfId="1" applyNumberFormat="1" applyFont="1" applyFill="1" applyBorder="1" applyAlignment="1" applyProtection="1">
      <alignment horizontal="center" vertical="center" wrapText="1"/>
    </xf>
    <xf numFmtId="0" fontId="10" fillId="2" borderId="24" xfId="1" applyNumberFormat="1" applyFont="1" applyFill="1" applyBorder="1" applyAlignment="1" applyProtection="1">
      <alignment horizontal="center" vertical="center" wrapText="1"/>
    </xf>
    <xf numFmtId="9" fontId="4" fillId="0" borderId="25" xfId="2" applyNumberFormat="1" applyFont="1" applyBorder="1" applyAlignment="1">
      <alignment horizontal="left" vertical="center" wrapText="1"/>
    </xf>
    <xf numFmtId="0" fontId="4" fillId="0" borderId="25" xfId="2" applyFont="1" applyFill="1" applyBorder="1" applyAlignment="1">
      <alignment horizontal="center" vertical="center" wrapText="1"/>
    </xf>
    <xf numFmtId="10" fontId="4" fillId="0" borderId="0" xfId="2" applyNumberFormat="1"/>
  </cellXfs>
  <cellStyles count="99">
    <cellStyle name="20% - Accent1" xfId="6"/>
    <cellStyle name="20% - Accent2" xfId="7"/>
    <cellStyle name="20% - Accent3" xfId="8"/>
    <cellStyle name="20% - Accent4" xfId="9"/>
    <cellStyle name="20% - Accent5" xfId="10"/>
    <cellStyle name="20% - Accent6" xfId="11"/>
    <cellStyle name="20% - Énfasis1 2" xfId="12"/>
    <cellStyle name="20% - Énfasis2 2" xfId="13"/>
    <cellStyle name="20% - Énfasis3 2" xfId="14"/>
    <cellStyle name="20% - Énfasis4 2" xfId="15"/>
    <cellStyle name="20% - Énfasis5 2" xfId="16"/>
    <cellStyle name="20% - Énfasis6 2" xfId="17"/>
    <cellStyle name="40% - Accent1" xfId="18"/>
    <cellStyle name="40% - Accent2" xfId="19"/>
    <cellStyle name="40% - Accent3" xfId="20"/>
    <cellStyle name="40% - Accent4" xfId="21"/>
    <cellStyle name="40% - Accent5" xfId="22"/>
    <cellStyle name="40% - Accent6" xfId="23"/>
    <cellStyle name="40% - Énfasis1 2" xfId="24"/>
    <cellStyle name="40% - Énfasis2 2" xfId="25"/>
    <cellStyle name="40% - Énfasis3 2" xfId="26"/>
    <cellStyle name="40% - Énfasis4 2" xfId="27"/>
    <cellStyle name="40% - Énfasis5 2" xfId="28"/>
    <cellStyle name="40% - Énfasis6 2" xfId="29"/>
    <cellStyle name="60% - Accent1" xfId="30"/>
    <cellStyle name="60% - Accent2" xfId="31"/>
    <cellStyle name="60% - Accent3" xfId="32"/>
    <cellStyle name="60% - Accent4" xfId="33"/>
    <cellStyle name="60% - Accent5" xfId="34"/>
    <cellStyle name="60% - Accent6" xfId="35"/>
    <cellStyle name="60% - Énfasis1 2" xfId="36"/>
    <cellStyle name="60% - Énfasis2 2" xfId="37"/>
    <cellStyle name="60% - Énfasis3 2" xfId="38"/>
    <cellStyle name="60% - Énfasis4 2" xfId="39"/>
    <cellStyle name="60% - Énfasis5 2" xfId="40"/>
    <cellStyle name="60% - Énfasis6 2" xfId="41"/>
    <cellStyle name="Accent1" xfId="42"/>
    <cellStyle name="Accent2" xfId="43"/>
    <cellStyle name="Accent3" xfId="44"/>
    <cellStyle name="Accent4" xfId="45"/>
    <cellStyle name="Accent5" xfId="46"/>
    <cellStyle name="Accent6" xfId="47"/>
    <cellStyle name="Amarillo" xfId="48"/>
    <cellStyle name="Bad" xfId="49"/>
    <cellStyle name="Buena 2" xfId="50"/>
    <cellStyle name="Calculation" xfId="51"/>
    <cellStyle name="Cálculo 2" xfId="52"/>
    <cellStyle name="Celda de comprobación 2" xfId="53"/>
    <cellStyle name="Celda vinculada 2" xfId="54"/>
    <cellStyle name="Encabezado 4 2" xfId="55"/>
    <cellStyle name="Énfasis1 2" xfId="56"/>
    <cellStyle name="Énfasis2 2" xfId="57"/>
    <cellStyle name="Énfasis3 2" xfId="58"/>
    <cellStyle name="Énfasis4 2" xfId="59"/>
    <cellStyle name="Énfasis5 2" xfId="60"/>
    <cellStyle name="Énfasis6 2" xfId="61"/>
    <cellStyle name="Entrada 2" xfId="62"/>
    <cellStyle name="Euro" xfId="63"/>
    <cellStyle name="Euro 2" xfId="64"/>
    <cellStyle name="Excel Built-in Normal_Hoja1" xfId="3"/>
    <cellStyle name="Explanatory Text" xfId="65"/>
    <cellStyle name="Heading 1" xfId="66"/>
    <cellStyle name="Heading 2" xfId="67"/>
    <cellStyle name="Heading 3" xfId="68"/>
    <cellStyle name="Incorrecto 2" xfId="69"/>
    <cellStyle name="Millares 2" xfId="70"/>
    <cellStyle name="Millares 2 2" xfId="71"/>
    <cellStyle name="Millares 3" xfId="72"/>
    <cellStyle name="Millares 3 2" xfId="73"/>
    <cellStyle name="Millares 4" xfId="74"/>
    <cellStyle name="Millares 5" xfId="75"/>
    <cellStyle name="Millares 6" xfId="5"/>
    <cellStyle name="Neutral 2" xfId="76"/>
    <cellStyle name="Normal" xfId="0" builtinId="0"/>
    <cellStyle name="Normal 2" xfId="77"/>
    <cellStyle name="Normal 2 2" xfId="2"/>
    <cellStyle name="Normal 2 3" xfId="78"/>
    <cellStyle name="Normal 3" xfId="79"/>
    <cellStyle name="Normal_Hoja1" xfId="1"/>
    <cellStyle name="Notas 2" xfId="80"/>
    <cellStyle name="Note 2" xfId="81"/>
    <cellStyle name="Output" xfId="82"/>
    <cellStyle name="Porcentual 2" xfId="83"/>
    <cellStyle name="Porcentual 3" xfId="84"/>
    <cellStyle name="Porcentual 3 2" xfId="4"/>
    <cellStyle name="Porcentual 4" xfId="85"/>
    <cellStyle name="Porcentual 5" xfId="86"/>
    <cellStyle name="Rojo" xfId="87"/>
    <cellStyle name="Salida 2" xfId="88"/>
    <cellStyle name="TableStyleLight1" xfId="89"/>
    <cellStyle name="Texto de advertencia 2" xfId="90"/>
    <cellStyle name="Texto explicativo 2" xfId="91"/>
    <cellStyle name="Title" xfId="92"/>
    <cellStyle name="Título 1 2" xfId="93"/>
    <cellStyle name="Título 2 2" xfId="94"/>
    <cellStyle name="Título 3 2" xfId="95"/>
    <cellStyle name="Título 4" xfId="96"/>
    <cellStyle name="Total 2" xfId="97"/>
    <cellStyle name="Verde" xfId="98"/>
  </cellStyles>
  <dxfs count="219">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EXO%204.%20ANEXOS%20INFORME%20SI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Gestion 2016"/>
      <sheetName val="resumen 2012-2015"/>
      <sheetName val="Plan Gestion 2015"/>
      <sheetName val="Plan Gestion 2014"/>
      <sheetName val="Plan Gestion 2013"/>
      <sheetName val="Plan Gestion 2012"/>
      <sheetName val="Control Interno"/>
      <sheetName val="Contraloría"/>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61"/>
  <sheetViews>
    <sheetView tabSelected="1" topLeftCell="J4" zoomScale="65" zoomScaleNormal="65" workbookViewId="0">
      <selection activeCell="L14" sqref="L14"/>
    </sheetView>
  </sheetViews>
  <sheetFormatPr baseColWidth="10" defaultColWidth="11.5703125" defaultRowHeight="12.75" customHeight="1"/>
  <cols>
    <col min="1" max="1" width="16.85546875" style="4" customWidth="1"/>
    <col min="2" max="2" width="15.140625" style="4" customWidth="1"/>
    <col min="3" max="3" width="21.5703125" style="4" customWidth="1"/>
    <col min="4" max="4" width="16" style="4" customWidth="1"/>
    <col min="5" max="5" width="45" style="4" customWidth="1"/>
    <col min="6" max="6" width="11.42578125" style="4" customWidth="1"/>
    <col min="7" max="8" width="15" style="4" customWidth="1"/>
    <col min="9" max="23" width="11.42578125" style="4" customWidth="1"/>
    <col min="24" max="24" width="13" style="4" customWidth="1"/>
    <col min="25" max="25" width="26.28515625" style="4" customWidth="1"/>
    <col min="26" max="26" width="49" style="4" customWidth="1"/>
    <col min="27" max="27" width="24.28515625" style="4" customWidth="1"/>
    <col min="28" max="28" width="22.28515625" style="4" customWidth="1"/>
    <col min="29" max="29" width="14.85546875" style="4" customWidth="1"/>
    <col min="30" max="30" width="26.5703125" style="4" customWidth="1"/>
    <col min="31" max="31" width="64.28515625" style="4" customWidth="1"/>
    <col min="32" max="32" width="13" style="4" customWidth="1"/>
    <col min="33" max="33" width="11.5703125" style="4"/>
    <col min="34" max="34" width="65.140625" style="4" customWidth="1"/>
    <col min="35" max="35" width="17.5703125" style="4" customWidth="1"/>
    <col min="36" max="36" width="13.5703125" style="4" customWidth="1"/>
    <col min="37" max="37" width="11.5703125" style="4"/>
    <col min="38" max="38" width="53.42578125" style="4" customWidth="1"/>
    <col min="39" max="39" width="16.7109375" style="4" customWidth="1"/>
    <col min="40" max="40" width="14.28515625" style="4" customWidth="1"/>
    <col min="41" max="41" width="11.5703125" style="4"/>
    <col min="42" max="42" width="82.85546875" style="4" customWidth="1"/>
    <col min="43" max="43" width="24.85546875" style="4" customWidth="1"/>
    <col min="44" max="44" width="13" style="4" customWidth="1"/>
    <col min="45" max="45" width="11.5703125" style="4"/>
    <col min="46" max="46" width="55.42578125" style="4" customWidth="1"/>
    <col min="47" max="47" width="29.140625" style="4" customWidth="1"/>
    <col min="48" max="256" width="11.5703125" style="4"/>
    <col min="257" max="257" width="16.85546875" style="4" customWidth="1"/>
    <col min="258" max="258" width="15.140625" style="4" customWidth="1"/>
    <col min="259" max="259" width="21.5703125" style="4" customWidth="1"/>
    <col min="260" max="260" width="16" style="4" customWidth="1"/>
    <col min="261" max="261" width="45" style="4" customWidth="1"/>
    <col min="262" max="262" width="11.42578125" style="4" customWidth="1"/>
    <col min="263" max="264" width="15" style="4" customWidth="1"/>
    <col min="265" max="279" width="11.42578125" style="4" customWidth="1"/>
    <col min="280" max="280" width="13" style="4" customWidth="1"/>
    <col min="281" max="281" width="26.28515625" style="4" customWidth="1"/>
    <col min="282" max="282" width="49" style="4" customWidth="1"/>
    <col min="283" max="283" width="24.28515625" style="4" customWidth="1"/>
    <col min="284" max="284" width="22.28515625" style="4" customWidth="1"/>
    <col min="285" max="285" width="14.85546875" style="4" customWidth="1"/>
    <col min="286" max="286" width="26.5703125" style="4" customWidth="1"/>
    <col min="287" max="287" width="64.28515625" style="4" customWidth="1"/>
    <col min="288" max="288" width="13" style="4" customWidth="1"/>
    <col min="289" max="289" width="11.5703125" style="4"/>
    <col min="290" max="290" width="65.140625" style="4" customWidth="1"/>
    <col min="291" max="291" width="17.5703125" style="4" customWidth="1"/>
    <col min="292" max="292" width="13.5703125" style="4" customWidth="1"/>
    <col min="293" max="293" width="11.5703125" style="4"/>
    <col min="294" max="294" width="53.42578125" style="4" customWidth="1"/>
    <col min="295" max="295" width="16.7109375" style="4" customWidth="1"/>
    <col min="296" max="296" width="14.28515625" style="4" customWidth="1"/>
    <col min="297" max="297" width="11.5703125" style="4"/>
    <col min="298" max="298" width="82.85546875" style="4" customWidth="1"/>
    <col min="299" max="299" width="24.85546875" style="4" customWidth="1"/>
    <col min="300" max="300" width="13" style="4" customWidth="1"/>
    <col min="301" max="301" width="11.5703125" style="4"/>
    <col min="302" max="302" width="55.42578125" style="4" customWidth="1"/>
    <col min="303" max="303" width="29.140625" style="4" customWidth="1"/>
    <col min="304" max="512" width="11.5703125" style="4"/>
    <col min="513" max="513" width="16.85546875" style="4" customWidth="1"/>
    <col min="514" max="514" width="15.140625" style="4" customWidth="1"/>
    <col min="515" max="515" width="21.5703125" style="4" customWidth="1"/>
    <col min="516" max="516" width="16" style="4" customWidth="1"/>
    <col min="517" max="517" width="45" style="4" customWidth="1"/>
    <col min="518" max="518" width="11.42578125" style="4" customWidth="1"/>
    <col min="519" max="520" width="15" style="4" customWidth="1"/>
    <col min="521" max="535" width="11.42578125" style="4" customWidth="1"/>
    <col min="536" max="536" width="13" style="4" customWidth="1"/>
    <col min="537" max="537" width="26.28515625" style="4" customWidth="1"/>
    <col min="538" max="538" width="49" style="4" customWidth="1"/>
    <col min="539" max="539" width="24.28515625" style="4" customWidth="1"/>
    <col min="540" max="540" width="22.28515625" style="4" customWidth="1"/>
    <col min="541" max="541" width="14.85546875" style="4" customWidth="1"/>
    <col min="542" max="542" width="26.5703125" style="4" customWidth="1"/>
    <col min="543" max="543" width="64.28515625" style="4" customWidth="1"/>
    <col min="544" max="544" width="13" style="4" customWidth="1"/>
    <col min="545" max="545" width="11.5703125" style="4"/>
    <col min="546" max="546" width="65.140625" style="4" customWidth="1"/>
    <col min="547" max="547" width="17.5703125" style="4" customWidth="1"/>
    <col min="548" max="548" width="13.5703125" style="4" customWidth="1"/>
    <col min="549" max="549" width="11.5703125" style="4"/>
    <col min="550" max="550" width="53.42578125" style="4" customWidth="1"/>
    <col min="551" max="551" width="16.7109375" style="4" customWidth="1"/>
    <col min="552" max="552" width="14.28515625" style="4" customWidth="1"/>
    <col min="553" max="553" width="11.5703125" style="4"/>
    <col min="554" max="554" width="82.85546875" style="4" customWidth="1"/>
    <col min="555" max="555" width="24.85546875" style="4" customWidth="1"/>
    <col min="556" max="556" width="13" style="4" customWidth="1"/>
    <col min="557" max="557" width="11.5703125" style="4"/>
    <col min="558" max="558" width="55.42578125" style="4" customWidth="1"/>
    <col min="559" max="559" width="29.140625" style="4" customWidth="1"/>
    <col min="560" max="768" width="11.5703125" style="4"/>
    <col min="769" max="769" width="16.85546875" style="4" customWidth="1"/>
    <col min="770" max="770" width="15.140625" style="4" customWidth="1"/>
    <col min="771" max="771" width="21.5703125" style="4" customWidth="1"/>
    <col min="772" max="772" width="16" style="4" customWidth="1"/>
    <col min="773" max="773" width="45" style="4" customWidth="1"/>
    <col min="774" max="774" width="11.42578125" style="4" customWidth="1"/>
    <col min="775" max="776" width="15" style="4" customWidth="1"/>
    <col min="777" max="791" width="11.42578125" style="4" customWidth="1"/>
    <col min="792" max="792" width="13" style="4" customWidth="1"/>
    <col min="793" max="793" width="26.28515625" style="4" customWidth="1"/>
    <col min="794" max="794" width="49" style="4" customWidth="1"/>
    <col min="795" max="795" width="24.28515625" style="4" customWidth="1"/>
    <col min="796" max="796" width="22.28515625" style="4" customWidth="1"/>
    <col min="797" max="797" width="14.85546875" style="4" customWidth="1"/>
    <col min="798" max="798" width="26.5703125" style="4" customWidth="1"/>
    <col min="799" max="799" width="64.28515625" style="4" customWidth="1"/>
    <col min="800" max="800" width="13" style="4" customWidth="1"/>
    <col min="801" max="801" width="11.5703125" style="4"/>
    <col min="802" max="802" width="65.140625" style="4" customWidth="1"/>
    <col min="803" max="803" width="17.5703125" style="4" customWidth="1"/>
    <col min="804" max="804" width="13.5703125" style="4" customWidth="1"/>
    <col min="805" max="805" width="11.5703125" style="4"/>
    <col min="806" max="806" width="53.42578125" style="4" customWidth="1"/>
    <col min="807" max="807" width="16.7109375" style="4" customWidth="1"/>
    <col min="808" max="808" width="14.28515625" style="4" customWidth="1"/>
    <col min="809" max="809" width="11.5703125" style="4"/>
    <col min="810" max="810" width="82.85546875" style="4" customWidth="1"/>
    <col min="811" max="811" width="24.85546875" style="4" customWidth="1"/>
    <col min="812" max="812" width="13" style="4" customWidth="1"/>
    <col min="813" max="813" width="11.5703125" style="4"/>
    <col min="814" max="814" width="55.42578125" style="4" customWidth="1"/>
    <col min="815" max="815" width="29.140625" style="4" customWidth="1"/>
    <col min="816" max="1024" width="11.5703125" style="4"/>
    <col min="1025" max="1025" width="16.85546875" style="4" customWidth="1"/>
    <col min="1026" max="1026" width="15.140625" style="4" customWidth="1"/>
    <col min="1027" max="1027" width="21.5703125" style="4" customWidth="1"/>
    <col min="1028" max="1028" width="16" style="4" customWidth="1"/>
    <col min="1029" max="1029" width="45" style="4" customWidth="1"/>
    <col min="1030" max="1030" width="11.42578125" style="4" customWidth="1"/>
    <col min="1031" max="1032" width="15" style="4" customWidth="1"/>
    <col min="1033" max="1047" width="11.42578125" style="4" customWidth="1"/>
    <col min="1048" max="1048" width="13" style="4" customWidth="1"/>
    <col min="1049" max="1049" width="26.28515625" style="4" customWidth="1"/>
    <col min="1050" max="1050" width="49" style="4" customWidth="1"/>
    <col min="1051" max="1051" width="24.28515625" style="4" customWidth="1"/>
    <col min="1052" max="1052" width="22.28515625" style="4" customWidth="1"/>
    <col min="1053" max="1053" width="14.85546875" style="4" customWidth="1"/>
    <col min="1054" max="1054" width="26.5703125" style="4" customWidth="1"/>
    <col min="1055" max="1055" width="64.28515625" style="4" customWidth="1"/>
    <col min="1056" max="1056" width="13" style="4" customWidth="1"/>
    <col min="1057" max="1057" width="11.5703125" style="4"/>
    <col min="1058" max="1058" width="65.140625" style="4" customWidth="1"/>
    <col min="1059" max="1059" width="17.5703125" style="4" customWidth="1"/>
    <col min="1060" max="1060" width="13.5703125" style="4" customWidth="1"/>
    <col min="1061" max="1061" width="11.5703125" style="4"/>
    <col min="1062" max="1062" width="53.42578125" style="4" customWidth="1"/>
    <col min="1063" max="1063" width="16.7109375" style="4" customWidth="1"/>
    <col min="1064" max="1064" width="14.28515625" style="4" customWidth="1"/>
    <col min="1065" max="1065" width="11.5703125" style="4"/>
    <col min="1066" max="1066" width="82.85546875" style="4" customWidth="1"/>
    <col min="1067" max="1067" width="24.85546875" style="4" customWidth="1"/>
    <col min="1068" max="1068" width="13" style="4" customWidth="1"/>
    <col min="1069" max="1069" width="11.5703125" style="4"/>
    <col min="1070" max="1070" width="55.42578125" style="4" customWidth="1"/>
    <col min="1071" max="1071" width="29.140625" style="4" customWidth="1"/>
    <col min="1072" max="1280" width="11.5703125" style="4"/>
    <col min="1281" max="1281" width="16.85546875" style="4" customWidth="1"/>
    <col min="1282" max="1282" width="15.140625" style="4" customWidth="1"/>
    <col min="1283" max="1283" width="21.5703125" style="4" customWidth="1"/>
    <col min="1284" max="1284" width="16" style="4" customWidth="1"/>
    <col min="1285" max="1285" width="45" style="4" customWidth="1"/>
    <col min="1286" max="1286" width="11.42578125" style="4" customWidth="1"/>
    <col min="1287" max="1288" width="15" style="4" customWidth="1"/>
    <col min="1289" max="1303" width="11.42578125" style="4" customWidth="1"/>
    <col min="1304" max="1304" width="13" style="4" customWidth="1"/>
    <col min="1305" max="1305" width="26.28515625" style="4" customWidth="1"/>
    <col min="1306" max="1306" width="49" style="4" customWidth="1"/>
    <col min="1307" max="1307" width="24.28515625" style="4" customWidth="1"/>
    <col min="1308" max="1308" width="22.28515625" style="4" customWidth="1"/>
    <col min="1309" max="1309" width="14.85546875" style="4" customWidth="1"/>
    <col min="1310" max="1310" width="26.5703125" style="4" customWidth="1"/>
    <col min="1311" max="1311" width="64.28515625" style="4" customWidth="1"/>
    <col min="1312" max="1312" width="13" style="4" customWidth="1"/>
    <col min="1313" max="1313" width="11.5703125" style="4"/>
    <col min="1314" max="1314" width="65.140625" style="4" customWidth="1"/>
    <col min="1315" max="1315" width="17.5703125" style="4" customWidth="1"/>
    <col min="1316" max="1316" width="13.5703125" style="4" customWidth="1"/>
    <col min="1317" max="1317" width="11.5703125" style="4"/>
    <col min="1318" max="1318" width="53.42578125" style="4" customWidth="1"/>
    <col min="1319" max="1319" width="16.7109375" style="4" customWidth="1"/>
    <col min="1320" max="1320" width="14.28515625" style="4" customWidth="1"/>
    <col min="1321" max="1321" width="11.5703125" style="4"/>
    <col min="1322" max="1322" width="82.85546875" style="4" customWidth="1"/>
    <col min="1323" max="1323" width="24.85546875" style="4" customWidth="1"/>
    <col min="1324" max="1324" width="13" style="4" customWidth="1"/>
    <col min="1325" max="1325" width="11.5703125" style="4"/>
    <col min="1326" max="1326" width="55.42578125" style="4" customWidth="1"/>
    <col min="1327" max="1327" width="29.140625" style="4" customWidth="1"/>
    <col min="1328" max="1536" width="11.5703125" style="4"/>
    <col min="1537" max="1537" width="16.85546875" style="4" customWidth="1"/>
    <col min="1538" max="1538" width="15.140625" style="4" customWidth="1"/>
    <col min="1539" max="1539" width="21.5703125" style="4" customWidth="1"/>
    <col min="1540" max="1540" width="16" style="4" customWidth="1"/>
    <col min="1541" max="1541" width="45" style="4" customWidth="1"/>
    <col min="1542" max="1542" width="11.42578125" style="4" customWidth="1"/>
    <col min="1543" max="1544" width="15" style="4" customWidth="1"/>
    <col min="1545" max="1559" width="11.42578125" style="4" customWidth="1"/>
    <col min="1560" max="1560" width="13" style="4" customWidth="1"/>
    <col min="1561" max="1561" width="26.28515625" style="4" customWidth="1"/>
    <col min="1562" max="1562" width="49" style="4" customWidth="1"/>
    <col min="1563" max="1563" width="24.28515625" style="4" customWidth="1"/>
    <col min="1564" max="1564" width="22.28515625" style="4" customWidth="1"/>
    <col min="1565" max="1565" width="14.85546875" style="4" customWidth="1"/>
    <col min="1566" max="1566" width="26.5703125" style="4" customWidth="1"/>
    <col min="1567" max="1567" width="64.28515625" style="4" customWidth="1"/>
    <col min="1568" max="1568" width="13" style="4" customWidth="1"/>
    <col min="1569" max="1569" width="11.5703125" style="4"/>
    <col min="1570" max="1570" width="65.140625" style="4" customWidth="1"/>
    <col min="1571" max="1571" width="17.5703125" style="4" customWidth="1"/>
    <col min="1572" max="1572" width="13.5703125" style="4" customWidth="1"/>
    <col min="1573" max="1573" width="11.5703125" style="4"/>
    <col min="1574" max="1574" width="53.42578125" style="4" customWidth="1"/>
    <col min="1575" max="1575" width="16.7109375" style="4" customWidth="1"/>
    <col min="1576" max="1576" width="14.28515625" style="4" customWidth="1"/>
    <col min="1577" max="1577" width="11.5703125" style="4"/>
    <col min="1578" max="1578" width="82.85546875" style="4" customWidth="1"/>
    <col min="1579" max="1579" width="24.85546875" style="4" customWidth="1"/>
    <col min="1580" max="1580" width="13" style="4" customWidth="1"/>
    <col min="1581" max="1581" width="11.5703125" style="4"/>
    <col min="1582" max="1582" width="55.42578125" style="4" customWidth="1"/>
    <col min="1583" max="1583" width="29.140625" style="4" customWidth="1"/>
    <col min="1584" max="1792" width="11.5703125" style="4"/>
    <col min="1793" max="1793" width="16.85546875" style="4" customWidth="1"/>
    <col min="1794" max="1794" width="15.140625" style="4" customWidth="1"/>
    <col min="1795" max="1795" width="21.5703125" style="4" customWidth="1"/>
    <col min="1796" max="1796" width="16" style="4" customWidth="1"/>
    <col min="1797" max="1797" width="45" style="4" customWidth="1"/>
    <col min="1798" max="1798" width="11.42578125" style="4" customWidth="1"/>
    <col min="1799" max="1800" width="15" style="4" customWidth="1"/>
    <col min="1801" max="1815" width="11.42578125" style="4" customWidth="1"/>
    <col min="1816" max="1816" width="13" style="4" customWidth="1"/>
    <col min="1817" max="1817" width="26.28515625" style="4" customWidth="1"/>
    <col min="1818" max="1818" width="49" style="4" customWidth="1"/>
    <col min="1819" max="1819" width="24.28515625" style="4" customWidth="1"/>
    <col min="1820" max="1820" width="22.28515625" style="4" customWidth="1"/>
    <col min="1821" max="1821" width="14.85546875" style="4" customWidth="1"/>
    <col min="1822" max="1822" width="26.5703125" style="4" customWidth="1"/>
    <col min="1823" max="1823" width="64.28515625" style="4" customWidth="1"/>
    <col min="1824" max="1824" width="13" style="4" customWidth="1"/>
    <col min="1825" max="1825" width="11.5703125" style="4"/>
    <col min="1826" max="1826" width="65.140625" style="4" customWidth="1"/>
    <col min="1827" max="1827" width="17.5703125" style="4" customWidth="1"/>
    <col min="1828" max="1828" width="13.5703125" style="4" customWidth="1"/>
    <col min="1829" max="1829" width="11.5703125" style="4"/>
    <col min="1830" max="1830" width="53.42578125" style="4" customWidth="1"/>
    <col min="1831" max="1831" width="16.7109375" style="4" customWidth="1"/>
    <col min="1832" max="1832" width="14.28515625" style="4" customWidth="1"/>
    <col min="1833" max="1833" width="11.5703125" style="4"/>
    <col min="1834" max="1834" width="82.85546875" style="4" customWidth="1"/>
    <col min="1835" max="1835" width="24.85546875" style="4" customWidth="1"/>
    <col min="1836" max="1836" width="13" style="4" customWidth="1"/>
    <col min="1837" max="1837" width="11.5703125" style="4"/>
    <col min="1838" max="1838" width="55.42578125" style="4" customWidth="1"/>
    <col min="1839" max="1839" width="29.140625" style="4" customWidth="1"/>
    <col min="1840" max="2048" width="11.5703125" style="4"/>
    <col min="2049" max="2049" width="16.85546875" style="4" customWidth="1"/>
    <col min="2050" max="2050" width="15.140625" style="4" customWidth="1"/>
    <col min="2051" max="2051" width="21.5703125" style="4" customWidth="1"/>
    <col min="2052" max="2052" width="16" style="4" customWidth="1"/>
    <col min="2053" max="2053" width="45" style="4" customWidth="1"/>
    <col min="2054" max="2054" width="11.42578125" style="4" customWidth="1"/>
    <col min="2055" max="2056" width="15" style="4" customWidth="1"/>
    <col min="2057" max="2071" width="11.42578125" style="4" customWidth="1"/>
    <col min="2072" max="2072" width="13" style="4" customWidth="1"/>
    <col min="2073" max="2073" width="26.28515625" style="4" customWidth="1"/>
    <col min="2074" max="2074" width="49" style="4" customWidth="1"/>
    <col min="2075" max="2075" width="24.28515625" style="4" customWidth="1"/>
    <col min="2076" max="2076" width="22.28515625" style="4" customWidth="1"/>
    <col min="2077" max="2077" width="14.85546875" style="4" customWidth="1"/>
    <col min="2078" max="2078" width="26.5703125" style="4" customWidth="1"/>
    <col min="2079" max="2079" width="64.28515625" style="4" customWidth="1"/>
    <col min="2080" max="2080" width="13" style="4" customWidth="1"/>
    <col min="2081" max="2081" width="11.5703125" style="4"/>
    <col min="2082" max="2082" width="65.140625" style="4" customWidth="1"/>
    <col min="2083" max="2083" width="17.5703125" style="4" customWidth="1"/>
    <col min="2084" max="2084" width="13.5703125" style="4" customWidth="1"/>
    <col min="2085" max="2085" width="11.5703125" style="4"/>
    <col min="2086" max="2086" width="53.42578125" style="4" customWidth="1"/>
    <col min="2087" max="2087" width="16.7109375" style="4" customWidth="1"/>
    <col min="2088" max="2088" width="14.28515625" style="4" customWidth="1"/>
    <col min="2089" max="2089" width="11.5703125" style="4"/>
    <col min="2090" max="2090" width="82.85546875" style="4" customWidth="1"/>
    <col min="2091" max="2091" width="24.85546875" style="4" customWidth="1"/>
    <col min="2092" max="2092" width="13" style="4" customWidth="1"/>
    <col min="2093" max="2093" width="11.5703125" style="4"/>
    <col min="2094" max="2094" width="55.42578125" style="4" customWidth="1"/>
    <col min="2095" max="2095" width="29.140625" style="4" customWidth="1"/>
    <col min="2096" max="2304" width="11.5703125" style="4"/>
    <col min="2305" max="2305" width="16.85546875" style="4" customWidth="1"/>
    <col min="2306" max="2306" width="15.140625" style="4" customWidth="1"/>
    <col min="2307" max="2307" width="21.5703125" style="4" customWidth="1"/>
    <col min="2308" max="2308" width="16" style="4" customWidth="1"/>
    <col min="2309" max="2309" width="45" style="4" customWidth="1"/>
    <col min="2310" max="2310" width="11.42578125" style="4" customWidth="1"/>
    <col min="2311" max="2312" width="15" style="4" customWidth="1"/>
    <col min="2313" max="2327" width="11.42578125" style="4" customWidth="1"/>
    <col min="2328" max="2328" width="13" style="4" customWidth="1"/>
    <col min="2329" max="2329" width="26.28515625" style="4" customWidth="1"/>
    <col min="2330" max="2330" width="49" style="4" customWidth="1"/>
    <col min="2331" max="2331" width="24.28515625" style="4" customWidth="1"/>
    <col min="2332" max="2332" width="22.28515625" style="4" customWidth="1"/>
    <col min="2333" max="2333" width="14.85546875" style="4" customWidth="1"/>
    <col min="2334" max="2334" width="26.5703125" style="4" customWidth="1"/>
    <col min="2335" max="2335" width="64.28515625" style="4" customWidth="1"/>
    <col min="2336" max="2336" width="13" style="4" customWidth="1"/>
    <col min="2337" max="2337" width="11.5703125" style="4"/>
    <col min="2338" max="2338" width="65.140625" style="4" customWidth="1"/>
    <col min="2339" max="2339" width="17.5703125" style="4" customWidth="1"/>
    <col min="2340" max="2340" width="13.5703125" style="4" customWidth="1"/>
    <col min="2341" max="2341" width="11.5703125" style="4"/>
    <col min="2342" max="2342" width="53.42578125" style="4" customWidth="1"/>
    <col min="2343" max="2343" width="16.7109375" style="4" customWidth="1"/>
    <col min="2344" max="2344" width="14.28515625" style="4" customWidth="1"/>
    <col min="2345" max="2345" width="11.5703125" style="4"/>
    <col min="2346" max="2346" width="82.85546875" style="4" customWidth="1"/>
    <col min="2347" max="2347" width="24.85546875" style="4" customWidth="1"/>
    <col min="2348" max="2348" width="13" style="4" customWidth="1"/>
    <col min="2349" max="2349" width="11.5703125" style="4"/>
    <col min="2350" max="2350" width="55.42578125" style="4" customWidth="1"/>
    <col min="2351" max="2351" width="29.140625" style="4" customWidth="1"/>
    <col min="2352" max="2560" width="11.5703125" style="4"/>
    <col min="2561" max="2561" width="16.85546875" style="4" customWidth="1"/>
    <col min="2562" max="2562" width="15.140625" style="4" customWidth="1"/>
    <col min="2563" max="2563" width="21.5703125" style="4" customWidth="1"/>
    <col min="2564" max="2564" width="16" style="4" customWidth="1"/>
    <col min="2565" max="2565" width="45" style="4" customWidth="1"/>
    <col min="2566" max="2566" width="11.42578125" style="4" customWidth="1"/>
    <col min="2567" max="2568" width="15" style="4" customWidth="1"/>
    <col min="2569" max="2583" width="11.42578125" style="4" customWidth="1"/>
    <col min="2584" max="2584" width="13" style="4" customWidth="1"/>
    <col min="2585" max="2585" width="26.28515625" style="4" customWidth="1"/>
    <col min="2586" max="2586" width="49" style="4" customWidth="1"/>
    <col min="2587" max="2587" width="24.28515625" style="4" customWidth="1"/>
    <col min="2588" max="2588" width="22.28515625" style="4" customWidth="1"/>
    <col min="2589" max="2589" width="14.85546875" style="4" customWidth="1"/>
    <col min="2590" max="2590" width="26.5703125" style="4" customWidth="1"/>
    <col min="2591" max="2591" width="64.28515625" style="4" customWidth="1"/>
    <col min="2592" max="2592" width="13" style="4" customWidth="1"/>
    <col min="2593" max="2593" width="11.5703125" style="4"/>
    <col min="2594" max="2594" width="65.140625" style="4" customWidth="1"/>
    <col min="2595" max="2595" width="17.5703125" style="4" customWidth="1"/>
    <col min="2596" max="2596" width="13.5703125" style="4" customWidth="1"/>
    <col min="2597" max="2597" width="11.5703125" style="4"/>
    <col min="2598" max="2598" width="53.42578125" style="4" customWidth="1"/>
    <col min="2599" max="2599" width="16.7109375" style="4" customWidth="1"/>
    <col min="2600" max="2600" width="14.28515625" style="4" customWidth="1"/>
    <col min="2601" max="2601" width="11.5703125" style="4"/>
    <col min="2602" max="2602" width="82.85546875" style="4" customWidth="1"/>
    <col min="2603" max="2603" width="24.85546875" style="4" customWidth="1"/>
    <col min="2604" max="2604" width="13" style="4" customWidth="1"/>
    <col min="2605" max="2605" width="11.5703125" style="4"/>
    <col min="2606" max="2606" width="55.42578125" style="4" customWidth="1"/>
    <col min="2607" max="2607" width="29.140625" style="4" customWidth="1"/>
    <col min="2608" max="2816" width="11.5703125" style="4"/>
    <col min="2817" max="2817" width="16.85546875" style="4" customWidth="1"/>
    <col min="2818" max="2818" width="15.140625" style="4" customWidth="1"/>
    <col min="2819" max="2819" width="21.5703125" style="4" customWidth="1"/>
    <col min="2820" max="2820" width="16" style="4" customWidth="1"/>
    <col min="2821" max="2821" width="45" style="4" customWidth="1"/>
    <col min="2822" max="2822" width="11.42578125" style="4" customWidth="1"/>
    <col min="2823" max="2824" width="15" style="4" customWidth="1"/>
    <col min="2825" max="2839" width="11.42578125" style="4" customWidth="1"/>
    <col min="2840" max="2840" width="13" style="4" customWidth="1"/>
    <col min="2841" max="2841" width="26.28515625" style="4" customWidth="1"/>
    <col min="2842" max="2842" width="49" style="4" customWidth="1"/>
    <col min="2843" max="2843" width="24.28515625" style="4" customWidth="1"/>
    <col min="2844" max="2844" width="22.28515625" style="4" customWidth="1"/>
    <col min="2845" max="2845" width="14.85546875" style="4" customWidth="1"/>
    <col min="2846" max="2846" width="26.5703125" style="4" customWidth="1"/>
    <col min="2847" max="2847" width="64.28515625" style="4" customWidth="1"/>
    <col min="2848" max="2848" width="13" style="4" customWidth="1"/>
    <col min="2849" max="2849" width="11.5703125" style="4"/>
    <col min="2850" max="2850" width="65.140625" style="4" customWidth="1"/>
    <col min="2851" max="2851" width="17.5703125" style="4" customWidth="1"/>
    <col min="2852" max="2852" width="13.5703125" style="4" customWidth="1"/>
    <col min="2853" max="2853" width="11.5703125" style="4"/>
    <col min="2854" max="2854" width="53.42578125" style="4" customWidth="1"/>
    <col min="2855" max="2855" width="16.7109375" style="4" customWidth="1"/>
    <col min="2856" max="2856" width="14.28515625" style="4" customWidth="1"/>
    <col min="2857" max="2857" width="11.5703125" style="4"/>
    <col min="2858" max="2858" width="82.85546875" style="4" customWidth="1"/>
    <col min="2859" max="2859" width="24.85546875" style="4" customWidth="1"/>
    <col min="2860" max="2860" width="13" style="4" customWidth="1"/>
    <col min="2861" max="2861" width="11.5703125" style="4"/>
    <col min="2862" max="2862" width="55.42578125" style="4" customWidth="1"/>
    <col min="2863" max="2863" width="29.140625" style="4" customWidth="1"/>
    <col min="2864" max="3072" width="11.5703125" style="4"/>
    <col min="3073" max="3073" width="16.85546875" style="4" customWidth="1"/>
    <col min="3074" max="3074" width="15.140625" style="4" customWidth="1"/>
    <col min="3075" max="3075" width="21.5703125" style="4" customWidth="1"/>
    <col min="3076" max="3076" width="16" style="4" customWidth="1"/>
    <col min="3077" max="3077" width="45" style="4" customWidth="1"/>
    <col min="3078" max="3078" width="11.42578125" style="4" customWidth="1"/>
    <col min="3079" max="3080" width="15" style="4" customWidth="1"/>
    <col min="3081" max="3095" width="11.42578125" style="4" customWidth="1"/>
    <col min="3096" max="3096" width="13" style="4" customWidth="1"/>
    <col min="3097" max="3097" width="26.28515625" style="4" customWidth="1"/>
    <col min="3098" max="3098" width="49" style="4" customWidth="1"/>
    <col min="3099" max="3099" width="24.28515625" style="4" customWidth="1"/>
    <col min="3100" max="3100" width="22.28515625" style="4" customWidth="1"/>
    <col min="3101" max="3101" width="14.85546875" style="4" customWidth="1"/>
    <col min="3102" max="3102" width="26.5703125" style="4" customWidth="1"/>
    <col min="3103" max="3103" width="64.28515625" style="4" customWidth="1"/>
    <col min="3104" max="3104" width="13" style="4" customWidth="1"/>
    <col min="3105" max="3105" width="11.5703125" style="4"/>
    <col min="3106" max="3106" width="65.140625" style="4" customWidth="1"/>
    <col min="3107" max="3107" width="17.5703125" style="4" customWidth="1"/>
    <col min="3108" max="3108" width="13.5703125" style="4" customWidth="1"/>
    <col min="3109" max="3109" width="11.5703125" style="4"/>
    <col min="3110" max="3110" width="53.42578125" style="4" customWidth="1"/>
    <col min="3111" max="3111" width="16.7109375" style="4" customWidth="1"/>
    <col min="3112" max="3112" width="14.28515625" style="4" customWidth="1"/>
    <col min="3113" max="3113" width="11.5703125" style="4"/>
    <col min="3114" max="3114" width="82.85546875" style="4" customWidth="1"/>
    <col min="3115" max="3115" width="24.85546875" style="4" customWidth="1"/>
    <col min="3116" max="3116" width="13" style="4" customWidth="1"/>
    <col min="3117" max="3117" width="11.5703125" style="4"/>
    <col min="3118" max="3118" width="55.42578125" style="4" customWidth="1"/>
    <col min="3119" max="3119" width="29.140625" style="4" customWidth="1"/>
    <col min="3120" max="3328" width="11.5703125" style="4"/>
    <col min="3329" max="3329" width="16.85546875" style="4" customWidth="1"/>
    <col min="3330" max="3330" width="15.140625" style="4" customWidth="1"/>
    <col min="3331" max="3331" width="21.5703125" style="4" customWidth="1"/>
    <col min="3332" max="3332" width="16" style="4" customWidth="1"/>
    <col min="3333" max="3333" width="45" style="4" customWidth="1"/>
    <col min="3334" max="3334" width="11.42578125" style="4" customWidth="1"/>
    <col min="3335" max="3336" width="15" style="4" customWidth="1"/>
    <col min="3337" max="3351" width="11.42578125" style="4" customWidth="1"/>
    <col min="3352" max="3352" width="13" style="4" customWidth="1"/>
    <col min="3353" max="3353" width="26.28515625" style="4" customWidth="1"/>
    <col min="3354" max="3354" width="49" style="4" customWidth="1"/>
    <col min="3355" max="3355" width="24.28515625" style="4" customWidth="1"/>
    <col min="3356" max="3356" width="22.28515625" style="4" customWidth="1"/>
    <col min="3357" max="3357" width="14.85546875" style="4" customWidth="1"/>
    <col min="3358" max="3358" width="26.5703125" style="4" customWidth="1"/>
    <col min="3359" max="3359" width="64.28515625" style="4" customWidth="1"/>
    <col min="3360" max="3360" width="13" style="4" customWidth="1"/>
    <col min="3361" max="3361" width="11.5703125" style="4"/>
    <col min="3362" max="3362" width="65.140625" style="4" customWidth="1"/>
    <col min="3363" max="3363" width="17.5703125" style="4" customWidth="1"/>
    <col min="3364" max="3364" width="13.5703125" style="4" customWidth="1"/>
    <col min="3365" max="3365" width="11.5703125" style="4"/>
    <col min="3366" max="3366" width="53.42578125" style="4" customWidth="1"/>
    <col min="3367" max="3367" width="16.7109375" style="4" customWidth="1"/>
    <col min="3368" max="3368" width="14.28515625" style="4" customWidth="1"/>
    <col min="3369" max="3369" width="11.5703125" style="4"/>
    <col min="3370" max="3370" width="82.85546875" style="4" customWidth="1"/>
    <col min="3371" max="3371" width="24.85546875" style="4" customWidth="1"/>
    <col min="3372" max="3372" width="13" style="4" customWidth="1"/>
    <col min="3373" max="3373" width="11.5703125" style="4"/>
    <col min="3374" max="3374" width="55.42578125" style="4" customWidth="1"/>
    <col min="3375" max="3375" width="29.140625" style="4" customWidth="1"/>
    <col min="3376" max="3584" width="11.5703125" style="4"/>
    <col min="3585" max="3585" width="16.85546875" style="4" customWidth="1"/>
    <col min="3586" max="3586" width="15.140625" style="4" customWidth="1"/>
    <col min="3587" max="3587" width="21.5703125" style="4" customWidth="1"/>
    <col min="3588" max="3588" width="16" style="4" customWidth="1"/>
    <col min="3589" max="3589" width="45" style="4" customWidth="1"/>
    <col min="3590" max="3590" width="11.42578125" style="4" customWidth="1"/>
    <col min="3591" max="3592" width="15" style="4" customWidth="1"/>
    <col min="3593" max="3607" width="11.42578125" style="4" customWidth="1"/>
    <col min="3608" max="3608" width="13" style="4" customWidth="1"/>
    <col min="3609" max="3609" width="26.28515625" style="4" customWidth="1"/>
    <col min="3610" max="3610" width="49" style="4" customWidth="1"/>
    <col min="3611" max="3611" width="24.28515625" style="4" customWidth="1"/>
    <col min="3612" max="3612" width="22.28515625" style="4" customWidth="1"/>
    <col min="3613" max="3613" width="14.85546875" style="4" customWidth="1"/>
    <col min="3614" max="3614" width="26.5703125" style="4" customWidth="1"/>
    <col min="3615" max="3615" width="64.28515625" style="4" customWidth="1"/>
    <col min="3616" max="3616" width="13" style="4" customWidth="1"/>
    <col min="3617" max="3617" width="11.5703125" style="4"/>
    <col min="3618" max="3618" width="65.140625" style="4" customWidth="1"/>
    <col min="3619" max="3619" width="17.5703125" style="4" customWidth="1"/>
    <col min="3620" max="3620" width="13.5703125" style="4" customWidth="1"/>
    <col min="3621" max="3621" width="11.5703125" style="4"/>
    <col min="3622" max="3622" width="53.42578125" style="4" customWidth="1"/>
    <col min="3623" max="3623" width="16.7109375" style="4" customWidth="1"/>
    <col min="3624" max="3624" width="14.28515625" style="4" customWidth="1"/>
    <col min="3625" max="3625" width="11.5703125" style="4"/>
    <col min="3626" max="3626" width="82.85546875" style="4" customWidth="1"/>
    <col min="3627" max="3627" width="24.85546875" style="4" customWidth="1"/>
    <col min="3628" max="3628" width="13" style="4" customWidth="1"/>
    <col min="3629" max="3629" width="11.5703125" style="4"/>
    <col min="3630" max="3630" width="55.42578125" style="4" customWidth="1"/>
    <col min="3631" max="3631" width="29.140625" style="4" customWidth="1"/>
    <col min="3632" max="3840" width="11.5703125" style="4"/>
    <col min="3841" max="3841" width="16.85546875" style="4" customWidth="1"/>
    <col min="3842" max="3842" width="15.140625" style="4" customWidth="1"/>
    <col min="3843" max="3843" width="21.5703125" style="4" customWidth="1"/>
    <col min="3844" max="3844" width="16" style="4" customWidth="1"/>
    <col min="3845" max="3845" width="45" style="4" customWidth="1"/>
    <col min="3846" max="3846" width="11.42578125" style="4" customWidth="1"/>
    <col min="3847" max="3848" width="15" style="4" customWidth="1"/>
    <col min="3849" max="3863" width="11.42578125" style="4" customWidth="1"/>
    <col min="3864" max="3864" width="13" style="4" customWidth="1"/>
    <col min="3865" max="3865" width="26.28515625" style="4" customWidth="1"/>
    <col min="3866" max="3866" width="49" style="4" customWidth="1"/>
    <col min="3867" max="3867" width="24.28515625" style="4" customWidth="1"/>
    <col min="3868" max="3868" width="22.28515625" style="4" customWidth="1"/>
    <col min="3869" max="3869" width="14.85546875" style="4" customWidth="1"/>
    <col min="3870" max="3870" width="26.5703125" style="4" customWidth="1"/>
    <col min="3871" max="3871" width="64.28515625" style="4" customWidth="1"/>
    <col min="3872" max="3872" width="13" style="4" customWidth="1"/>
    <col min="3873" max="3873" width="11.5703125" style="4"/>
    <col min="3874" max="3874" width="65.140625" style="4" customWidth="1"/>
    <col min="3875" max="3875" width="17.5703125" style="4" customWidth="1"/>
    <col min="3876" max="3876" width="13.5703125" style="4" customWidth="1"/>
    <col min="3877" max="3877" width="11.5703125" style="4"/>
    <col min="3878" max="3878" width="53.42578125" style="4" customWidth="1"/>
    <col min="3879" max="3879" width="16.7109375" style="4" customWidth="1"/>
    <col min="3880" max="3880" width="14.28515625" style="4" customWidth="1"/>
    <col min="3881" max="3881" width="11.5703125" style="4"/>
    <col min="3882" max="3882" width="82.85546875" style="4" customWidth="1"/>
    <col min="3883" max="3883" width="24.85546875" style="4" customWidth="1"/>
    <col min="3884" max="3884" width="13" style="4" customWidth="1"/>
    <col min="3885" max="3885" width="11.5703125" style="4"/>
    <col min="3886" max="3886" width="55.42578125" style="4" customWidth="1"/>
    <col min="3887" max="3887" width="29.140625" style="4" customWidth="1"/>
    <col min="3888" max="4096" width="11.5703125" style="4"/>
    <col min="4097" max="4097" width="16.85546875" style="4" customWidth="1"/>
    <col min="4098" max="4098" width="15.140625" style="4" customWidth="1"/>
    <col min="4099" max="4099" width="21.5703125" style="4" customWidth="1"/>
    <col min="4100" max="4100" width="16" style="4" customWidth="1"/>
    <col min="4101" max="4101" width="45" style="4" customWidth="1"/>
    <col min="4102" max="4102" width="11.42578125" style="4" customWidth="1"/>
    <col min="4103" max="4104" width="15" style="4" customWidth="1"/>
    <col min="4105" max="4119" width="11.42578125" style="4" customWidth="1"/>
    <col min="4120" max="4120" width="13" style="4" customWidth="1"/>
    <col min="4121" max="4121" width="26.28515625" style="4" customWidth="1"/>
    <col min="4122" max="4122" width="49" style="4" customWidth="1"/>
    <col min="4123" max="4123" width="24.28515625" style="4" customWidth="1"/>
    <col min="4124" max="4124" width="22.28515625" style="4" customWidth="1"/>
    <col min="4125" max="4125" width="14.85546875" style="4" customWidth="1"/>
    <col min="4126" max="4126" width="26.5703125" style="4" customWidth="1"/>
    <col min="4127" max="4127" width="64.28515625" style="4" customWidth="1"/>
    <col min="4128" max="4128" width="13" style="4" customWidth="1"/>
    <col min="4129" max="4129" width="11.5703125" style="4"/>
    <col min="4130" max="4130" width="65.140625" style="4" customWidth="1"/>
    <col min="4131" max="4131" width="17.5703125" style="4" customWidth="1"/>
    <col min="4132" max="4132" width="13.5703125" style="4" customWidth="1"/>
    <col min="4133" max="4133" width="11.5703125" style="4"/>
    <col min="4134" max="4134" width="53.42578125" style="4" customWidth="1"/>
    <col min="4135" max="4135" width="16.7109375" style="4" customWidth="1"/>
    <col min="4136" max="4136" width="14.28515625" style="4" customWidth="1"/>
    <col min="4137" max="4137" width="11.5703125" style="4"/>
    <col min="4138" max="4138" width="82.85546875" style="4" customWidth="1"/>
    <col min="4139" max="4139" width="24.85546875" style="4" customWidth="1"/>
    <col min="4140" max="4140" width="13" style="4" customWidth="1"/>
    <col min="4141" max="4141" width="11.5703125" style="4"/>
    <col min="4142" max="4142" width="55.42578125" style="4" customWidth="1"/>
    <col min="4143" max="4143" width="29.140625" style="4" customWidth="1"/>
    <col min="4144" max="4352" width="11.5703125" style="4"/>
    <col min="4353" max="4353" width="16.85546875" style="4" customWidth="1"/>
    <col min="4354" max="4354" width="15.140625" style="4" customWidth="1"/>
    <col min="4355" max="4355" width="21.5703125" style="4" customWidth="1"/>
    <col min="4356" max="4356" width="16" style="4" customWidth="1"/>
    <col min="4357" max="4357" width="45" style="4" customWidth="1"/>
    <col min="4358" max="4358" width="11.42578125" style="4" customWidth="1"/>
    <col min="4359" max="4360" width="15" style="4" customWidth="1"/>
    <col min="4361" max="4375" width="11.42578125" style="4" customWidth="1"/>
    <col min="4376" max="4376" width="13" style="4" customWidth="1"/>
    <col min="4377" max="4377" width="26.28515625" style="4" customWidth="1"/>
    <col min="4378" max="4378" width="49" style="4" customWidth="1"/>
    <col min="4379" max="4379" width="24.28515625" style="4" customWidth="1"/>
    <col min="4380" max="4380" width="22.28515625" style="4" customWidth="1"/>
    <col min="4381" max="4381" width="14.85546875" style="4" customWidth="1"/>
    <col min="4382" max="4382" width="26.5703125" style="4" customWidth="1"/>
    <col min="4383" max="4383" width="64.28515625" style="4" customWidth="1"/>
    <col min="4384" max="4384" width="13" style="4" customWidth="1"/>
    <col min="4385" max="4385" width="11.5703125" style="4"/>
    <col min="4386" max="4386" width="65.140625" style="4" customWidth="1"/>
    <col min="4387" max="4387" width="17.5703125" style="4" customWidth="1"/>
    <col min="4388" max="4388" width="13.5703125" style="4" customWidth="1"/>
    <col min="4389" max="4389" width="11.5703125" style="4"/>
    <col min="4390" max="4390" width="53.42578125" style="4" customWidth="1"/>
    <col min="4391" max="4391" width="16.7109375" style="4" customWidth="1"/>
    <col min="4392" max="4392" width="14.28515625" style="4" customWidth="1"/>
    <col min="4393" max="4393" width="11.5703125" style="4"/>
    <col min="4394" max="4394" width="82.85546875" style="4" customWidth="1"/>
    <col min="4395" max="4395" width="24.85546875" style="4" customWidth="1"/>
    <col min="4396" max="4396" width="13" style="4" customWidth="1"/>
    <col min="4397" max="4397" width="11.5703125" style="4"/>
    <col min="4398" max="4398" width="55.42578125" style="4" customWidth="1"/>
    <col min="4399" max="4399" width="29.140625" style="4" customWidth="1"/>
    <col min="4400" max="4608" width="11.5703125" style="4"/>
    <col min="4609" max="4609" width="16.85546875" style="4" customWidth="1"/>
    <col min="4610" max="4610" width="15.140625" style="4" customWidth="1"/>
    <col min="4611" max="4611" width="21.5703125" style="4" customWidth="1"/>
    <col min="4612" max="4612" width="16" style="4" customWidth="1"/>
    <col min="4613" max="4613" width="45" style="4" customWidth="1"/>
    <col min="4614" max="4614" width="11.42578125" style="4" customWidth="1"/>
    <col min="4615" max="4616" width="15" style="4" customWidth="1"/>
    <col min="4617" max="4631" width="11.42578125" style="4" customWidth="1"/>
    <col min="4632" max="4632" width="13" style="4" customWidth="1"/>
    <col min="4633" max="4633" width="26.28515625" style="4" customWidth="1"/>
    <col min="4634" max="4634" width="49" style="4" customWidth="1"/>
    <col min="4635" max="4635" width="24.28515625" style="4" customWidth="1"/>
    <col min="4636" max="4636" width="22.28515625" style="4" customWidth="1"/>
    <col min="4637" max="4637" width="14.85546875" style="4" customWidth="1"/>
    <col min="4638" max="4638" width="26.5703125" style="4" customWidth="1"/>
    <col min="4639" max="4639" width="64.28515625" style="4" customWidth="1"/>
    <col min="4640" max="4640" width="13" style="4" customWidth="1"/>
    <col min="4641" max="4641" width="11.5703125" style="4"/>
    <col min="4642" max="4642" width="65.140625" style="4" customWidth="1"/>
    <col min="4643" max="4643" width="17.5703125" style="4" customWidth="1"/>
    <col min="4644" max="4644" width="13.5703125" style="4" customWidth="1"/>
    <col min="4645" max="4645" width="11.5703125" style="4"/>
    <col min="4646" max="4646" width="53.42578125" style="4" customWidth="1"/>
    <col min="4647" max="4647" width="16.7109375" style="4" customWidth="1"/>
    <col min="4648" max="4648" width="14.28515625" style="4" customWidth="1"/>
    <col min="4649" max="4649" width="11.5703125" style="4"/>
    <col min="4650" max="4650" width="82.85546875" style="4" customWidth="1"/>
    <col min="4651" max="4651" width="24.85546875" style="4" customWidth="1"/>
    <col min="4652" max="4652" width="13" style="4" customWidth="1"/>
    <col min="4653" max="4653" width="11.5703125" style="4"/>
    <col min="4654" max="4654" width="55.42578125" style="4" customWidth="1"/>
    <col min="4655" max="4655" width="29.140625" style="4" customWidth="1"/>
    <col min="4656" max="4864" width="11.5703125" style="4"/>
    <col min="4865" max="4865" width="16.85546875" style="4" customWidth="1"/>
    <col min="4866" max="4866" width="15.140625" style="4" customWidth="1"/>
    <col min="4867" max="4867" width="21.5703125" style="4" customWidth="1"/>
    <col min="4868" max="4868" width="16" style="4" customWidth="1"/>
    <col min="4869" max="4869" width="45" style="4" customWidth="1"/>
    <col min="4870" max="4870" width="11.42578125" style="4" customWidth="1"/>
    <col min="4871" max="4872" width="15" style="4" customWidth="1"/>
    <col min="4873" max="4887" width="11.42578125" style="4" customWidth="1"/>
    <col min="4888" max="4888" width="13" style="4" customWidth="1"/>
    <col min="4889" max="4889" width="26.28515625" style="4" customWidth="1"/>
    <col min="4890" max="4890" width="49" style="4" customWidth="1"/>
    <col min="4891" max="4891" width="24.28515625" style="4" customWidth="1"/>
    <col min="4892" max="4892" width="22.28515625" style="4" customWidth="1"/>
    <col min="4893" max="4893" width="14.85546875" style="4" customWidth="1"/>
    <col min="4894" max="4894" width="26.5703125" style="4" customWidth="1"/>
    <col min="4895" max="4895" width="64.28515625" style="4" customWidth="1"/>
    <col min="4896" max="4896" width="13" style="4" customWidth="1"/>
    <col min="4897" max="4897" width="11.5703125" style="4"/>
    <col min="4898" max="4898" width="65.140625" style="4" customWidth="1"/>
    <col min="4899" max="4899" width="17.5703125" style="4" customWidth="1"/>
    <col min="4900" max="4900" width="13.5703125" style="4" customWidth="1"/>
    <col min="4901" max="4901" width="11.5703125" style="4"/>
    <col min="4902" max="4902" width="53.42578125" style="4" customWidth="1"/>
    <col min="4903" max="4903" width="16.7109375" style="4" customWidth="1"/>
    <col min="4904" max="4904" width="14.28515625" style="4" customWidth="1"/>
    <col min="4905" max="4905" width="11.5703125" style="4"/>
    <col min="4906" max="4906" width="82.85546875" style="4" customWidth="1"/>
    <col min="4907" max="4907" width="24.85546875" style="4" customWidth="1"/>
    <col min="4908" max="4908" width="13" style="4" customWidth="1"/>
    <col min="4909" max="4909" width="11.5703125" style="4"/>
    <col min="4910" max="4910" width="55.42578125" style="4" customWidth="1"/>
    <col min="4911" max="4911" width="29.140625" style="4" customWidth="1"/>
    <col min="4912" max="5120" width="11.5703125" style="4"/>
    <col min="5121" max="5121" width="16.85546875" style="4" customWidth="1"/>
    <col min="5122" max="5122" width="15.140625" style="4" customWidth="1"/>
    <col min="5123" max="5123" width="21.5703125" style="4" customWidth="1"/>
    <col min="5124" max="5124" width="16" style="4" customWidth="1"/>
    <col min="5125" max="5125" width="45" style="4" customWidth="1"/>
    <col min="5126" max="5126" width="11.42578125" style="4" customWidth="1"/>
    <col min="5127" max="5128" width="15" style="4" customWidth="1"/>
    <col min="5129" max="5143" width="11.42578125" style="4" customWidth="1"/>
    <col min="5144" max="5144" width="13" style="4" customWidth="1"/>
    <col min="5145" max="5145" width="26.28515625" style="4" customWidth="1"/>
    <col min="5146" max="5146" width="49" style="4" customWidth="1"/>
    <col min="5147" max="5147" width="24.28515625" style="4" customWidth="1"/>
    <col min="5148" max="5148" width="22.28515625" style="4" customWidth="1"/>
    <col min="5149" max="5149" width="14.85546875" style="4" customWidth="1"/>
    <col min="5150" max="5150" width="26.5703125" style="4" customWidth="1"/>
    <col min="5151" max="5151" width="64.28515625" style="4" customWidth="1"/>
    <col min="5152" max="5152" width="13" style="4" customWidth="1"/>
    <col min="5153" max="5153" width="11.5703125" style="4"/>
    <col min="5154" max="5154" width="65.140625" style="4" customWidth="1"/>
    <col min="5155" max="5155" width="17.5703125" style="4" customWidth="1"/>
    <col min="5156" max="5156" width="13.5703125" style="4" customWidth="1"/>
    <col min="5157" max="5157" width="11.5703125" style="4"/>
    <col min="5158" max="5158" width="53.42578125" style="4" customWidth="1"/>
    <col min="5159" max="5159" width="16.7109375" style="4" customWidth="1"/>
    <col min="5160" max="5160" width="14.28515625" style="4" customWidth="1"/>
    <col min="5161" max="5161" width="11.5703125" style="4"/>
    <col min="5162" max="5162" width="82.85546875" style="4" customWidth="1"/>
    <col min="5163" max="5163" width="24.85546875" style="4" customWidth="1"/>
    <col min="5164" max="5164" width="13" style="4" customWidth="1"/>
    <col min="5165" max="5165" width="11.5703125" style="4"/>
    <col min="5166" max="5166" width="55.42578125" style="4" customWidth="1"/>
    <col min="5167" max="5167" width="29.140625" style="4" customWidth="1"/>
    <col min="5168" max="5376" width="11.5703125" style="4"/>
    <col min="5377" max="5377" width="16.85546875" style="4" customWidth="1"/>
    <col min="5378" max="5378" width="15.140625" style="4" customWidth="1"/>
    <col min="5379" max="5379" width="21.5703125" style="4" customWidth="1"/>
    <col min="5380" max="5380" width="16" style="4" customWidth="1"/>
    <col min="5381" max="5381" width="45" style="4" customWidth="1"/>
    <col min="5382" max="5382" width="11.42578125" style="4" customWidth="1"/>
    <col min="5383" max="5384" width="15" style="4" customWidth="1"/>
    <col min="5385" max="5399" width="11.42578125" style="4" customWidth="1"/>
    <col min="5400" max="5400" width="13" style="4" customWidth="1"/>
    <col min="5401" max="5401" width="26.28515625" style="4" customWidth="1"/>
    <col min="5402" max="5402" width="49" style="4" customWidth="1"/>
    <col min="5403" max="5403" width="24.28515625" style="4" customWidth="1"/>
    <col min="5404" max="5404" width="22.28515625" style="4" customWidth="1"/>
    <col min="5405" max="5405" width="14.85546875" style="4" customWidth="1"/>
    <col min="5406" max="5406" width="26.5703125" style="4" customWidth="1"/>
    <col min="5407" max="5407" width="64.28515625" style="4" customWidth="1"/>
    <col min="5408" max="5408" width="13" style="4" customWidth="1"/>
    <col min="5409" max="5409" width="11.5703125" style="4"/>
    <col min="5410" max="5410" width="65.140625" style="4" customWidth="1"/>
    <col min="5411" max="5411" width="17.5703125" style="4" customWidth="1"/>
    <col min="5412" max="5412" width="13.5703125" style="4" customWidth="1"/>
    <col min="5413" max="5413" width="11.5703125" style="4"/>
    <col min="5414" max="5414" width="53.42578125" style="4" customWidth="1"/>
    <col min="5415" max="5415" width="16.7109375" style="4" customWidth="1"/>
    <col min="5416" max="5416" width="14.28515625" style="4" customWidth="1"/>
    <col min="5417" max="5417" width="11.5703125" style="4"/>
    <col min="5418" max="5418" width="82.85546875" style="4" customWidth="1"/>
    <col min="5419" max="5419" width="24.85546875" style="4" customWidth="1"/>
    <col min="5420" max="5420" width="13" style="4" customWidth="1"/>
    <col min="5421" max="5421" width="11.5703125" style="4"/>
    <col min="5422" max="5422" width="55.42578125" style="4" customWidth="1"/>
    <col min="5423" max="5423" width="29.140625" style="4" customWidth="1"/>
    <col min="5424" max="5632" width="11.5703125" style="4"/>
    <col min="5633" max="5633" width="16.85546875" style="4" customWidth="1"/>
    <col min="5634" max="5634" width="15.140625" style="4" customWidth="1"/>
    <col min="5635" max="5635" width="21.5703125" style="4" customWidth="1"/>
    <col min="5636" max="5636" width="16" style="4" customWidth="1"/>
    <col min="5637" max="5637" width="45" style="4" customWidth="1"/>
    <col min="5638" max="5638" width="11.42578125" style="4" customWidth="1"/>
    <col min="5639" max="5640" width="15" style="4" customWidth="1"/>
    <col min="5641" max="5655" width="11.42578125" style="4" customWidth="1"/>
    <col min="5656" max="5656" width="13" style="4" customWidth="1"/>
    <col min="5657" max="5657" width="26.28515625" style="4" customWidth="1"/>
    <col min="5658" max="5658" width="49" style="4" customWidth="1"/>
    <col min="5659" max="5659" width="24.28515625" style="4" customWidth="1"/>
    <col min="5660" max="5660" width="22.28515625" style="4" customWidth="1"/>
    <col min="5661" max="5661" width="14.85546875" style="4" customWidth="1"/>
    <col min="5662" max="5662" width="26.5703125" style="4" customWidth="1"/>
    <col min="5663" max="5663" width="64.28515625" style="4" customWidth="1"/>
    <col min="5664" max="5664" width="13" style="4" customWidth="1"/>
    <col min="5665" max="5665" width="11.5703125" style="4"/>
    <col min="5666" max="5666" width="65.140625" style="4" customWidth="1"/>
    <col min="5667" max="5667" width="17.5703125" style="4" customWidth="1"/>
    <col min="5668" max="5668" width="13.5703125" style="4" customWidth="1"/>
    <col min="5669" max="5669" width="11.5703125" style="4"/>
    <col min="5670" max="5670" width="53.42578125" style="4" customWidth="1"/>
    <col min="5671" max="5671" width="16.7109375" style="4" customWidth="1"/>
    <col min="5672" max="5672" width="14.28515625" style="4" customWidth="1"/>
    <col min="5673" max="5673" width="11.5703125" style="4"/>
    <col min="5674" max="5674" width="82.85546875" style="4" customWidth="1"/>
    <col min="5675" max="5675" width="24.85546875" style="4" customWidth="1"/>
    <col min="5676" max="5676" width="13" style="4" customWidth="1"/>
    <col min="5677" max="5677" width="11.5703125" style="4"/>
    <col min="5678" max="5678" width="55.42578125" style="4" customWidth="1"/>
    <col min="5679" max="5679" width="29.140625" style="4" customWidth="1"/>
    <col min="5680" max="5888" width="11.5703125" style="4"/>
    <col min="5889" max="5889" width="16.85546875" style="4" customWidth="1"/>
    <col min="5890" max="5890" width="15.140625" style="4" customWidth="1"/>
    <col min="5891" max="5891" width="21.5703125" style="4" customWidth="1"/>
    <col min="5892" max="5892" width="16" style="4" customWidth="1"/>
    <col min="5893" max="5893" width="45" style="4" customWidth="1"/>
    <col min="5894" max="5894" width="11.42578125" style="4" customWidth="1"/>
    <col min="5895" max="5896" width="15" style="4" customWidth="1"/>
    <col min="5897" max="5911" width="11.42578125" style="4" customWidth="1"/>
    <col min="5912" max="5912" width="13" style="4" customWidth="1"/>
    <col min="5913" max="5913" width="26.28515625" style="4" customWidth="1"/>
    <col min="5914" max="5914" width="49" style="4" customWidth="1"/>
    <col min="5915" max="5915" width="24.28515625" style="4" customWidth="1"/>
    <col min="5916" max="5916" width="22.28515625" style="4" customWidth="1"/>
    <col min="5917" max="5917" width="14.85546875" style="4" customWidth="1"/>
    <col min="5918" max="5918" width="26.5703125" style="4" customWidth="1"/>
    <col min="5919" max="5919" width="64.28515625" style="4" customWidth="1"/>
    <col min="5920" max="5920" width="13" style="4" customWidth="1"/>
    <col min="5921" max="5921" width="11.5703125" style="4"/>
    <col min="5922" max="5922" width="65.140625" style="4" customWidth="1"/>
    <col min="5923" max="5923" width="17.5703125" style="4" customWidth="1"/>
    <col min="5924" max="5924" width="13.5703125" style="4" customWidth="1"/>
    <col min="5925" max="5925" width="11.5703125" style="4"/>
    <col min="5926" max="5926" width="53.42578125" style="4" customWidth="1"/>
    <col min="5927" max="5927" width="16.7109375" style="4" customWidth="1"/>
    <col min="5928" max="5928" width="14.28515625" style="4" customWidth="1"/>
    <col min="5929" max="5929" width="11.5703125" style="4"/>
    <col min="5930" max="5930" width="82.85546875" style="4" customWidth="1"/>
    <col min="5931" max="5931" width="24.85546875" style="4" customWidth="1"/>
    <col min="5932" max="5932" width="13" style="4" customWidth="1"/>
    <col min="5933" max="5933" width="11.5703125" style="4"/>
    <col min="5934" max="5934" width="55.42578125" style="4" customWidth="1"/>
    <col min="5935" max="5935" width="29.140625" style="4" customWidth="1"/>
    <col min="5936" max="6144" width="11.5703125" style="4"/>
    <col min="6145" max="6145" width="16.85546875" style="4" customWidth="1"/>
    <col min="6146" max="6146" width="15.140625" style="4" customWidth="1"/>
    <col min="6147" max="6147" width="21.5703125" style="4" customWidth="1"/>
    <col min="6148" max="6148" width="16" style="4" customWidth="1"/>
    <col min="6149" max="6149" width="45" style="4" customWidth="1"/>
    <col min="6150" max="6150" width="11.42578125" style="4" customWidth="1"/>
    <col min="6151" max="6152" width="15" style="4" customWidth="1"/>
    <col min="6153" max="6167" width="11.42578125" style="4" customWidth="1"/>
    <col min="6168" max="6168" width="13" style="4" customWidth="1"/>
    <col min="6169" max="6169" width="26.28515625" style="4" customWidth="1"/>
    <col min="6170" max="6170" width="49" style="4" customWidth="1"/>
    <col min="6171" max="6171" width="24.28515625" style="4" customWidth="1"/>
    <col min="6172" max="6172" width="22.28515625" style="4" customWidth="1"/>
    <col min="6173" max="6173" width="14.85546875" style="4" customWidth="1"/>
    <col min="6174" max="6174" width="26.5703125" style="4" customWidth="1"/>
    <col min="6175" max="6175" width="64.28515625" style="4" customWidth="1"/>
    <col min="6176" max="6176" width="13" style="4" customWidth="1"/>
    <col min="6177" max="6177" width="11.5703125" style="4"/>
    <col min="6178" max="6178" width="65.140625" style="4" customWidth="1"/>
    <col min="6179" max="6179" width="17.5703125" style="4" customWidth="1"/>
    <col min="6180" max="6180" width="13.5703125" style="4" customWidth="1"/>
    <col min="6181" max="6181" width="11.5703125" style="4"/>
    <col min="6182" max="6182" width="53.42578125" style="4" customWidth="1"/>
    <col min="6183" max="6183" width="16.7109375" style="4" customWidth="1"/>
    <col min="6184" max="6184" width="14.28515625" style="4" customWidth="1"/>
    <col min="6185" max="6185" width="11.5703125" style="4"/>
    <col min="6186" max="6186" width="82.85546875" style="4" customWidth="1"/>
    <col min="6187" max="6187" width="24.85546875" style="4" customWidth="1"/>
    <col min="6188" max="6188" width="13" style="4" customWidth="1"/>
    <col min="6189" max="6189" width="11.5703125" style="4"/>
    <col min="6190" max="6190" width="55.42578125" style="4" customWidth="1"/>
    <col min="6191" max="6191" width="29.140625" style="4" customWidth="1"/>
    <col min="6192" max="6400" width="11.5703125" style="4"/>
    <col min="6401" max="6401" width="16.85546875" style="4" customWidth="1"/>
    <col min="6402" max="6402" width="15.140625" style="4" customWidth="1"/>
    <col min="6403" max="6403" width="21.5703125" style="4" customWidth="1"/>
    <col min="6404" max="6404" width="16" style="4" customWidth="1"/>
    <col min="6405" max="6405" width="45" style="4" customWidth="1"/>
    <col min="6406" max="6406" width="11.42578125" style="4" customWidth="1"/>
    <col min="6407" max="6408" width="15" style="4" customWidth="1"/>
    <col min="6409" max="6423" width="11.42578125" style="4" customWidth="1"/>
    <col min="6424" max="6424" width="13" style="4" customWidth="1"/>
    <col min="6425" max="6425" width="26.28515625" style="4" customWidth="1"/>
    <col min="6426" max="6426" width="49" style="4" customWidth="1"/>
    <col min="6427" max="6427" width="24.28515625" style="4" customWidth="1"/>
    <col min="6428" max="6428" width="22.28515625" style="4" customWidth="1"/>
    <col min="6429" max="6429" width="14.85546875" style="4" customWidth="1"/>
    <col min="6430" max="6430" width="26.5703125" style="4" customWidth="1"/>
    <col min="6431" max="6431" width="64.28515625" style="4" customWidth="1"/>
    <col min="6432" max="6432" width="13" style="4" customWidth="1"/>
    <col min="6433" max="6433" width="11.5703125" style="4"/>
    <col min="6434" max="6434" width="65.140625" style="4" customWidth="1"/>
    <col min="6435" max="6435" width="17.5703125" style="4" customWidth="1"/>
    <col min="6436" max="6436" width="13.5703125" style="4" customWidth="1"/>
    <col min="6437" max="6437" width="11.5703125" style="4"/>
    <col min="6438" max="6438" width="53.42578125" style="4" customWidth="1"/>
    <col min="6439" max="6439" width="16.7109375" style="4" customWidth="1"/>
    <col min="6440" max="6440" width="14.28515625" style="4" customWidth="1"/>
    <col min="6441" max="6441" width="11.5703125" style="4"/>
    <col min="6442" max="6442" width="82.85546875" style="4" customWidth="1"/>
    <col min="6443" max="6443" width="24.85546875" style="4" customWidth="1"/>
    <col min="6444" max="6444" width="13" style="4" customWidth="1"/>
    <col min="6445" max="6445" width="11.5703125" style="4"/>
    <col min="6446" max="6446" width="55.42578125" style="4" customWidth="1"/>
    <col min="6447" max="6447" width="29.140625" style="4" customWidth="1"/>
    <col min="6448" max="6656" width="11.5703125" style="4"/>
    <col min="6657" max="6657" width="16.85546875" style="4" customWidth="1"/>
    <col min="6658" max="6658" width="15.140625" style="4" customWidth="1"/>
    <col min="6659" max="6659" width="21.5703125" style="4" customWidth="1"/>
    <col min="6660" max="6660" width="16" style="4" customWidth="1"/>
    <col min="6661" max="6661" width="45" style="4" customWidth="1"/>
    <col min="6662" max="6662" width="11.42578125" style="4" customWidth="1"/>
    <col min="6663" max="6664" width="15" style="4" customWidth="1"/>
    <col min="6665" max="6679" width="11.42578125" style="4" customWidth="1"/>
    <col min="6680" max="6680" width="13" style="4" customWidth="1"/>
    <col min="6681" max="6681" width="26.28515625" style="4" customWidth="1"/>
    <col min="6682" max="6682" width="49" style="4" customWidth="1"/>
    <col min="6683" max="6683" width="24.28515625" style="4" customWidth="1"/>
    <col min="6684" max="6684" width="22.28515625" style="4" customWidth="1"/>
    <col min="6685" max="6685" width="14.85546875" style="4" customWidth="1"/>
    <col min="6686" max="6686" width="26.5703125" style="4" customWidth="1"/>
    <col min="6687" max="6687" width="64.28515625" style="4" customWidth="1"/>
    <col min="6688" max="6688" width="13" style="4" customWidth="1"/>
    <col min="6689" max="6689" width="11.5703125" style="4"/>
    <col min="6690" max="6690" width="65.140625" style="4" customWidth="1"/>
    <col min="6691" max="6691" width="17.5703125" style="4" customWidth="1"/>
    <col min="6692" max="6692" width="13.5703125" style="4" customWidth="1"/>
    <col min="6693" max="6693" width="11.5703125" style="4"/>
    <col min="6694" max="6694" width="53.42578125" style="4" customWidth="1"/>
    <col min="6695" max="6695" width="16.7109375" style="4" customWidth="1"/>
    <col min="6696" max="6696" width="14.28515625" style="4" customWidth="1"/>
    <col min="6697" max="6697" width="11.5703125" style="4"/>
    <col min="6698" max="6698" width="82.85546875" style="4" customWidth="1"/>
    <col min="6699" max="6699" width="24.85546875" style="4" customWidth="1"/>
    <col min="6700" max="6700" width="13" style="4" customWidth="1"/>
    <col min="6701" max="6701" width="11.5703125" style="4"/>
    <col min="6702" max="6702" width="55.42578125" style="4" customWidth="1"/>
    <col min="6703" max="6703" width="29.140625" style="4" customWidth="1"/>
    <col min="6704" max="6912" width="11.5703125" style="4"/>
    <col min="6913" max="6913" width="16.85546875" style="4" customWidth="1"/>
    <col min="6914" max="6914" width="15.140625" style="4" customWidth="1"/>
    <col min="6915" max="6915" width="21.5703125" style="4" customWidth="1"/>
    <col min="6916" max="6916" width="16" style="4" customWidth="1"/>
    <col min="6917" max="6917" width="45" style="4" customWidth="1"/>
    <col min="6918" max="6918" width="11.42578125" style="4" customWidth="1"/>
    <col min="6919" max="6920" width="15" style="4" customWidth="1"/>
    <col min="6921" max="6935" width="11.42578125" style="4" customWidth="1"/>
    <col min="6936" max="6936" width="13" style="4" customWidth="1"/>
    <col min="6937" max="6937" width="26.28515625" style="4" customWidth="1"/>
    <col min="6938" max="6938" width="49" style="4" customWidth="1"/>
    <col min="6939" max="6939" width="24.28515625" style="4" customWidth="1"/>
    <col min="6940" max="6940" width="22.28515625" style="4" customWidth="1"/>
    <col min="6941" max="6941" width="14.85546875" style="4" customWidth="1"/>
    <col min="6942" max="6942" width="26.5703125" style="4" customWidth="1"/>
    <col min="6943" max="6943" width="64.28515625" style="4" customWidth="1"/>
    <col min="6944" max="6944" width="13" style="4" customWidth="1"/>
    <col min="6945" max="6945" width="11.5703125" style="4"/>
    <col min="6946" max="6946" width="65.140625" style="4" customWidth="1"/>
    <col min="6947" max="6947" width="17.5703125" style="4" customWidth="1"/>
    <col min="6948" max="6948" width="13.5703125" style="4" customWidth="1"/>
    <col min="6949" max="6949" width="11.5703125" style="4"/>
    <col min="6950" max="6950" width="53.42578125" style="4" customWidth="1"/>
    <col min="6951" max="6951" width="16.7109375" style="4" customWidth="1"/>
    <col min="6952" max="6952" width="14.28515625" style="4" customWidth="1"/>
    <col min="6953" max="6953" width="11.5703125" style="4"/>
    <col min="6954" max="6954" width="82.85546875" style="4" customWidth="1"/>
    <col min="6955" max="6955" width="24.85546875" style="4" customWidth="1"/>
    <col min="6956" max="6956" width="13" style="4" customWidth="1"/>
    <col min="6957" max="6957" width="11.5703125" style="4"/>
    <col min="6958" max="6958" width="55.42578125" style="4" customWidth="1"/>
    <col min="6959" max="6959" width="29.140625" style="4" customWidth="1"/>
    <col min="6960" max="7168" width="11.5703125" style="4"/>
    <col min="7169" max="7169" width="16.85546875" style="4" customWidth="1"/>
    <col min="7170" max="7170" width="15.140625" style="4" customWidth="1"/>
    <col min="7171" max="7171" width="21.5703125" style="4" customWidth="1"/>
    <col min="7172" max="7172" width="16" style="4" customWidth="1"/>
    <col min="7173" max="7173" width="45" style="4" customWidth="1"/>
    <col min="7174" max="7174" width="11.42578125" style="4" customWidth="1"/>
    <col min="7175" max="7176" width="15" style="4" customWidth="1"/>
    <col min="7177" max="7191" width="11.42578125" style="4" customWidth="1"/>
    <col min="7192" max="7192" width="13" style="4" customWidth="1"/>
    <col min="7193" max="7193" width="26.28515625" style="4" customWidth="1"/>
    <col min="7194" max="7194" width="49" style="4" customWidth="1"/>
    <col min="7195" max="7195" width="24.28515625" style="4" customWidth="1"/>
    <col min="7196" max="7196" width="22.28515625" style="4" customWidth="1"/>
    <col min="7197" max="7197" width="14.85546875" style="4" customWidth="1"/>
    <col min="7198" max="7198" width="26.5703125" style="4" customWidth="1"/>
    <col min="7199" max="7199" width="64.28515625" style="4" customWidth="1"/>
    <col min="7200" max="7200" width="13" style="4" customWidth="1"/>
    <col min="7201" max="7201" width="11.5703125" style="4"/>
    <col min="7202" max="7202" width="65.140625" style="4" customWidth="1"/>
    <col min="7203" max="7203" width="17.5703125" style="4" customWidth="1"/>
    <col min="7204" max="7204" width="13.5703125" style="4" customWidth="1"/>
    <col min="7205" max="7205" width="11.5703125" style="4"/>
    <col min="7206" max="7206" width="53.42578125" style="4" customWidth="1"/>
    <col min="7207" max="7207" width="16.7109375" style="4" customWidth="1"/>
    <col min="7208" max="7208" width="14.28515625" style="4" customWidth="1"/>
    <col min="7209" max="7209" width="11.5703125" style="4"/>
    <col min="7210" max="7210" width="82.85546875" style="4" customWidth="1"/>
    <col min="7211" max="7211" width="24.85546875" style="4" customWidth="1"/>
    <col min="7212" max="7212" width="13" style="4" customWidth="1"/>
    <col min="7213" max="7213" width="11.5703125" style="4"/>
    <col min="7214" max="7214" width="55.42578125" style="4" customWidth="1"/>
    <col min="7215" max="7215" width="29.140625" style="4" customWidth="1"/>
    <col min="7216" max="7424" width="11.5703125" style="4"/>
    <col min="7425" max="7425" width="16.85546875" style="4" customWidth="1"/>
    <col min="7426" max="7426" width="15.140625" style="4" customWidth="1"/>
    <col min="7427" max="7427" width="21.5703125" style="4" customWidth="1"/>
    <col min="7428" max="7428" width="16" style="4" customWidth="1"/>
    <col min="7429" max="7429" width="45" style="4" customWidth="1"/>
    <col min="7430" max="7430" width="11.42578125" style="4" customWidth="1"/>
    <col min="7431" max="7432" width="15" style="4" customWidth="1"/>
    <col min="7433" max="7447" width="11.42578125" style="4" customWidth="1"/>
    <col min="7448" max="7448" width="13" style="4" customWidth="1"/>
    <col min="7449" max="7449" width="26.28515625" style="4" customWidth="1"/>
    <col min="7450" max="7450" width="49" style="4" customWidth="1"/>
    <col min="7451" max="7451" width="24.28515625" style="4" customWidth="1"/>
    <col min="7452" max="7452" width="22.28515625" style="4" customWidth="1"/>
    <col min="7453" max="7453" width="14.85546875" style="4" customWidth="1"/>
    <col min="7454" max="7454" width="26.5703125" style="4" customWidth="1"/>
    <col min="7455" max="7455" width="64.28515625" style="4" customWidth="1"/>
    <col min="7456" max="7456" width="13" style="4" customWidth="1"/>
    <col min="7457" max="7457" width="11.5703125" style="4"/>
    <col min="7458" max="7458" width="65.140625" style="4" customWidth="1"/>
    <col min="7459" max="7459" width="17.5703125" style="4" customWidth="1"/>
    <col min="7460" max="7460" width="13.5703125" style="4" customWidth="1"/>
    <col min="7461" max="7461" width="11.5703125" style="4"/>
    <col min="7462" max="7462" width="53.42578125" style="4" customWidth="1"/>
    <col min="7463" max="7463" width="16.7109375" style="4" customWidth="1"/>
    <col min="7464" max="7464" width="14.28515625" style="4" customWidth="1"/>
    <col min="7465" max="7465" width="11.5703125" style="4"/>
    <col min="7466" max="7466" width="82.85546875" style="4" customWidth="1"/>
    <col min="7467" max="7467" width="24.85546875" style="4" customWidth="1"/>
    <col min="7468" max="7468" width="13" style="4" customWidth="1"/>
    <col min="7469" max="7469" width="11.5703125" style="4"/>
    <col min="7470" max="7470" width="55.42578125" style="4" customWidth="1"/>
    <col min="7471" max="7471" width="29.140625" style="4" customWidth="1"/>
    <col min="7472" max="7680" width="11.5703125" style="4"/>
    <col min="7681" max="7681" width="16.85546875" style="4" customWidth="1"/>
    <col min="7682" max="7682" width="15.140625" style="4" customWidth="1"/>
    <col min="7683" max="7683" width="21.5703125" style="4" customWidth="1"/>
    <col min="7684" max="7684" width="16" style="4" customWidth="1"/>
    <col min="7685" max="7685" width="45" style="4" customWidth="1"/>
    <col min="7686" max="7686" width="11.42578125" style="4" customWidth="1"/>
    <col min="7687" max="7688" width="15" style="4" customWidth="1"/>
    <col min="7689" max="7703" width="11.42578125" style="4" customWidth="1"/>
    <col min="7704" max="7704" width="13" style="4" customWidth="1"/>
    <col min="7705" max="7705" width="26.28515625" style="4" customWidth="1"/>
    <col min="7706" max="7706" width="49" style="4" customWidth="1"/>
    <col min="7707" max="7707" width="24.28515625" style="4" customWidth="1"/>
    <col min="7708" max="7708" width="22.28515625" style="4" customWidth="1"/>
    <col min="7709" max="7709" width="14.85546875" style="4" customWidth="1"/>
    <col min="7710" max="7710" width="26.5703125" style="4" customWidth="1"/>
    <col min="7711" max="7711" width="64.28515625" style="4" customWidth="1"/>
    <col min="7712" max="7712" width="13" style="4" customWidth="1"/>
    <col min="7713" max="7713" width="11.5703125" style="4"/>
    <col min="7714" max="7714" width="65.140625" style="4" customWidth="1"/>
    <col min="7715" max="7715" width="17.5703125" style="4" customWidth="1"/>
    <col min="7716" max="7716" width="13.5703125" style="4" customWidth="1"/>
    <col min="7717" max="7717" width="11.5703125" style="4"/>
    <col min="7718" max="7718" width="53.42578125" style="4" customWidth="1"/>
    <col min="7719" max="7719" width="16.7109375" style="4" customWidth="1"/>
    <col min="7720" max="7720" width="14.28515625" style="4" customWidth="1"/>
    <col min="7721" max="7721" width="11.5703125" style="4"/>
    <col min="7722" max="7722" width="82.85546875" style="4" customWidth="1"/>
    <col min="7723" max="7723" width="24.85546875" style="4" customWidth="1"/>
    <col min="7724" max="7724" width="13" style="4" customWidth="1"/>
    <col min="7725" max="7725" width="11.5703125" style="4"/>
    <col min="7726" max="7726" width="55.42578125" style="4" customWidth="1"/>
    <col min="7727" max="7727" width="29.140625" style="4" customWidth="1"/>
    <col min="7728" max="7936" width="11.5703125" style="4"/>
    <col min="7937" max="7937" width="16.85546875" style="4" customWidth="1"/>
    <col min="7938" max="7938" width="15.140625" style="4" customWidth="1"/>
    <col min="7939" max="7939" width="21.5703125" style="4" customWidth="1"/>
    <col min="7940" max="7940" width="16" style="4" customWidth="1"/>
    <col min="7941" max="7941" width="45" style="4" customWidth="1"/>
    <col min="7942" max="7942" width="11.42578125" style="4" customWidth="1"/>
    <col min="7943" max="7944" width="15" style="4" customWidth="1"/>
    <col min="7945" max="7959" width="11.42578125" style="4" customWidth="1"/>
    <col min="7960" max="7960" width="13" style="4" customWidth="1"/>
    <col min="7961" max="7961" width="26.28515625" style="4" customWidth="1"/>
    <col min="7962" max="7962" width="49" style="4" customWidth="1"/>
    <col min="7963" max="7963" width="24.28515625" style="4" customWidth="1"/>
    <col min="7964" max="7964" width="22.28515625" style="4" customWidth="1"/>
    <col min="7965" max="7965" width="14.85546875" style="4" customWidth="1"/>
    <col min="7966" max="7966" width="26.5703125" style="4" customWidth="1"/>
    <col min="7967" max="7967" width="64.28515625" style="4" customWidth="1"/>
    <col min="7968" max="7968" width="13" style="4" customWidth="1"/>
    <col min="7969" max="7969" width="11.5703125" style="4"/>
    <col min="7970" max="7970" width="65.140625" style="4" customWidth="1"/>
    <col min="7971" max="7971" width="17.5703125" style="4" customWidth="1"/>
    <col min="7972" max="7972" width="13.5703125" style="4" customWidth="1"/>
    <col min="7973" max="7973" width="11.5703125" style="4"/>
    <col min="7974" max="7974" width="53.42578125" style="4" customWidth="1"/>
    <col min="7975" max="7975" width="16.7109375" style="4" customWidth="1"/>
    <col min="7976" max="7976" width="14.28515625" style="4" customWidth="1"/>
    <col min="7977" max="7977" width="11.5703125" style="4"/>
    <col min="7978" max="7978" width="82.85546875" style="4" customWidth="1"/>
    <col min="7979" max="7979" width="24.85546875" style="4" customWidth="1"/>
    <col min="7980" max="7980" width="13" style="4" customWidth="1"/>
    <col min="7981" max="7981" width="11.5703125" style="4"/>
    <col min="7982" max="7982" width="55.42578125" style="4" customWidth="1"/>
    <col min="7983" max="7983" width="29.140625" style="4" customWidth="1"/>
    <col min="7984" max="8192" width="11.5703125" style="4"/>
    <col min="8193" max="8193" width="16.85546875" style="4" customWidth="1"/>
    <col min="8194" max="8194" width="15.140625" style="4" customWidth="1"/>
    <col min="8195" max="8195" width="21.5703125" style="4" customWidth="1"/>
    <col min="8196" max="8196" width="16" style="4" customWidth="1"/>
    <col min="8197" max="8197" width="45" style="4" customWidth="1"/>
    <col min="8198" max="8198" width="11.42578125" style="4" customWidth="1"/>
    <col min="8199" max="8200" width="15" style="4" customWidth="1"/>
    <col min="8201" max="8215" width="11.42578125" style="4" customWidth="1"/>
    <col min="8216" max="8216" width="13" style="4" customWidth="1"/>
    <col min="8217" max="8217" width="26.28515625" style="4" customWidth="1"/>
    <col min="8218" max="8218" width="49" style="4" customWidth="1"/>
    <col min="8219" max="8219" width="24.28515625" style="4" customWidth="1"/>
    <col min="8220" max="8220" width="22.28515625" style="4" customWidth="1"/>
    <col min="8221" max="8221" width="14.85546875" style="4" customWidth="1"/>
    <col min="8222" max="8222" width="26.5703125" style="4" customWidth="1"/>
    <col min="8223" max="8223" width="64.28515625" style="4" customWidth="1"/>
    <col min="8224" max="8224" width="13" style="4" customWidth="1"/>
    <col min="8225" max="8225" width="11.5703125" style="4"/>
    <col min="8226" max="8226" width="65.140625" style="4" customWidth="1"/>
    <col min="8227" max="8227" width="17.5703125" style="4" customWidth="1"/>
    <col min="8228" max="8228" width="13.5703125" style="4" customWidth="1"/>
    <col min="8229" max="8229" width="11.5703125" style="4"/>
    <col min="8230" max="8230" width="53.42578125" style="4" customWidth="1"/>
    <col min="8231" max="8231" width="16.7109375" style="4" customWidth="1"/>
    <col min="8232" max="8232" width="14.28515625" style="4" customWidth="1"/>
    <col min="8233" max="8233" width="11.5703125" style="4"/>
    <col min="8234" max="8234" width="82.85546875" style="4" customWidth="1"/>
    <col min="8235" max="8235" width="24.85546875" style="4" customWidth="1"/>
    <col min="8236" max="8236" width="13" style="4" customWidth="1"/>
    <col min="8237" max="8237" width="11.5703125" style="4"/>
    <col min="8238" max="8238" width="55.42578125" style="4" customWidth="1"/>
    <col min="8239" max="8239" width="29.140625" style="4" customWidth="1"/>
    <col min="8240" max="8448" width="11.5703125" style="4"/>
    <col min="8449" max="8449" width="16.85546875" style="4" customWidth="1"/>
    <col min="8450" max="8450" width="15.140625" style="4" customWidth="1"/>
    <col min="8451" max="8451" width="21.5703125" style="4" customWidth="1"/>
    <col min="8452" max="8452" width="16" style="4" customWidth="1"/>
    <col min="8453" max="8453" width="45" style="4" customWidth="1"/>
    <col min="8454" max="8454" width="11.42578125" style="4" customWidth="1"/>
    <col min="8455" max="8456" width="15" style="4" customWidth="1"/>
    <col min="8457" max="8471" width="11.42578125" style="4" customWidth="1"/>
    <col min="8472" max="8472" width="13" style="4" customWidth="1"/>
    <col min="8473" max="8473" width="26.28515625" style="4" customWidth="1"/>
    <col min="8474" max="8474" width="49" style="4" customWidth="1"/>
    <col min="8475" max="8475" width="24.28515625" style="4" customWidth="1"/>
    <col min="8476" max="8476" width="22.28515625" style="4" customWidth="1"/>
    <col min="8477" max="8477" width="14.85546875" style="4" customWidth="1"/>
    <col min="8478" max="8478" width="26.5703125" style="4" customWidth="1"/>
    <col min="8479" max="8479" width="64.28515625" style="4" customWidth="1"/>
    <col min="8480" max="8480" width="13" style="4" customWidth="1"/>
    <col min="8481" max="8481" width="11.5703125" style="4"/>
    <col min="8482" max="8482" width="65.140625" style="4" customWidth="1"/>
    <col min="8483" max="8483" width="17.5703125" style="4" customWidth="1"/>
    <col min="8484" max="8484" width="13.5703125" style="4" customWidth="1"/>
    <col min="8485" max="8485" width="11.5703125" style="4"/>
    <col min="8486" max="8486" width="53.42578125" style="4" customWidth="1"/>
    <col min="8487" max="8487" width="16.7109375" style="4" customWidth="1"/>
    <col min="8488" max="8488" width="14.28515625" style="4" customWidth="1"/>
    <col min="8489" max="8489" width="11.5703125" style="4"/>
    <col min="8490" max="8490" width="82.85546875" style="4" customWidth="1"/>
    <col min="8491" max="8491" width="24.85546875" style="4" customWidth="1"/>
    <col min="8492" max="8492" width="13" style="4" customWidth="1"/>
    <col min="8493" max="8493" width="11.5703125" style="4"/>
    <col min="8494" max="8494" width="55.42578125" style="4" customWidth="1"/>
    <col min="8495" max="8495" width="29.140625" style="4" customWidth="1"/>
    <col min="8496" max="8704" width="11.5703125" style="4"/>
    <col min="8705" max="8705" width="16.85546875" style="4" customWidth="1"/>
    <col min="8706" max="8706" width="15.140625" style="4" customWidth="1"/>
    <col min="8707" max="8707" width="21.5703125" style="4" customWidth="1"/>
    <col min="8708" max="8708" width="16" style="4" customWidth="1"/>
    <col min="8709" max="8709" width="45" style="4" customWidth="1"/>
    <col min="8710" max="8710" width="11.42578125" style="4" customWidth="1"/>
    <col min="8711" max="8712" width="15" style="4" customWidth="1"/>
    <col min="8713" max="8727" width="11.42578125" style="4" customWidth="1"/>
    <col min="8728" max="8728" width="13" style="4" customWidth="1"/>
    <col min="8729" max="8729" width="26.28515625" style="4" customWidth="1"/>
    <col min="8730" max="8730" width="49" style="4" customWidth="1"/>
    <col min="8731" max="8731" width="24.28515625" style="4" customWidth="1"/>
    <col min="8732" max="8732" width="22.28515625" style="4" customWidth="1"/>
    <col min="8733" max="8733" width="14.85546875" style="4" customWidth="1"/>
    <col min="8734" max="8734" width="26.5703125" style="4" customWidth="1"/>
    <col min="8735" max="8735" width="64.28515625" style="4" customWidth="1"/>
    <col min="8736" max="8736" width="13" style="4" customWidth="1"/>
    <col min="8737" max="8737" width="11.5703125" style="4"/>
    <col min="8738" max="8738" width="65.140625" style="4" customWidth="1"/>
    <col min="8739" max="8739" width="17.5703125" style="4" customWidth="1"/>
    <col min="8740" max="8740" width="13.5703125" style="4" customWidth="1"/>
    <col min="8741" max="8741" width="11.5703125" style="4"/>
    <col min="8742" max="8742" width="53.42578125" style="4" customWidth="1"/>
    <col min="8743" max="8743" width="16.7109375" style="4" customWidth="1"/>
    <col min="8744" max="8744" width="14.28515625" style="4" customWidth="1"/>
    <col min="8745" max="8745" width="11.5703125" style="4"/>
    <col min="8746" max="8746" width="82.85546875" style="4" customWidth="1"/>
    <col min="8747" max="8747" width="24.85546875" style="4" customWidth="1"/>
    <col min="8748" max="8748" width="13" style="4" customWidth="1"/>
    <col min="8749" max="8749" width="11.5703125" style="4"/>
    <col min="8750" max="8750" width="55.42578125" style="4" customWidth="1"/>
    <col min="8751" max="8751" width="29.140625" style="4" customWidth="1"/>
    <col min="8752" max="8960" width="11.5703125" style="4"/>
    <col min="8961" max="8961" width="16.85546875" style="4" customWidth="1"/>
    <col min="8962" max="8962" width="15.140625" style="4" customWidth="1"/>
    <col min="8963" max="8963" width="21.5703125" style="4" customWidth="1"/>
    <col min="8964" max="8964" width="16" style="4" customWidth="1"/>
    <col min="8965" max="8965" width="45" style="4" customWidth="1"/>
    <col min="8966" max="8966" width="11.42578125" style="4" customWidth="1"/>
    <col min="8967" max="8968" width="15" style="4" customWidth="1"/>
    <col min="8969" max="8983" width="11.42578125" style="4" customWidth="1"/>
    <col min="8984" max="8984" width="13" style="4" customWidth="1"/>
    <col min="8985" max="8985" width="26.28515625" style="4" customWidth="1"/>
    <col min="8986" max="8986" width="49" style="4" customWidth="1"/>
    <col min="8987" max="8987" width="24.28515625" style="4" customWidth="1"/>
    <col min="8988" max="8988" width="22.28515625" style="4" customWidth="1"/>
    <col min="8989" max="8989" width="14.85546875" style="4" customWidth="1"/>
    <col min="8990" max="8990" width="26.5703125" style="4" customWidth="1"/>
    <col min="8991" max="8991" width="64.28515625" style="4" customWidth="1"/>
    <col min="8992" max="8992" width="13" style="4" customWidth="1"/>
    <col min="8993" max="8993" width="11.5703125" style="4"/>
    <col min="8994" max="8994" width="65.140625" style="4" customWidth="1"/>
    <col min="8995" max="8995" width="17.5703125" style="4" customWidth="1"/>
    <col min="8996" max="8996" width="13.5703125" style="4" customWidth="1"/>
    <col min="8997" max="8997" width="11.5703125" style="4"/>
    <col min="8998" max="8998" width="53.42578125" style="4" customWidth="1"/>
    <col min="8999" max="8999" width="16.7109375" style="4" customWidth="1"/>
    <col min="9000" max="9000" width="14.28515625" style="4" customWidth="1"/>
    <col min="9001" max="9001" width="11.5703125" style="4"/>
    <col min="9002" max="9002" width="82.85546875" style="4" customWidth="1"/>
    <col min="9003" max="9003" width="24.85546875" style="4" customWidth="1"/>
    <col min="9004" max="9004" width="13" style="4" customWidth="1"/>
    <col min="9005" max="9005" width="11.5703125" style="4"/>
    <col min="9006" max="9006" width="55.42578125" style="4" customWidth="1"/>
    <col min="9007" max="9007" width="29.140625" style="4" customWidth="1"/>
    <col min="9008" max="9216" width="11.5703125" style="4"/>
    <col min="9217" max="9217" width="16.85546875" style="4" customWidth="1"/>
    <col min="9218" max="9218" width="15.140625" style="4" customWidth="1"/>
    <col min="9219" max="9219" width="21.5703125" style="4" customWidth="1"/>
    <col min="9220" max="9220" width="16" style="4" customWidth="1"/>
    <col min="9221" max="9221" width="45" style="4" customWidth="1"/>
    <col min="9222" max="9222" width="11.42578125" style="4" customWidth="1"/>
    <col min="9223" max="9224" width="15" style="4" customWidth="1"/>
    <col min="9225" max="9239" width="11.42578125" style="4" customWidth="1"/>
    <col min="9240" max="9240" width="13" style="4" customWidth="1"/>
    <col min="9241" max="9241" width="26.28515625" style="4" customWidth="1"/>
    <col min="9242" max="9242" width="49" style="4" customWidth="1"/>
    <col min="9243" max="9243" width="24.28515625" style="4" customWidth="1"/>
    <col min="9244" max="9244" width="22.28515625" style="4" customWidth="1"/>
    <col min="9245" max="9245" width="14.85546875" style="4" customWidth="1"/>
    <col min="9246" max="9246" width="26.5703125" style="4" customWidth="1"/>
    <col min="9247" max="9247" width="64.28515625" style="4" customWidth="1"/>
    <col min="9248" max="9248" width="13" style="4" customWidth="1"/>
    <col min="9249" max="9249" width="11.5703125" style="4"/>
    <col min="9250" max="9250" width="65.140625" style="4" customWidth="1"/>
    <col min="9251" max="9251" width="17.5703125" style="4" customWidth="1"/>
    <col min="9252" max="9252" width="13.5703125" style="4" customWidth="1"/>
    <col min="9253" max="9253" width="11.5703125" style="4"/>
    <col min="9254" max="9254" width="53.42578125" style="4" customWidth="1"/>
    <col min="9255" max="9255" width="16.7109375" style="4" customWidth="1"/>
    <col min="9256" max="9256" width="14.28515625" style="4" customWidth="1"/>
    <col min="9257" max="9257" width="11.5703125" style="4"/>
    <col min="9258" max="9258" width="82.85546875" style="4" customWidth="1"/>
    <col min="9259" max="9259" width="24.85546875" style="4" customWidth="1"/>
    <col min="9260" max="9260" width="13" style="4" customWidth="1"/>
    <col min="9261" max="9261" width="11.5703125" style="4"/>
    <col min="9262" max="9262" width="55.42578125" style="4" customWidth="1"/>
    <col min="9263" max="9263" width="29.140625" style="4" customWidth="1"/>
    <col min="9264" max="9472" width="11.5703125" style="4"/>
    <col min="9473" max="9473" width="16.85546875" style="4" customWidth="1"/>
    <col min="9474" max="9474" width="15.140625" style="4" customWidth="1"/>
    <col min="9475" max="9475" width="21.5703125" style="4" customWidth="1"/>
    <col min="9476" max="9476" width="16" style="4" customWidth="1"/>
    <col min="9477" max="9477" width="45" style="4" customWidth="1"/>
    <col min="9478" max="9478" width="11.42578125" style="4" customWidth="1"/>
    <col min="9479" max="9480" width="15" style="4" customWidth="1"/>
    <col min="9481" max="9495" width="11.42578125" style="4" customWidth="1"/>
    <col min="9496" max="9496" width="13" style="4" customWidth="1"/>
    <col min="9497" max="9497" width="26.28515625" style="4" customWidth="1"/>
    <col min="9498" max="9498" width="49" style="4" customWidth="1"/>
    <col min="9499" max="9499" width="24.28515625" style="4" customWidth="1"/>
    <col min="9500" max="9500" width="22.28515625" style="4" customWidth="1"/>
    <col min="9501" max="9501" width="14.85546875" style="4" customWidth="1"/>
    <col min="9502" max="9502" width="26.5703125" style="4" customWidth="1"/>
    <col min="9503" max="9503" width="64.28515625" style="4" customWidth="1"/>
    <col min="9504" max="9504" width="13" style="4" customWidth="1"/>
    <col min="9505" max="9505" width="11.5703125" style="4"/>
    <col min="9506" max="9506" width="65.140625" style="4" customWidth="1"/>
    <col min="9507" max="9507" width="17.5703125" style="4" customWidth="1"/>
    <col min="9508" max="9508" width="13.5703125" style="4" customWidth="1"/>
    <col min="9509" max="9509" width="11.5703125" style="4"/>
    <col min="9510" max="9510" width="53.42578125" style="4" customWidth="1"/>
    <col min="9511" max="9511" width="16.7109375" style="4" customWidth="1"/>
    <col min="9512" max="9512" width="14.28515625" style="4" customWidth="1"/>
    <col min="9513" max="9513" width="11.5703125" style="4"/>
    <col min="9514" max="9514" width="82.85546875" style="4" customWidth="1"/>
    <col min="9515" max="9515" width="24.85546875" style="4" customWidth="1"/>
    <col min="9516" max="9516" width="13" style="4" customWidth="1"/>
    <col min="9517" max="9517" width="11.5703125" style="4"/>
    <col min="9518" max="9518" width="55.42578125" style="4" customWidth="1"/>
    <col min="9519" max="9519" width="29.140625" style="4" customWidth="1"/>
    <col min="9520" max="9728" width="11.5703125" style="4"/>
    <col min="9729" max="9729" width="16.85546875" style="4" customWidth="1"/>
    <col min="9730" max="9730" width="15.140625" style="4" customWidth="1"/>
    <col min="9731" max="9731" width="21.5703125" style="4" customWidth="1"/>
    <col min="9732" max="9732" width="16" style="4" customWidth="1"/>
    <col min="9733" max="9733" width="45" style="4" customWidth="1"/>
    <col min="9734" max="9734" width="11.42578125" style="4" customWidth="1"/>
    <col min="9735" max="9736" width="15" style="4" customWidth="1"/>
    <col min="9737" max="9751" width="11.42578125" style="4" customWidth="1"/>
    <col min="9752" max="9752" width="13" style="4" customWidth="1"/>
    <col min="9753" max="9753" width="26.28515625" style="4" customWidth="1"/>
    <col min="9754" max="9754" width="49" style="4" customWidth="1"/>
    <col min="9755" max="9755" width="24.28515625" style="4" customWidth="1"/>
    <col min="9756" max="9756" width="22.28515625" style="4" customWidth="1"/>
    <col min="9757" max="9757" width="14.85546875" style="4" customWidth="1"/>
    <col min="9758" max="9758" width="26.5703125" style="4" customWidth="1"/>
    <col min="9759" max="9759" width="64.28515625" style="4" customWidth="1"/>
    <col min="9760" max="9760" width="13" style="4" customWidth="1"/>
    <col min="9761" max="9761" width="11.5703125" style="4"/>
    <col min="9762" max="9762" width="65.140625" style="4" customWidth="1"/>
    <col min="9763" max="9763" width="17.5703125" style="4" customWidth="1"/>
    <col min="9764" max="9764" width="13.5703125" style="4" customWidth="1"/>
    <col min="9765" max="9765" width="11.5703125" style="4"/>
    <col min="9766" max="9766" width="53.42578125" style="4" customWidth="1"/>
    <col min="9767" max="9767" width="16.7109375" style="4" customWidth="1"/>
    <col min="9768" max="9768" width="14.28515625" style="4" customWidth="1"/>
    <col min="9769" max="9769" width="11.5703125" style="4"/>
    <col min="9770" max="9770" width="82.85546875" style="4" customWidth="1"/>
    <col min="9771" max="9771" width="24.85546875" style="4" customWidth="1"/>
    <col min="9772" max="9772" width="13" style="4" customWidth="1"/>
    <col min="9773" max="9773" width="11.5703125" style="4"/>
    <col min="9774" max="9774" width="55.42578125" style="4" customWidth="1"/>
    <col min="9775" max="9775" width="29.140625" style="4" customWidth="1"/>
    <col min="9776" max="9984" width="11.5703125" style="4"/>
    <col min="9985" max="9985" width="16.85546875" style="4" customWidth="1"/>
    <col min="9986" max="9986" width="15.140625" style="4" customWidth="1"/>
    <col min="9987" max="9987" width="21.5703125" style="4" customWidth="1"/>
    <col min="9988" max="9988" width="16" style="4" customWidth="1"/>
    <col min="9989" max="9989" width="45" style="4" customWidth="1"/>
    <col min="9990" max="9990" width="11.42578125" style="4" customWidth="1"/>
    <col min="9991" max="9992" width="15" style="4" customWidth="1"/>
    <col min="9993" max="10007" width="11.42578125" style="4" customWidth="1"/>
    <col min="10008" max="10008" width="13" style="4" customWidth="1"/>
    <col min="10009" max="10009" width="26.28515625" style="4" customWidth="1"/>
    <col min="10010" max="10010" width="49" style="4" customWidth="1"/>
    <col min="10011" max="10011" width="24.28515625" style="4" customWidth="1"/>
    <col min="10012" max="10012" width="22.28515625" style="4" customWidth="1"/>
    <col min="10013" max="10013" width="14.85546875" style="4" customWidth="1"/>
    <col min="10014" max="10014" width="26.5703125" style="4" customWidth="1"/>
    <col min="10015" max="10015" width="64.28515625" style="4" customWidth="1"/>
    <col min="10016" max="10016" width="13" style="4" customWidth="1"/>
    <col min="10017" max="10017" width="11.5703125" style="4"/>
    <col min="10018" max="10018" width="65.140625" style="4" customWidth="1"/>
    <col min="10019" max="10019" width="17.5703125" style="4" customWidth="1"/>
    <col min="10020" max="10020" width="13.5703125" style="4" customWidth="1"/>
    <col min="10021" max="10021" width="11.5703125" style="4"/>
    <col min="10022" max="10022" width="53.42578125" style="4" customWidth="1"/>
    <col min="10023" max="10023" width="16.7109375" style="4" customWidth="1"/>
    <col min="10024" max="10024" width="14.28515625" style="4" customWidth="1"/>
    <col min="10025" max="10025" width="11.5703125" style="4"/>
    <col min="10026" max="10026" width="82.85546875" style="4" customWidth="1"/>
    <col min="10027" max="10027" width="24.85546875" style="4" customWidth="1"/>
    <col min="10028" max="10028" width="13" style="4" customWidth="1"/>
    <col min="10029" max="10029" width="11.5703125" style="4"/>
    <col min="10030" max="10030" width="55.42578125" style="4" customWidth="1"/>
    <col min="10031" max="10031" width="29.140625" style="4" customWidth="1"/>
    <col min="10032" max="10240" width="11.5703125" style="4"/>
    <col min="10241" max="10241" width="16.85546875" style="4" customWidth="1"/>
    <col min="10242" max="10242" width="15.140625" style="4" customWidth="1"/>
    <col min="10243" max="10243" width="21.5703125" style="4" customWidth="1"/>
    <col min="10244" max="10244" width="16" style="4" customWidth="1"/>
    <col min="10245" max="10245" width="45" style="4" customWidth="1"/>
    <col min="10246" max="10246" width="11.42578125" style="4" customWidth="1"/>
    <col min="10247" max="10248" width="15" style="4" customWidth="1"/>
    <col min="10249" max="10263" width="11.42578125" style="4" customWidth="1"/>
    <col min="10264" max="10264" width="13" style="4" customWidth="1"/>
    <col min="10265" max="10265" width="26.28515625" style="4" customWidth="1"/>
    <col min="10266" max="10266" width="49" style="4" customWidth="1"/>
    <col min="10267" max="10267" width="24.28515625" style="4" customWidth="1"/>
    <col min="10268" max="10268" width="22.28515625" style="4" customWidth="1"/>
    <col min="10269" max="10269" width="14.85546875" style="4" customWidth="1"/>
    <col min="10270" max="10270" width="26.5703125" style="4" customWidth="1"/>
    <col min="10271" max="10271" width="64.28515625" style="4" customWidth="1"/>
    <col min="10272" max="10272" width="13" style="4" customWidth="1"/>
    <col min="10273" max="10273" width="11.5703125" style="4"/>
    <col min="10274" max="10274" width="65.140625" style="4" customWidth="1"/>
    <col min="10275" max="10275" width="17.5703125" style="4" customWidth="1"/>
    <col min="10276" max="10276" width="13.5703125" style="4" customWidth="1"/>
    <col min="10277" max="10277" width="11.5703125" style="4"/>
    <col min="10278" max="10278" width="53.42578125" style="4" customWidth="1"/>
    <col min="10279" max="10279" width="16.7109375" style="4" customWidth="1"/>
    <col min="10280" max="10280" width="14.28515625" style="4" customWidth="1"/>
    <col min="10281" max="10281" width="11.5703125" style="4"/>
    <col min="10282" max="10282" width="82.85546875" style="4" customWidth="1"/>
    <col min="10283" max="10283" width="24.85546875" style="4" customWidth="1"/>
    <col min="10284" max="10284" width="13" style="4" customWidth="1"/>
    <col min="10285" max="10285" width="11.5703125" style="4"/>
    <col min="10286" max="10286" width="55.42578125" style="4" customWidth="1"/>
    <col min="10287" max="10287" width="29.140625" style="4" customWidth="1"/>
    <col min="10288" max="10496" width="11.5703125" style="4"/>
    <col min="10497" max="10497" width="16.85546875" style="4" customWidth="1"/>
    <col min="10498" max="10498" width="15.140625" style="4" customWidth="1"/>
    <col min="10499" max="10499" width="21.5703125" style="4" customWidth="1"/>
    <col min="10500" max="10500" width="16" style="4" customWidth="1"/>
    <col min="10501" max="10501" width="45" style="4" customWidth="1"/>
    <col min="10502" max="10502" width="11.42578125" style="4" customWidth="1"/>
    <col min="10503" max="10504" width="15" style="4" customWidth="1"/>
    <col min="10505" max="10519" width="11.42578125" style="4" customWidth="1"/>
    <col min="10520" max="10520" width="13" style="4" customWidth="1"/>
    <col min="10521" max="10521" width="26.28515625" style="4" customWidth="1"/>
    <col min="10522" max="10522" width="49" style="4" customWidth="1"/>
    <col min="10523" max="10523" width="24.28515625" style="4" customWidth="1"/>
    <col min="10524" max="10524" width="22.28515625" style="4" customWidth="1"/>
    <col min="10525" max="10525" width="14.85546875" style="4" customWidth="1"/>
    <col min="10526" max="10526" width="26.5703125" style="4" customWidth="1"/>
    <col min="10527" max="10527" width="64.28515625" style="4" customWidth="1"/>
    <col min="10528" max="10528" width="13" style="4" customWidth="1"/>
    <col min="10529" max="10529" width="11.5703125" style="4"/>
    <col min="10530" max="10530" width="65.140625" style="4" customWidth="1"/>
    <col min="10531" max="10531" width="17.5703125" style="4" customWidth="1"/>
    <col min="10532" max="10532" width="13.5703125" style="4" customWidth="1"/>
    <col min="10533" max="10533" width="11.5703125" style="4"/>
    <col min="10534" max="10534" width="53.42578125" style="4" customWidth="1"/>
    <col min="10535" max="10535" width="16.7109375" style="4" customWidth="1"/>
    <col min="10536" max="10536" width="14.28515625" style="4" customWidth="1"/>
    <col min="10537" max="10537" width="11.5703125" style="4"/>
    <col min="10538" max="10538" width="82.85546875" style="4" customWidth="1"/>
    <col min="10539" max="10539" width="24.85546875" style="4" customWidth="1"/>
    <col min="10540" max="10540" width="13" style="4" customWidth="1"/>
    <col min="10541" max="10541" width="11.5703125" style="4"/>
    <col min="10542" max="10542" width="55.42578125" style="4" customWidth="1"/>
    <col min="10543" max="10543" width="29.140625" style="4" customWidth="1"/>
    <col min="10544" max="10752" width="11.5703125" style="4"/>
    <col min="10753" max="10753" width="16.85546875" style="4" customWidth="1"/>
    <col min="10754" max="10754" width="15.140625" style="4" customWidth="1"/>
    <col min="10755" max="10755" width="21.5703125" style="4" customWidth="1"/>
    <col min="10756" max="10756" width="16" style="4" customWidth="1"/>
    <col min="10757" max="10757" width="45" style="4" customWidth="1"/>
    <col min="10758" max="10758" width="11.42578125" style="4" customWidth="1"/>
    <col min="10759" max="10760" width="15" style="4" customWidth="1"/>
    <col min="10761" max="10775" width="11.42578125" style="4" customWidth="1"/>
    <col min="10776" max="10776" width="13" style="4" customWidth="1"/>
    <col min="10777" max="10777" width="26.28515625" style="4" customWidth="1"/>
    <col min="10778" max="10778" width="49" style="4" customWidth="1"/>
    <col min="10779" max="10779" width="24.28515625" style="4" customWidth="1"/>
    <col min="10780" max="10780" width="22.28515625" style="4" customWidth="1"/>
    <col min="10781" max="10781" width="14.85546875" style="4" customWidth="1"/>
    <col min="10782" max="10782" width="26.5703125" style="4" customWidth="1"/>
    <col min="10783" max="10783" width="64.28515625" style="4" customWidth="1"/>
    <col min="10784" max="10784" width="13" style="4" customWidth="1"/>
    <col min="10785" max="10785" width="11.5703125" style="4"/>
    <col min="10786" max="10786" width="65.140625" style="4" customWidth="1"/>
    <col min="10787" max="10787" width="17.5703125" style="4" customWidth="1"/>
    <col min="10788" max="10788" width="13.5703125" style="4" customWidth="1"/>
    <col min="10789" max="10789" width="11.5703125" style="4"/>
    <col min="10790" max="10790" width="53.42578125" style="4" customWidth="1"/>
    <col min="10791" max="10791" width="16.7109375" style="4" customWidth="1"/>
    <col min="10792" max="10792" width="14.28515625" style="4" customWidth="1"/>
    <col min="10793" max="10793" width="11.5703125" style="4"/>
    <col min="10794" max="10794" width="82.85546875" style="4" customWidth="1"/>
    <col min="10795" max="10795" width="24.85546875" style="4" customWidth="1"/>
    <col min="10796" max="10796" width="13" style="4" customWidth="1"/>
    <col min="10797" max="10797" width="11.5703125" style="4"/>
    <col min="10798" max="10798" width="55.42578125" style="4" customWidth="1"/>
    <col min="10799" max="10799" width="29.140625" style="4" customWidth="1"/>
    <col min="10800" max="11008" width="11.5703125" style="4"/>
    <col min="11009" max="11009" width="16.85546875" style="4" customWidth="1"/>
    <col min="11010" max="11010" width="15.140625" style="4" customWidth="1"/>
    <col min="11011" max="11011" width="21.5703125" style="4" customWidth="1"/>
    <col min="11012" max="11012" width="16" style="4" customWidth="1"/>
    <col min="11013" max="11013" width="45" style="4" customWidth="1"/>
    <col min="11014" max="11014" width="11.42578125" style="4" customWidth="1"/>
    <col min="11015" max="11016" width="15" style="4" customWidth="1"/>
    <col min="11017" max="11031" width="11.42578125" style="4" customWidth="1"/>
    <col min="11032" max="11032" width="13" style="4" customWidth="1"/>
    <col min="11033" max="11033" width="26.28515625" style="4" customWidth="1"/>
    <col min="11034" max="11034" width="49" style="4" customWidth="1"/>
    <col min="11035" max="11035" width="24.28515625" style="4" customWidth="1"/>
    <col min="11036" max="11036" width="22.28515625" style="4" customWidth="1"/>
    <col min="11037" max="11037" width="14.85546875" style="4" customWidth="1"/>
    <col min="11038" max="11038" width="26.5703125" style="4" customWidth="1"/>
    <col min="11039" max="11039" width="64.28515625" style="4" customWidth="1"/>
    <col min="11040" max="11040" width="13" style="4" customWidth="1"/>
    <col min="11041" max="11041" width="11.5703125" style="4"/>
    <col min="11042" max="11042" width="65.140625" style="4" customWidth="1"/>
    <col min="11043" max="11043" width="17.5703125" style="4" customWidth="1"/>
    <col min="11044" max="11044" width="13.5703125" style="4" customWidth="1"/>
    <col min="11045" max="11045" width="11.5703125" style="4"/>
    <col min="11046" max="11046" width="53.42578125" style="4" customWidth="1"/>
    <col min="11047" max="11047" width="16.7109375" style="4" customWidth="1"/>
    <col min="11048" max="11048" width="14.28515625" style="4" customWidth="1"/>
    <col min="11049" max="11049" width="11.5703125" style="4"/>
    <col min="11050" max="11050" width="82.85546875" style="4" customWidth="1"/>
    <col min="11051" max="11051" width="24.85546875" style="4" customWidth="1"/>
    <col min="11052" max="11052" width="13" style="4" customWidth="1"/>
    <col min="11053" max="11053" width="11.5703125" style="4"/>
    <col min="11054" max="11054" width="55.42578125" style="4" customWidth="1"/>
    <col min="11055" max="11055" width="29.140625" style="4" customWidth="1"/>
    <col min="11056" max="11264" width="11.5703125" style="4"/>
    <col min="11265" max="11265" width="16.85546875" style="4" customWidth="1"/>
    <col min="11266" max="11266" width="15.140625" style="4" customWidth="1"/>
    <col min="11267" max="11267" width="21.5703125" style="4" customWidth="1"/>
    <col min="11268" max="11268" width="16" style="4" customWidth="1"/>
    <col min="11269" max="11269" width="45" style="4" customWidth="1"/>
    <col min="11270" max="11270" width="11.42578125" style="4" customWidth="1"/>
    <col min="11271" max="11272" width="15" style="4" customWidth="1"/>
    <col min="11273" max="11287" width="11.42578125" style="4" customWidth="1"/>
    <col min="11288" max="11288" width="13" style="4" customWidth="1"/>
    <col min="11289" max="11289" width="26.28515625" style="4" customWidth="1"/>
    <col min="11290" max="11290" width="49" style="4" customWidth="1"/>
    <col min="11291" max="11291" width="24.28515625" style="4" customWidth="1"/>
    <col min="11292" max="11292" width="22.28515625" style="4" customWidth="1"/>
    <col min="11293" max="11293" width="14.85546875" style="4" customWidth="1"/>
    <col min="11294" max="11294" width="26.5703125" style="4" customWidth="1"/>
    <col min="11295" max="11295" width="64.28515625" style="4" customWidth="1"/>
    <col min="11296" max="11296" width="13" style="4" customWidth="1"/>
    <col min="11297" max="11297" width="11.5703125" style="4"/>
    <col min="11298" max="11298" width="65.140625" style="4" customWidth="1"/>
    <col min="11299" max="11299" width="17.5703125" style="4" customWidth="1"/>
    <col min="11300" max="11300" width="13.5703125" style="4" customWidth="1"/>
    <col min="11301" max="11301" width="11.5703125" style="4"/>
    <col min="11302" max="11302" width="53.42578125" style="4" customWidth="1"/>
    <col min="11303" max="11303" width="16.7109375" style="4" customWidth="1"/>
    <col min="11304" max="11304" width="14.28515625" style="4" customWidth="1"/>
    <col min="11305" max="11305" width="11.5703125" style="4"/>
    <col min="11306" max="11306" width="82.85546875" style="4" customWidth="1"/>
    <col min="11307" max="11307" width="24.85546875" style="4" customWidth="1"/>
    <col min="11308" max="11308" width="13" style="4" customWidth="1"/>
    <col min="11309" max="11309" width="11.5703125" style="4"/>
    <col min="11310" max="11310" width="55.42578125" style="4" customWidth="1"/>
    <col min="11311" max="11311" width="29.140625" style="4" customWidth="1"/>
    <col min="11312" max="11520" width="11.5703125" style="4"/>
    <col min="11521" max="11521" width="16.85546875" style="4" customWidth="1"/>
    <col min="11522" max="11522" width="15.140625" style="4" customWidth="1"/>
    <col min="11523" max="11523" width="21.5703125" style="4" customWidth="1"/>
    <col min="11524" max="11524" width="16" style="4" customWidth="1"/>
    <col min="11525" max="11525" width="45" style="4" customWidth="1"/>
    <col min="11526" max="11526" width="11.42578125" style="4" customWidth="1"/>
    <col min="11527" max="11528" width="15" style="4" customWidth="1"/>
    <col min="11529" max="11543" width="11.42578125" style="4" customWidth="1"/>
    <col min="11544" max="11544" width="13" style="4" customWidth="1"/>
    <col min="11545" max="11545" width="26.28515625" style="4" customWidth="1"/>
    <col min="11546" max="11546" width="49" style="4" customWidth="1"/>
    <col min="11547" max="11547" width="24.28515625" style="4" customWidth="1"/>
    <col min="11548" max="11548" width="22.28515625" style="4" customWidth="1"/>
    <col min="11549" max="11549" width="14.85546875" style="4" customWidth="1"/>
    <col min="11550" max="11550" width="26.5703125" style="4" customWidth="1"/>
    <col min="11551" max="11551" width="64.28515625" style="4" customWidth="1"/>
    <col min="11552" max="11552" width="13" style="4" customWidth="1"/>
    <col min="11553" max="11553" width="11.5703125" style="4"/>
    <col min="11554" max="11554" width="65.140625" style="4" customWidth="1"/>
    <col min="11555" max="11555" width="17.5703125" style="4" customWidth="1"/>
    <col min="11556" max="11556" width="13.5703125" style="4" customWidth="1"/>
    <col min="11557" max="11557" width="11.5703125" style="4"/>
    <col min="11558" max="11558" width="53.42578125" style="4" customWidth="1"/>
    <col min="11559" max="11559" width="16.7109375" style="4" customWidth="1"/>
    <col min="11560" max="11560" width="14.28515625" style="4" customWidth="1"/>
    <col min="11561" max="11561" width="11.5703125" style="4"/>
    <col min="11562" max="11562" width="82.85546875" style="4" customWidth="1"/>
    <col min="11563" max="11563" width="24.85546875" style="4" customWidth="1"/>
    <col min="11564" max="11564" width="13" style="4" customWidth="1"/>
    <col min="11565" max="11565" width="11.5703125" style="4"/>
    <col min="11566" max="11566" width="55.42578125" style="4" customWidth="1"/>
    <col min="11567" max="11567" width="29.140625" style="4" customWidth="1"/>
    <col min="11568" max="11776" width="11.5703125" style="4"/>
    <col min="11777" max="11777" width="16.85546875" style="4" customWidth="1"/>
    <col min="11778" max="11778" width="15.140625" style="4" customWidth="1"/>
    <col min="11779" max="11779" width="21.5703125" style="4" customWidth="1"/>
    <col min="11780" max="11780" width="16" style="4" customWidth="1"/>
    <col min="11781" max="11781" width="45" style="4" customWidth="1"/>
    <col min="11782" max="11782" width="11.42578125" style="4" customWidth="1"/>
    <col min="11783" max="11784" width="15" style="4" customWidth="1"/>
    <col min="11785" max="11799" width="11.42578125" style="4" customWidth="1"/>
    <col min="11800" max="11800" width="13" style="4" customWidth="1"/>
    <col min="11801" max="11801" width="26.28515625" style="4" customWidth="1"/>
    <col min="11802" max="11802" width="49" style="4" customWidth="1"/>
    <col min="11803" max="11803" width="24.28515625" style="4" customWidth="1"/>
    <col min="11804" max="11804" width="22.28515625" style="4" customWidth="1"/>
    <col min="11805" max="11805" width="14.85546875" style="4" customWidth="1"/>
    <col min="11806" max="11806" width="26.5703125" style="4" customWidth="1"/>
    <col min="11807" max="11807" width="64.28515625" style="4" customWidth="1"/>
    <col min="11808" max="11808" width="13" style="4" customWidth="1"/>
    <col min="11809" max="11809" width="11.5703125" style="4"/>
    <col min="11810" max="11810" width="65.140625" style="4" customWidth="1"/>
    <col min="11811" max="11811" width="17.5703125" style="4" customWidth="1"/>
    <col min="11812" max="11812" width="13.5703125" style="4" customWidth="1"/>
    <col min="11813" max="11813" width="11.5703125" style="4"/>
    <col min="11814" max="11814" width="53.42578125" style="4" customWidth="1"/>
    <col min="11815" max="11815" width="16.7109375" style="4" customWidth="1"/>
    <col min="11816" max="11816" width="14.28515625" style="4" customWidth="1"/>
    <col min="11817" max="11817" width="11.5703125" style="4"/>
    <col min="11818" max="11818" width="82.85546875" style="4" customWidth="1"/>
    <col min="11819" max="11819" width="24.85546875" style="4" customWidth="1"/>
    <col min="11820" max="11820" width="13" style="4" customWidth="1"/>
    <col min="11821" max="11821" width="11.5703125" style="4"/>
    <col min="11822" max="11822" width="55.42578125" style="4" customWidth="1"/>
    <col min="11823" max="11823" width="29.140625" style="4" customWidth="1"/>
    <col min="11824" max="12032" width="11.5703125" style="4"/>
    <col min="12033" max="12033" width="16.85546875" style="4" customWidth="1"/>
    <col min="12034" max="12034" width="15.140625" style="4" customWidth="1"/>
    <col min="12035" max="12035" width="21.5703125" style="4" customWidth="1"/>
    <col min="12036" max="12036" width="16" style="4" customWidth="1"/>
    <col min="12037" max="12037" width="45" style="4" customWidth="1"/>
    <col min="12038" max="12038" width="11.42578125" style="4" customWidth="1"/>
    <col min="12039" max="12040" width="15" style="4" customWidth="1"/>
    <col min="12041" max="12055" width="11.42578125" style="4" customWidth="1"/>
    <col min="12056" max="12056" width="13" style="4" customWidth="1"/>
    <col min="12057" max="12057" width="26.28515625" style="4" customWidth="1"/>
    <col min="12058" max="12058" width="49" style="4" customWidth="1"/>
    <col min="12059" max="12059" width="24.28515625" style="4" customWidth="1"/>
    <col min="12060" max="12060" width="22.28515625" style="4" customWidth="1"/>
    <col min="12061" max="12061" width="14.85546875" style="4" customWidth="1"/>
    <col min="12062" max="12062" width="26.5703125" style="4" customWidth="1"/>
    <col min="12063" max="12063" width="64.28515625" style="4" customWidth="1"/>
    <col min="12064" max="12064" width="13" style="4" customWidth="1"/>
    <col min="12065" max="12065" width="11.5703125" style="4"/>
    <col min="12066" max="12066" width="65.140625" style="4" customWidth="1"/>
    <col min="12067" max="12067" width="17.5703125" style="4" customWidth="1"/>
    <col min="12068" max="12068" width="13.5703125" style="4" customWidth="1"/>
    <col min="12069" max="12069" width="11.5703125" style="4"/>
    <col min="12070" max="12070" width="53.42578125" style="4" customWidth="1"/>
    <col min="12071" max="12071" width="16.7109375" style="4" customWidth="1"/>
    <col min="12072" max="12072" width="14.28515625" style="4" customWidth="1"/>
    <col min="12073" max="12073" width="11.5703125" style="4"/>
    <col min="12074" max="12074" width="82.85546875" style="4" customWidth="1"/>
    <col min="12075" max="12075" width="24.85546875" style="4" customWidth="1"/>
    <col min="12076" max="12076" width="13" style="4" customWidth="1"/>
    <col min="12077" max="12077" width="11.5703125" style="4"/>
    <col min="12078" max="12078" width="55.42578125" style="4" customWidth="1"/>
    <col min="12079" max="12079" width="29.140625" style="4" customWidth="1"/>
    <col min="12080" max="12288" width="11.5703125" style="4"/>
    <col min="12289" max="12289" width="16.85546875" style="4" customWidth="1"/>
    <col min="12290" max="12290" width="15.140625" style="4" customWidth="1"/>
    <col min="12291" max="12291" width="21.5703125" style="4" customWidth="1"/>
    <col min="12292" max="12292" width="16" style="4" customWidth="1"/>
    <col min="12293" max="12293" width="45" style="4" customWidth="1"/>
    <col min="12294" max="12294" width="11.42578125" style="4" customWidth="1"/>
    <col min="12295" max="12296" width="15" style="4" customWidth="1"/>
    <col min="12297" max="12311" width="11.42578125" style="4" customWidth="1"/>
    <col min="12312" max="12312" width="13" style="4" customWidth="1"/>
    <col min="12313" max="12313" width="26.28515625" style="4" customWidth="1"/>
    <col min="12314" max="12314" width="49" style="4" customWidth="1"/>
    <col min="12315" max="12315" width="24.28515625" style="4" customWidth="1"/>
    <col min="12316" max="12316" width="22.28515625" style="4" customWidth="1"/>
    <col min="12317" max="12317" width="14.85546875" style="4" customWidth="1"/>
    <col min="12318" max="12318" width="26.5703125" style="4" customWidth="1"/>
    <col min="12319" max="12319" width="64.28515625" style="4" customWidth="1"/>
    <col min="12320" max="12320" width="13" style="4" customWidth="1"/>
    <col min="12321" max="12321" width="11.5703125" style="4"/>
    <col min="12322" max="12322" width="65.140625" style="4" customWidth="1"/>
    <col min="12323" max="12323" width="17.5703125" style="4" customWidth="1"/>
    <col min="12324" max="12324" width="13.5703125" style="4" customWidth="1"/>
    <col min="12325" max="12325" width="11.5703125" style="4"/>
    <col min="12326" max="12326" width="53.42578125" style="4" customWidth="1"/>
    <col min="12327" max="12327" width="16.7109375" style="4" customWidth="1"/>
    <col min="12328" max="12328" width="14.28515625" style="4" customWidth="1"/>
    <col min="12329" max="12329" width="11.5703125" style="4"/>
    <col min="12330" max="12330" width="82.85546875" style="4" customWidth="1"/>
    <col min="12331" max="12331" width="24.85546875" style="4" customWidth="1"/>
    <col min="12332" max="12332" width="13" style="4" customWidth="1"/>
    <col min="12333" max="12333" width="11.5703125" style="4"/>
    <col min="12334" max="12334" width="55.42578125" style="4" customWidth="1"/>
    <col min="12335" max="12335" width="29.140625" style="4" customWidth="1"/>
    <col min="12336" max="12544" width="11.5703125" style="4"/>
    <col min="12545" max="12545" width="16.85546875" style="4" customWidth="1"/>
    <col min="12546" max="12546" width="15.140625" style="4" customWidth="1"/>
    <col min="12547" max="12547" width="21.5703125" style="4" customWidth="1"/>
    <col min="12548" max="12548" width="16" style="4" customWidth="1"/>
    <col min="12549" max="12549" width="45" style="4" customWidth="1"/>
    <col min="12550" max="12550" width="11.42578125" style="4" customWidth="1"/>
    <col min="12551" max="12552" width="15" style="4" customWidth="1"/>
    <col min="12553" max="12567" width="11.42578125" style="4" customWidth="1"/>
    <col min="12568" max="12568" width="13" style="4" customWidth="1"/>
    <col min="12569" max="12569" width="26.28515625" style="4" customWidth="1"/>
    <col min="12570" max="12570" width="49" style="4" customWidth="1"/>
    <col min="12571" max="12571" width="24.28515625" style="4" customWidth="1"/>
    <col min="12572" max="12572" width="22.28515625" style="4" customWidth="1"/>
    <col min="12573" max="12573" width="14.85546875" style="4" customWidth="1"/>
    <col min="12574" max="12574" width="26.5703125" style="4" customWidth="1"/>
    <col min="12575" max="12575" width="64.28515625" style="4" customWidth="1"/>
    <col min="12576" max="12576" width="13" style="4" customWidth="1"/>
    <col min="12577" max="12577" width="11.5703125" style="4"/>
    <col min="12578" max="12578" width="65.140625" style="4" customWidth="1"/>
    <col min="12579" max="12579" width="17.5703125" style="4" customWidth="1"/>
    <col min="12580" max="12580" width="13.5703125" style="4" customWidth="1"/>
    <col min="12581" max="12581" width="11.5703125" style="4"/>
    <col min="12582" max="12582" width="53.42578125" style="4" customWidth="1"/>
    <col min="12583" max="12583" width="16.7109375" style="4" customWidth="1"/>
    <col min="12584" max="12584" width="14.28515625" style="4" customWidth="1"/>
    <col min="12585" max="12585" width="11.5703125" style="4"/>
    <col min="12586" max="12586" width="82.85546875" style="4" customWidth="1"/>
    <col min="12587" max="12587" width="24.85546875" style="4" customWidth="1"/>
    <col min="12588" max="12588" width="13" style="4" customWidth="1"/>
    <col min="12589" max="12589" width="11.5703125" style="4"/>
    <col min="12590" max="12590" width="55.42578125" style="4" customWidth="1"/>
    <col min="12591" max="12591" width="29.140625" style="4" customWidth="1"/>
    <col min="12592" max="12800" width="11.5703125" style="4"/>
    <col min="12801" max="12801" width="16.85546875" style="4" customWidth="1"/>
    <col min="12802" max="12802" width="15.140625" style="4" customWidth="1"/>
    <col min="12803" max="12803" width="21.5703125" style="4" customWidth="1"/>
    <col min="12804" max="12804" width="16" style="4" customWidth="1"/>
    <col min="12805" max="12805" width="45" style="4" customWidth="1"/>
    <col min="12806" max="12806" width="11.42578125" style="4" customWidth="1"/>
    <col min="12807" max="12808" width="15" style="4" customWidth="1"/>
    <col min="12809" max="12823" width="11.42578125" style="4" customWidth="1"/>
    <col min="12824" max="12824" width="13" style="4" customWidth="1"/>
    <col min="12825" max="12825" width="26.28515625" style="4" customWidth="1"/>
    <col min="12826" max="12826" width="49" style="4" customWidth="1"/>
    <col min="12827" max="12827" width="24.28515625" style="4" customWidth="1"/>
    <col min="12828" max="12828" width="22.28515625" style="4" customWidth="1"/>
    <col min="12829" max="12829" width="14.85546875" style="4" customWidth="1"/>
    <col min="12830" max="12830" width="26.5703125" style="4" customWidth="1"/>
    <col min="12831" max="12831" width="64.28515625" style="4" customWidth="1"/>
    <col min="12832" max="12832" width="13" style="4" customWidth="1"/>
    <col min="12833" max="12833" width="11.5703125" style="4"/>
    <col min="12834" max="12834" width="65.140625" style="4" customWidth="1"/>
    <col min="12835" max="12835" width="17.5703125" style="4" customWidth="1"/>
    <col min="12836" max="12836" width="13.5703125" style="4" customWidth="1"/>
    <col min="12837" max="12837" width="11.5703125" style="4"/>
    <col min="12838" max="12838" width="53.42578125" style="4" customWidth="1"/>
    <col min="12839" max="12839" width="16.7109375" style="4" customWidth="1"/>
    <col min="12840" max="12840" width="14.28515625" style="4" customWidth="1"/>
    <col min="12841" max="12841" width="11.5703125" style="4"/>
    <col min="12842" max="12842" width="82.85546875" style="4" customWidth="1"/>
    <col min="12843" max="12843" width="24.85546875" style="4" customWidth="1"/>
    <col min="12844" max="12844" width="13" style="4" customWidth="1"/>
    <col min="12845" max="12845" width="11.5703125" style="4"/>
    <col min="12846" max="12846" width="55.42578125" style="4" customWidth="1"/>
    <col min="12847" max="12847" width="29.140625" style="4" customWidth="1"/>
    <col min="12848" max="13056" width="11.5703125" style="4"/>
    <col min="13057" max="13057" width="16.85546875" style="4" customWidth="1"/>
    <col min="13058" max="13058" width="15.140625" style="4" customWidth="1"/>
    <col min="13059" max="13059" width="21.5703125" style="4" customWidth="1"/>
    <col min="13060" max="13060" width="16" style="4" customWidth="1"/>
    <col min="13061" max="13061" width="45" style="4" customWidth="1"/>
    <col min="13062" max="13062" width="11.42578125" style="4" customWidth="1"/>
    <col min="13063" max="13064" width="15" style="4" customWidth="1"/>
    <col min="13065" max="13079" width="11.42578125" style="4" customWidth="1"/>
    <col min="13080" max="13080" width="13" style="4" customWidth="1"/>
    <col min="13081" max="13081" width="26.28515625" style="4" customWidth="1"/>
    <col min="13082" max="13082" width="49" style="4" customWidth="1"/>
    <col min="13083" max="13083" width="24.28515625" style="4" customWidth="1"/>
    <col min="13084" max="13084" width="22.28515625" style="4" customWidth="1"/>
    <col min="13085" max="13085" width="14.85546875" style="4" customWidth="1"/>
    <col min="13086" max="13086" width="26.5703125" style="4" customWidth="1"/>
    <col min="13087" max="13087" width="64.28515625" style="4" customWidth="1"/>
    <col min="13088" max="13088" width="13" style="4" customWidth="1"/>
    <col min="13089" max="13089" width="11.5703125" style="4"/>
    <col min="13090" max="13090" width="65.140625" style="4" customWidth="1"/>
    <col min="13091" max="13091" width="17.5703125" style="4" customWidth="1"/>
    <col min="13092" max="13092" width="13.5703125" style="4" customWidth="1"/>
    <col min="13093" max="13093" width="11.5703125" style="4"/>
    <col min="13094" max="13094" width="53.42578125" style="4" customWidth="1"/>
    <col min="13095" max="13095" width="16.7109375" style="4" customWidth="1"/>
    <col min="13096" max="13096" width="14.28515625" style="4" customWidth="1"/>
    <col min="13097" max="13097" width="11.5703125" style="4"/>
    <col min="13098" max="13098" width="82.85546875" style="4" customWidth="1"/>
    <col min="13099" max="13099" width="24.85546875" style="4" customWidth="1"/>
    <col min="13100" max="13100" width="13" style="4" customWidth="1"/>
    <col min="13101" max="13101" width="11.5703125" style="4"/>
    <col min="13102" max="13102" width="55.42578125" style="4" customWidth="1"/>
    <col min="13103" max="13103" width="29.140625" style="4" customWidth="1"/>
    <col min="13104" max="13312" width="11.5703125" style="4"/>
    <col min="13313" max="13313" width="16.85546875" style="4" customWidth="1"/>
    <col min="13314" max="13314" width="15.140625" style="4" customWidth="1"/>
    <col min="13315" max="13315" width="21.5703125" style="4" customWidth="1"/>
    <col min="13316" max="13316" width="16" style="4" customWidth="1"/>
    <col min="13317" max="13317" width="45" style="4" customWidth="1"/>
    <col min="13318" max="13318" width="11.42578125" style="4" customWidth="1"/>
    <col min="13319" max="13320" width="15" style="4" customWidth="1"/>
    <col min="13321" max="13335" width="11.42578125" style="4" customWidth="1"/>
    <col min="13336" max="13336" width="13" style="4" customWidth="1"/>
    <col min="13337" max="13337" width="26.28515625" style="4" customWidth="1"/>
    <col min="13338" max="13338" width="49" style="4" customWidth="1"/>
    <col min="13339" max="13339" width="24.28515625" style="4" customWidth="1"/>
    <col min="13340" max="13340" width="22.28515625" style="4" customWidth="1"/>
    <col min="13341" max="13341" width="14.85546875" style="4" customWidth="1"/>
    <col min="13342" max="13342" width="26.5703125" style="4" customWidth="1"/>
    <col min="13343" max="13343" width="64.28515625" style="4" customWidth="1"/>
    <col min="13344" max="13344" width="13" style="4" customWidth="1"/>
    <col min="13345" max="13345" width="11.5703125" style="4"/>
    <col min="13346" max="13346" width="65.140625" style="4" customWidth="1"/>
    <col min="13347" max="13347" width="17.5703125" style="4" customWidth="1"/>
    <col min="13348" max="13348" width="13.5703125" style="4" customWidth="1"/>
    <col min="13349" max="13349" width="11.5703125" style="4"/>
    <col min="13350" max="13350" width="53.42578125" style="4" customWidth="1"/>
    <col min="13351" max="13351" width="16.7109375" style="4" customWidth="1"/>
    <col min="13352" max="13352" width="14.28515625" style="4" customWidth="1"/>
    <col min="13353" max="13353" width="11.5703125" style="4"/>
    <col min="13354" max="13354" width="82.85546875" style="4" customWidth="1"/>
    <col min="13355" max="13355" width="24.85546875" style="4" customWidth="1"/>
    <col min="13356" max="13356" width="13" style="4" customWidth="1"/>
    <col min="13357" max="13357" width="11.5703125" style="4"/>
    <col min="13358" max="13358" width="55.42578125" style="4" customWidth="1"/>
    <col min="13359" max="13359" width="29.140625" style="4" customWidth="1"/>
    <col min="13360" max="13568" width="11.5703125" style="4"/>
    <col min="13569" max="13569" width="16.85546875" style="4" customWidth="1"/>
    <col min="13570" max="13570" width="15.140625" style="4" customWidth="1"/>
    <col min="13571" max="13571" width="21.5703125" style="4" customWidth="1"/>
    <col min="13572" max="13572" width="16" style="4" customWidth="1"/>
    <col min="13573" max="13573" width="45" style="4" customWidth="1"/>
    <col min="13574" max="13574" width="11.42578125" style="4" customWidth="1"/>
    <col min="13575" max="13576" width="15" style="4" customWidth="1"/>
    <col min="13577" max="13591" width="11.42578125" style="4" customWidth="1"/>
    <col min="13592" max="13592" width="13" style="4" customWidth="1"/>
    <col min="13593" max="13593" width="26.28515625" style="4" customWidth="1"/>
    <col min="13594" max="13594" width="49" style="4" customWidth="1"/>
    <col min="13595" max="13595" width="24.28515625" style="4" customWidth="1"/>
    <col min="13596" max="13596" width="22.28515625" style="4" customWidth="1"/>
    <col min="13597" max="13597" width="14.85546875" style="4" customWidth="1"/>
    <col min="13598" max="13598" width="26.5703125" style="4" customWidth="1"/>
    <col min="13599" max="13599" width="64.28515625" style="4" customWidth="1"/>
    <col min="13600" max="13600" width="13" style="4" customWidth="1"/>
    <col min="13601" max="13601" width="11.5703125" style="4"/>
    <col min="13602" max="13602" width="65.140625" style="4" customWidth="1"/>
    <col min="13603" max="13603" width="17.5703125" style="4" customWidth="1"/>
    <col min="13604" max="13604" width="13.5703125" style="4" customWidth="1"/>
    <col min="13605" max="13605" width="11.5703125" style="4"/>
    <col min="13606" max="13606" width="53.42578125" style="4" customWidth="1"/>
    <col min="13607" max="13607" width="16.7109375" style="4" customWidth="1"/>
    <col min="13608" max="13608" width="14.28515625" style="4" customWidth="1"/>
    <col min="13609" max="13609" width="11.5703125" style="4"/>
    <col min="13610" max="13610" width="82.85546875" style="4" customWidth="1"/>
    <col min="13611" max="13611" width="24.85546875" style="4" customWidth="1"/>
    <col min="13612" max="13612" width="13" style="4" customWidth="1"/>
    <col min="13613" max="13613" width="11.5703125" style="4"/>
    <col min="13614" max="13614" width="55.42578125" style="4" customWidth="1"/>
    <col min="13615" max="13615" width="29.140625" style="4" customWidth="1"/>
    <col min="13616" max="13824" width="11.5703125" style="4"/>
    <col min="13825" max="13825" width="16.85546875" style="4" customWidth="1"/>
    <col min="13826" max="13826" width="15.140625" style="4" customWidth="1"/>
    <col min="13827" max="13827" width="21.5703125" style="4" customWidth="1"/>
    <col min="13828" max="13828" width="16" style="4" customWidth="1"/>
    <col min="13829" max="13829" width="45" style="4" customWidth="1"/>
    <col min="13830" max="13830" width="11.42578125" style="4" customWidth="1"/>
    <col min="13831" max="13832" width="15" style="4" customWidth="1"/>
    <col min="13833" max="13847" width="11.42578125" style="4" customWidth="1"/>
    <col min="13848" max="13848" width="13" style="4" customWidth="1"/>
    <col min="13849" max="13849" width="26.28515625" style="4" customWidth="1"/>
    <col min="13850" max="13850" width="49" style="4" customWidth="1"/>
    <col min="13851" max="13851" width="24.28515625" style="4" customWidth="1"/>
    <col min="13852" max="13852" width="22.28515625" style="4" customWidth="1"/>
    <col min="13853" max="13853" width="14.85546875" style="4" customWidth="1"/>
    <col min="13854" max="13854" width="26.5703125" style="4" customWidth="1"/>
    <col min="13855" max="13855" width="64.28515625" style="4" customWidth="1"/>
    <col min="13856" max="13856" width="13" style="4" customWidth="1"/>
    <col min="13857" max="13857" width="11.5703125" style="4"/>
    <col min="13858" max="13858" width="65.140625" style="4" customWidth="1"/>
    <col min="13859" max="13859" width="17.5703125" style="4" customWidth="1"/>
    <col min="13860" max="13860" width="13.5703125" style="4" customWidth="1"/>
    <col min="13861" max="13861" width="11.5703125" style="4"/>
    <col min="13862" max="13862" width="53.42578125" style="4" customWidth="1"/>
    <col min="13863" max="13863" width="16.7109375" style="4" customWidth="1"/>
    <col min="13864" max="13864" width="14.28515625" style="4" customWidth="1"/>
    <col min="13865" max="13865" width="11.5703125" style="4"/>
    <col min="13866" max="13866" width="82.85546875" style="4" customWidth="1"/>
    <col min="13867" max="13867" width="24.85546875" style="4" customWidth="1"/>
    <col min="13868" max="13868" width="13" style="4" customWidth="1"/>
    <col min="13869" max="13869" width="11.5703125" style="4"/>
    <col min="13870" max="13870" width="55.42578125" style="4" customWidth="1"/>
    <col min="13871" max="13871" width="29.140625" style="4" customWidth="1"/>
    <col min="13872" max="14080" width="11.5703125" style="4"/>
    <col min="14081" max="14081" width="16.85546875" style="4" customWidth="1"/>
    <col min="14082" max="14082" width="15.140625" style="4" customWidth="1"/>
    <col min="14083" max="14083" width="21.5703125" style="4" customWidth="1"/>
    <col min="14084" max="14084" width="16" style="4" customWidth="1"/>
    <col min="14085" max="14085" width="45" style="4" customWidth="1"/>
    <col min="14086" max="14086" width="11.42578125" style="4" customWidth="1"/>
    <col min="14087" max="14088" width="15" style="4" customWidth="1"/>
    <col min="14089" max="14103" width="11.42578125" style="4" customWidth="1"/>
    <col min="14104" max="14104" width="13" style="4" customWidth="1"/>
    <col min="14105" max="14105" width="26.28515625" style="4" customWidth="1"/>
    <col min="14106" max="14106" width="49" style="4" customWidth="1"/>
    <col min="14107" max="14107" width="24.28515625" style="4" customWidth="1"/>
    <col min="14108" max="14108" width="22.28515625" style="4" customWidth="1"/>
    <col min="14109" max="14109" width="14.85546875" style="4" customWidth="1"/>
    <col min="14110" max="14110" width="26.5703125" style="4" customWidth="1"/>
    <col min="14111" max="14111" width="64.28515625" style="4" customWidth="1"/>
    <col min="14112" max="14112" width="13" style="4" customWidth="1"/>
    <col min="14113" max="14113" width="11.5703125" style="4"/>
    <col min="14114" max="14114" width="65.140625" style="4" customWidth="1"/>
    <col min="14115" max="14115" width="17.5703125" style="4" customWidth="1"/>
    <col min="14116" max="14116" width="13.5703125" style="4" customWidth="1"/>
    <col min="14117" max="14117" width="11.5703125" style="4"/>
    <col min="14118" max="14118" width="53.42578125" style="4" customWidth="1"/>
    <col min="14119" max="14119" width="16.7109375" style="4" customWidth="1"/>
    <col min="14120" max="14120" width="14.28515625" style="4" customWidth="1"/>
    <col min="14121" max="14121" width="11.5703125" style="4"/>
    <col min="14122" max="14122" width="82.85546875" style="4" customWidth="1"/>
    <col min="14123" max="14123" width="24.85546875" style="4" customWidth="1"/>
    <col min="14124" max="14124" width="13" style="4" customWidth="1"/>
    <col min="14125" max="14125" width="11.5703125" style="4"/>
    <col min="14126" max="14126" width="55.42578125" style="4" customWidth="1"/>
    <col min="14127" max="14127" width="29.140625" style="4" customWidth="1"/>
    <col min="14128" max="14336" width="11.5703125" style="4"/>
    <col min="14337" max="14337" width="16.85546875" style="4" customWidth="1"/>
    <col min="14338" max="14338" width="15.140625" style="4" customWidth="1"/>
    <col min="14339" max="14339" width="21.5703125" style="4" customWidth="1"/>
    <col min="14340" max="14340" width="16" style="4" customWidth="1"/>
    <col min="14341" max="14341" width="45" style="4" customWidth="1"/>
    <col min="14342" max="14342" width="11.42578125" style="4" customWidth="1"/>
    <col min="14343" max="14344" width="15" style="4" customWidth="1"/>
    <col min="14345" max="14359" width="11.42578125" style="4" customWidth="1"/>
    <col min="14360" max="14360" width="13" style="4" customWidth="1"/>
    <col min="14361" max="14361" width="26.28515625" style="4" customWidth="1"/>
    <col min="14362" max="14362" width="49" style="4" customWidth="1"/>
    <col min="14363" max="14363" width="24.28515625" style="4" customWidth="1"/>
    <col min="14364" max="14364" width="22.28515625" style="4" customWidth="1"/>
    <col min="14365" max="14365" width="14.85546875" style="4" customWidth="1"/>
    <col min="14366" max="14366" width="26.5703125" style="4" customWidth="1"/>
    <col min="14367" max="14367" width="64.28515625" style="4" customWidth="1"/>
    <col min="14368" max="14368" width="13" style="4" customWidth="1"/>
    <col min="14369" max="14369" width="11.5703125" style="4"/>
    <col min="14370" max="14370" width="65.140625" style="4" customWidth="1"/>
    <col min="14371" max="14371" width="17.5703125" style="4" customWidth="1"/>
    <col min="14372" max="14372" width="13.5703125" style="4" customWidth="1"/>
    <col min="14373" max="14373" width="11.5703125" style="4"/>
    <col min="14374" max="14374" width="53.42578125" style="4" customWidth="1"/>
    <col min="14375" max="14375" width="16.7109375" style="4" customWidth="1"/>
    <col min="14376" max="14376" width="14.28515625" style="4" customWidth="1"/>
    <col min="14377" max="14377" width="11.5703125" style="4"/>
    <col min="14378" max="14378" width="82.85546875" style="4" customWidth="1"/>
    <col min="14379" max="14379" width="24.85546875" style="4" customWidth="1"/>
    <col min="14380" max="14380" width="13" style="4" customWidth="1"/>
    <col min="14381" max="14381" width="11.5703125" style="4"/>
    <col min="14382" max="14382" width="55.42578125" style="4" customWidth="1"/>
    <col min="14383" max="14383" width="29.140625" style="4" customWidth="1"/>
    <col min="14384" max="14592" width="11.5703125" style="4"/>
    <col min="14593" max="14593" width="16.85546875" style="4" customWidth="1"/>
    <col min="14594" max="14594" width="15.140625" style="4" customWidth="1"/>
    <col min="14595" max="14595" width="21.5703125" style="4" customWidth="1"/>
    <col min="14596" max="14596" width="16" style="4" customWidth="1"/>
    <col min="14597" max="14597" width="45" style="4" customWidth="1"/>
    <col min="14598" max="14598" width="11.42578125" style="4" customWidth="1"/>
    <col min="14599" max="14600" width="15" style="4" customWidth="1"/>
    <col min="14601" max="14615" width="11.42578125" style="4" customWidth="1"/>
    <col min="14616" max="14616" width="13" style="4" customWidth="1"/>
    <col min="14617" max="14617" width="26.28515625" style="4" customWidth="1"/>
    <col min="14618" max="14618" width="49" style="4" customWidth="1"/>
    <col min="14619" max="14619" width="24.28515625" style="4" customWidth="1"/>
    <col min="14620" max="14620" width="22.28515625" style="4" customWidth="1"/>
    <col min="14621" max="14621" width="14.85546875" style="4" customWidth="1"/>
    <col min="14622" max="14622" width="26.5703125" style="4" customWidth="1"/>
    <col min="14623" max="14623" width="64.28515625" style="4" customWidth="1"/>
    <col min="14624" max="14624" width="13" style="4" customWidth="1"/>
    <col min="14625" max="14625" width="11.5703125" style="4"/>
    <col min="14626" max="14626" width="65.140625" style="4" customWidth="1"/>
    <col min="14627" max="14627" width="17.5703125" style="4" customWidth="1"/>
    <col min="14628" max="14628" width="13.5703125" style="4" customWidth="1"/>
    <col min="14629" max="14629" width="11.5703125" style="4"/>
    <col min="14630" max="14630" width="53.42578125" style="4" customWidth="1"/>
    <col min="14631" max="14631" width="16.7109375" style="4" customWidth="1"/>
    <col min="14632" max="14632" width="14.28515625" style="4" customWidth="1"/>
    <col min="14633" max="14633" width="11.5703125" style="4"/>
    <col min="14634" max="14634" width="82.85546875" style="4" customWidth="1"/>
    <col min="14635" max="14635" width="24.85546875" style="4" customWidth="1"/>
    <col min="14636" max="14636" width="13" style="4" customWidth="1"/>
    <col min="14637" max="14637" width="11.5703125" style="4"/>
    <col min="14638" max="14638" width="55.42578125" style="4" customWidth="1"/>
    <col min="14639" max="14639" width="29.140625" style="4" customWidth="1"/>
    <col min="14640" max="14848" width="11.5703125" style="4"/>
    <col min="14849" max="14849" width="16.85546875" style="4" customWidth="1"/>
    <col min="14850" max="14850" width="15.140625" style="4" customWidth="1"/>
    <col min="14851" max="14851" width="21.5703125" style="4" customWidth="1"/>
    <col min="14852" max="14852" width="16" style="4" customWidth="1"/>
    <col min="14853" max="14853" width="45" style="4" customWidth="1"/>
    <col min="14854" max="14854" width="11.42578125" style="4" customWidth="1"/>
    <col min="14855" max="14856" width="15" style="4" customWidth="1"/>
    <col min="14857" max="14871" width="11.42578125" style="4" customWidth="1"/>
    <col min="14872" max="14872" width="13" style="4" customWidth="1"/>
    <col min="14873" max="14873" width="26.28515625" style="4" customWidth="1"/>
    <col min="14874" max="14874" width="49" style="4" customWidth="1"/>
    <col min="14875" max="14875" width="24.28515625" style="4" customWidth="1"/>
    <col min="14876" max="14876" width="22.28515625" style="4" customWidth="1"/>
    <col min="14877" max="14877" width="14.85546875" style="4" customWidth="1"/>
    <col min="14878" max="14878" width="26.5703125" style="4" customWidth="1"/>
    <col min="14879" max="14879" width="64.28515625" style="4" customWidth="1"/>
    <col min="14880" max="14880" width="13" style="4" customWidth="1"/>
    <col min="14881" max="14881" width="11.5703125" style="4"/>
    <col min="14882" max="14882" width="65.140625" style="4" customWidth="1"/>
    <col min="14883" max="14883" width="17.5703125" style="4" customWidth="1"/>
    <col min="14884" max="14884" width="13.5703125" style="4" customWidth="1"/>
    <col min="14885" max="14885" width="11.5703125" style="4"/>
    <col min="14886" max="14886" width="53.42578125" style="4" customWidth="1"/>
    <col min="14887" max="14887" width="16.7109375" style="4" customWidth="1"/>
    <col min="14888" max="14888" width="14.28515625" style="4" customWidth="1"/>
    <col min="14889" max="14889" width="11.5703125" style="4"/>
    <col min="14890" max="14890" width="82.85546875" style="4" customWidth="1"/>
    <col min="14891" max="14891" width="24.85546875" style="4" customWidth="1"/>
    <col min="14892" max="14892" width="13" style="4" customWidth="1"/>
    <col min="14893" max="14893" width="11.5703125" style="4"/>
    <col min="14894" max="14894" width="55.42578125" style="4" customWidth="1"/>
    <col min="14895" max="14895" width="29.140625" style="4" customWidth="1"/>
    <col min="14896" max="15104" width="11.5703125" style="4"/>
    <col min="15105" max="15105" width="16.85546875" style="4" customWidth="1"/>
    <col min="15106" max="15106" width="15.140625" style="4" customWidth="1"/>
    <col min="15107" max="15107" width="21.5703125" style="4" customWidth="1"/>
    <col min="15108" max="15108" width="16" style="4" customWidth="1"/>
    <col min="15109" max="15109" width="45" style="4" customWidth="1"/>
    <col min="15110" max="15110" width="11.42578125" style="4" customWidth="1"/>
    <col min="15111" max="15112" width="15" style="4" customWidth="1"/>
    <col min="15113" max="15127" width="11.42578125" style="4" customWidth="1"/>
    <col min="15128" max="15128" width="13" style="4" customWidth="1"/>
    <col min="15129" max="15129" width="26.28515625" style="4" customWidth="1"/>
    <col min="15130" max="15130" width="49" style="4" customWidth="1"/>
    <col min="15131" max="15131" width="24.28515625" style="4" customWidth="1"/>
    <col min="15132" max="15132" width="22.28515625" style="4" customWidth="1"/>
    <col min="15133" max="15133" width="14.85546875" style="4" customWidth="1"/>
    <col min="15134" max="15134" width="26.5703125" style="4" customWidth="1"/>
    <col min="15135" max="15135" width="64.28515625" style="4" customWidth="1"/>
    <col min="15136" max="15136" width="13" style="4" customWidth="1"/>
    <col min="15137" max="15137" width="11.5703125" style="4"/>
    <col min="15138" max="15138" width="65.140625" style="4" customWidth="1"/>
    <col min="15139" max="15139" width="17.5703125" style="4" customWidth="1"/>
    <col min="15140" max="15140" width="13.5703125" style="4" customWidth="1"/>
    <col min="15141" max="15141" width="11.5703125" style="4"/>
    <col min="15142" max="15142" width="53.42578125" style="4" customWidth="1"/>
    <col min="15143" max="15143" width="16.7109375" style="4" customWidth="1"/>
    <col min="15144" max="15144" width="14.28515625" style="4" customWidth="1"/>
    <col min="15145" max="15145" width="11.5703125" style="4"/>
    <col min="15146" max="15146" width="82.85546875" style="4" customWidth="1"/>
    <col min="15147" max="15147" width="24.85546875" style="4" customWidth="1"/>
    <col min="15148" max="15148" width="13" style="4" customWidth="1"/>
    <col min="15149" max="15149" width="11.5703125" style="4"/>
    <col min="15150" max="15150" width="55.42578125" style="4" customWidth="1"/>
    <col min="15151" max="15151" width="29.140625" style="4" customWidth="1"/>
    <col min="15152" max="15360" width="11.5703125" style="4"/>
    <col min="15361" max="15361" width="16.85546875" style="4" customWidth="1"/>
    <col min="15362" max="15362" width="15.140625" style="4" customWidth="1"/>
    <col min="15363" max="15363" width="21.5703125" style="4" customWidth="1"/>
    <col min="15364" max="15364" width="16" style="4" customWidth="1"/>
    <col min="15365" max="15365" width="45" style="4" customWidth="1"/>
    <col min="15366" max="15366" width="11.42578125" style="4" customWidth="1"/>
    <col min="15367" max="15368" width="15" style="4" customWidth="1"/>
    <col min="15369" max="15383" width="11.42578125" style="4" customWidth="1"/>
    <col min="15384" max="15384" width="13" style="4" customWidth="1"/>
    <col min="15385" max="15385" width="26.28515625" style="4" customWidth="1"/>
    <col min="15386" max="15386" width="49" style="4" customWidth="1"/>
    <col min="15387" max="15387" width="24.28515625" style="4" customWidth="1"/>
    <col min="15388" max="15388" width="22.28515625" style="4" customWidth="1"/>
    <col min="15389" max="15389" width="14.85546875" style="4" customWidth="1"/>
    <col min="15390" max="15390" width="26.5703125" style="4" customWidth="1"/>
    <col min="15391" max="15391" width="64.28515625" style="4" customWidth="1"/>
    <col min="15392" max="15392" width="13" style="4" customWidth="1"/>
    <col min="15393" max="15393" width="11.5703125" style="4"/>
    <col min="15394" max="15394" width="65.140625" style="4" customWidth="1"/>
    <col min="15395" max="15395" width="17.5703125" style="4" customWidth="1"/>
    <col min="15396" max="15396" width="13.5703125" style="4" customWidth="1"/>
    <col min="15397" max="15397" width="11.5703125" style="4"/>
    <col min="15398" max="15398" width="53.42578125" style="4" customWidth="1"/>
    <col min="15399" max="15399" width="16.7109375" style="4" customWidth="1"/>
    <col min="15400" max="15400" width="14.28515625" style="4" customWidth="1"/>
    <col min="15401" max="15401" width="11.5703125" style="4"/>
    <col min="15402" max="15402" width="82.85546875" style="4" customWidth="1"/>
    <col min="15403" max="15403" width="24.85546875" style="4" customWidth="1"/>
    <col min="15404" max="15404" width="13" style="4" customWidth="1"/>
    <col min="15405" max="15405" width="11.5703125" style="4"/>
    <col min="15406" max="15406" width="55.42578125" style="4" customWidth="1"/>
    <col min="15407" max="15407" width="29.140625" style="4" customWidth="1"/>
    <col min="15408" max="15616" width="11.5703125" style="4"/>
    <col min="15617" max="15617" width="16.85546875" style="4" customWidth="1"/>
    <col min="15618" max="15618" width="15.140625" style="4" customWidth="1"/>
    <col min="15619" max="15619" width="21.5703125" style="4" customWidth="1"/>
    <col min="15620" max="15620" width="16" style="4" customWidth="1"/>
    <col min="15621" max="15621" width="45" style="4" customWidth="1"/>
    <col min="15622" max="15622" width="11.42578125" style="4" customWidth="1"/>
    <col min="15623" max="15624" width="15" style="4" customWidth="1"/>
    <col min="15625" max="15639" width="11.42578125" style="4" customWidth="1"/>
    <col min="15640" max="15640" width="13" style="4" customWidth="1"/>
    <col min="15641" max="15641" width="26.28515625" style="4" customWidth="1"/>
    <col min="15642" max="15642" width="49" style="4" customWidth="1"/>
    <col min="15643" max="15643" width="24.28515625" style="4" customWidth="1"/>
    <col min="15644" max="15644" width="22.28515625" style="4" customWidth="1"/>
    <col min="15645" max="15645" width="14.85546875" style="4" customWidth="1"/>
    <col min="15646" max="15646" width="26.5703125" style="4" customWidth="1"/>
    <col min="15647" max="15647" width="64.28515625" style="4" customWidth="1"/>
    <col min="15648" max="15648" width="13" style="4" customWidth="1"/>
    <col min="15649" max="15649" width="11.5703125" style="4"/>
    <col min="15650" max="15650" width="65.140625" style="4" customWidth="1"/>
    <col min="15651" max="15651" width="17.5703125" style="4" customWidth="1"/>
    <col min="15652" max="15652" width="13.5703125" style="4" customWidth="1"/>
    <col min="15653" max="15653" width="11.5703125" style="4"/>
    <col min="15654" max="15654" width="53.42578125" style="4" customWidth="1"/>
    <col min="15655" max="15655" width="16.7109375" style="4" customWidth="1"/>
    <col min="15656" max="15656" width="14.28515625" style="4" customWidth="1"/>
    <col min="15657" max="15657" width="11.5703125" style="4"/>
    <col min="15658" max="15658" width="82.85546875" style="4" customWidth="1"/>
    <col min="15659" max="15659" width="24.85546875" style="4" customWidth="1"/>
    <col min="15660" max="15660" width="13" style="4" customWidth="1"/>
    <col min="15661" max="15661" width="11.5703125" style="4"/>
    <col min="15662" max="15662" width="55.42578125" style="4" customWidth="1"/>
    <col min="15663" max="15663" width="29.140625" style="4" customWidth="1"/>
    <col min="15664" max="15872" width="11.5703125" style="4"/>
    <col min="15873" max="15873" width="16.85546875" style="4" customWidth="1"/>
    <col min="15874" max="15874" width="15.140625" style="4" customWidth="1"/>
    <col min="15875" max="15875" width="21.5703125" style="4" customWidth="1"/>
    <col min="15876" max="15876" width="16" style="4" customWidth="1"/>
    <col min="15877" max="15877" width="45" style="4" customWidth="1"/>
    <col min="15878" max="15878" width="11.42578125" style="4" customWidth="1"/>
    <col min="15879" max="15880" width="15" style="4" customWidth="1"/>
    <col min="15881" max="15895" width="11.42578125" style="4" customWidth="1"/>
    <col min="15896" max="15896" width="13" style="4" customWidth="1"/>
    <col min="15897" max="15897" width="26.28515625" style="4" customWidth="1"/>
    <col min="15898" max="15898" width="49" style="4" customWidth="1"/>
    <col min="15899" max="15899" width="24.28515625" style="4" customWidth="1"/>
    <col min="15900" max="15900" width="22.28515625" style="4" customWidth="1"/>
    <col min="15901" max="15901" width="14.85546875" style="4" customWidth="1"/>
    <col min="15902" max="15902" width="26.5703125" style="4" customWidth="1"/>
    <col min="15903" max="15903" width="64.28515625" style="4" customWidth="1"/>
    <col min="15904" max="15904" width="13" style="4" customWidth="1"/>
    <col min="15905" max="15905" width="11.5703125" style="4"/>
    <col min="15906" max="15906" width="65.140625" style="4" customWidth="1"/>
    <col min="15907" max="15907" width="17.5703125" style="4" customWidth="1"/>
    <col min="15908" max="15908" width="13.5703125" style="4" customWidth="1"/>
    <col min="15909" max="15909" width="11.5703125" style="4"/>
    <col min="15910" max="15910" width="53.42578125" style="4" customWidth="1"/>
    <col min="15911" max="15911" width="16.7109375" style="4" customWidth="1"/>
    <col min="15912" max="15912" width="14.28515625" style="4" customWidth="1"/>
    <col min="15913" max="15913" width="11.5703125" style="4"/>
    <col min="15914" max="15914" width="82.85546875" style="4" customWidth="1"/>
    <col min="15915" max="15915" width="24.85546875" style="4" customWidth="1"/>
    <col min="15916" max="15916" width="13" style="4" customWidth="1"/>
    <col min="15917" max="15917" width="11.5703125" style="4"/>
    <col min="15918" max="15918" width="55.42578125" style="4" customWidth="1"/>
    <col min="15919" max="15919" width="29.140625" style="4" customWidth="1"/>
    <col min="15920" max="16128" width="11.5703125" style="4"/>
    <col min="16129" max="16129" width="16.85546875" style="4" customWidth="1"/>
    <col min="16130" max="16130" width="15.140625" style="4" customWidth="1"/>
    <col min="16131" max="16131" width="21.5703125" style="4" customWidth="1"/>
    <col min="16132" max="16132" width="16" style="4" customWidth="1"/>
    <col min="16133" max="16133" width="45" style="4" customWidth="1"/>
    <col min="16134" max="16134" width="11.42578125" style="4" customWidth="1"/>
    <col min="16135" max="16136" width="15" style="4" customWidth="1"/>
    <col min="16137" max="16151" width="11.42578125" style="4" customWidth="1"/>
    <col min="16152" max="16152" width="13" style="4" customWidth="1"/>
    <col min="16153" max="16153" width="26.28515625" style="4" customWidth="1"/>
    <col min="16154" max="16154" width="49" style="4" customWidth="1"/>
    <col min="16155" max="16155" width="24.28515625" style="4" customWidth="1"/>
    <col min="16156" max="16156" width="22.28515625" style="4" customWidth="1"/>
    <col min="16157" max="16157" width="14.85546875" style="4" customWidth="1"/>
    <col min="16158" max="16158" width="26.5703125" style="4" customWidth="1"/>
    <col min="16159" max="16159" width="64.28515625" style="4" customWidth="1"/>
    <col min="16160" max="16160" width="13" style="4" customWidth="1"/>
    <col min="16161" max="16161" width="11.5703125" style="4"/>
    <col min="16162" max="16162" width="65.140625" style="4" customWidth="1"/>
    <col min="16163" max="16163" width="17.5703125" style="4" customWidth="1"/>
    <col min="16164" max="16164" width="13.5703125" style="4" customWidth="1"/>
    <col min="16165" max="16165" width="11.5703125" style="4"/>
    <col min="16166" max="16166" width="53.42578125" style="4" customWidth="1"/>
    <col min="16167" max="16167" width="16.7109375" style="4" customWidth="1"/>
    <col min="16168" max="16168" width="14.28515625" style="4" customWidth="1"/>
    <col min="16169" max="16169" width="11.5703125" style="4"/>
    <col min="16170" max="16170" width="82.85546875" style="4" customWidth="1"/>
    <col min="16171" max="16171" width="24.85546875" style="4" customWidth="1"/>
    <col min="16172" max="16172" width="13" style="4" customWidth="1"/>
    <col min="16173" max="16173" width="11.5703125" style="4"/>
    <col min="16174" max="16174" width="55.42578125" style="4" customWidth="1"/>
    <col min="16175" max="16175" width="29.140625" style="4" customWidth="1"/>
    <col min="16176" max="16384" width="11.5703125" style="4"/>
  </cols>
  <sheetData>
    <row r="1" spans="1:47" ht="12.75" customHeight="1" thickBot="1">
      <c r="A1" s="1"/>
      <c r="B1" s="1"/>
      <c r="C1" s="1"/>
      <c r="D1" s="1"/>
      <c r="E1" s="1"/>
      <c r="F1" s="2" t="s">
        <v>0</v>
      </c>
      <c r="G1" s="2"/>
      <c r="H1" s="2"/>
      <c r="I1" s="2"/>
      <c r="J1" s="2"/>
      <c r="K1" s="2"/>
      <c r="L1" s="2"/>
      <c r="M1" s="2"/>
      <c r="N1" s="2"/>
      <c r="O1" s="2"/>
      <c r="P1" s="2"/>
      <c r="Q1" s="2"/>
      <c r="R1" s="2"/>
      <c r="S1" s="2"/>
      <c r="T1" s="2"/>
      <c r="U1" s="2"/>
      <c r="V1" s="2"/>
      <c r="W1" s="2"/>
      <c r="X1" s="2"/>
      <c r="Y1" s="2"/>
      <c r="Z1" s="2"/>
      <c r="AA1" s="2"/>
      <c r="AB1" s="2"/>
      <c r="AC1" s="2"/>
      <c r="AD1" s="3"/>
      <c r="AE1" s="3"/>
    </row>
    <row r="2" spans="1:47" ht="12.75" customHeight="1" thickBot="1">
      <c r="A2" s="1"/>
      <c r="B2" s="1"/>
      <c r="C2" s="1"/>
      <c r="D2" s="1"/>
      <c r="E2" s="1"/>
      <c r="F2" s="2" t="s">
        <v>1</v>
      </c>
      <c r="G2" s="2"/>
      <c r="H2" s="2"/>
      <c r="I2" s="2"/>
      <c r="J2" s="2"/>
      <c r="K2" s="2"/>
      <c r="L2" s="2"/>
      <c r="M2" s="2"/>
      <c r="N2" s="2"/>
      <c r="O2" s="2"/>
      <c r="P2" s="2"/>
      <c r="Q2" s="2"/>
      <c r="R2" s="2"/>
      <c r="S2" s="2"/>
      <c r="T2" s="2"/>
      <c r="U2" s="2"/>
      <c r="V2" s="2"/>
      <c r="W2" s="2"/>
      <c r="X2" s="2"/>
      <c r="Y2" s="2"/>
      <c r="Z2" s="2"/>
      <c r="AA2" s="2"/>
      <c r="AB2" s="2"/>
      <c r="AC2" s="2"/>
      <c r="AD2" s="3"/>
      <c r="AE2" s="3"/>
    </row>
    <row r="3" spans="1:47" ht="15.6" customHeight="1">
      <c r="A3" s="1"/>
      <c r="B3" s="1"/>
      <c r="C3" s="1"/>
      <c r="D3" s="1"/>
      <c r="E3" s="1"/>
      <c r="F3" s="5" t="s">
        <v>2</v>
      </c>
      <c r="G3" s="5"/>
      <c r="H3" s="5"/>
      <c r="I3" s="5"/>
      <c r="J3" s="5"/>
      <c r="K3" s="5"/>
      <c r="L3" s="5"/>
      <c r="M3" s="5"/>
      <c r="N3" s="5"/>
      <c r="O3" s="5"/>
      <c r="P3" s="5"/>
      <c r="Q3" s="5"/>
      <c r="R3" s="5"/>
      <c r="S3" s="5"/>
      <c r="T3" s="5"/>
      <c r="U3" s="5"/>
      <c r="V3" s="5"/>
      <c r="W3" s="5"/>
      <c r="X3" s="5"/>
      <c r="Y3" s="5"/>
      <c r="Z3" s="5"/>
      <c r="AA3" s="5"/>
      <c r="AB3" s="5"/>
      <c r="AC3" s="5"/>
      <c r="AD3" s="6"/>
      <c r="AE3" s="6"/>
    </row>
    <row r="4" spans="1:47" ht="41.1" customHeight="1">
      <c r="A4" s="7" t="s">
        <v>3</v>
      </c>
      <c r="B4" s="7"/>
      <c r="C4" s="7"/>
      <c r="D4" s="7"/>
      <c r="E4" s="7"/>
      <c r="F4" s="8" t="s">
        <v>4</v>
      </c>
      <c r="G4" s="8"/>
      <c r="H4" s="8"/>
      <c r="I4" s="8"/>
      <c r="J4" s="8"/>
      <c r="K4" s="8"/>
      <c r="L4" s="8"/>
      <c r="M4" s="8"/>
      <c r="N4" s="8"/>
      <c r="O4" s="8"/>
      <c r="P4" s="8"/>
      <c r="Q4" s="8"/>
      <c r="R4" s="8"/>
      <c r="S4" s="8"/>
      <c r="T4" s="8"/>
      <c r="U4" s="8"/>
      <c r="V4" s="8"/>
      <c r="W4" s="8"/>
      <c r="X4" s="8"/>
      <c r="Y4" s="8"/>
      <c r="Z4" s="8"/>
      <c r="AA4" s="8"/>
      <c r="AB4" s="8"/>
      <c r="AC4" s="8"/>
      <c r="AD4" s="9"/>
      <c r="AE4" s="9"/>
    </row>
    <row r="5" spans="1:47" ht="15.6" customHeight="1">
      <c r="A5" s="7" t="s">
        <v>5</v>
      </c>
      <c r="B5" s="7"/>
      <c r="C5" s="7"/>
      <c r="D5" s="7"/>
      <c r="E5" s="7"/>
      <c r="F5" s="10" t="s">
        <v>6</v>
      </c>
      <c r="G5" s="10"/>
      <c r="H5" s="10"/>
      <c r="I5" s="10"/>
      <c r="J5" s="10"/>
      <c r="K5" s="10"/>
      <c r="L5" s="10"/>
      <c r="M5" s="10"/>
      <c r="N5" s="10"/>
      <c r="O5" s="10"/>
      <c r="P5" s="10"/>
      <c r="Q5" s="10"/>
      <c r="R5" s="10"/>
      <c r="S5" s="10"/>
      <c r="T5" s="10"/>
      <c r="U5" s="10"/>
      <c r="V5" s="10"/>
      <c r="W5" s="10"/>
      <c r="X5" s="10"/>
      <c r="Y5" s="10"/>
      <c r="Z5" s="10"/>
      <c r="AA5" s="10"/>
      <c r="AB5" s="10"/>
      <c r="AC5" s="10"/>
      <c r="AD5" s="11"/>
      <c r="AE5" s="11"/>
    </row>
    <row r="6" spans="1:47" ht="15.6" customHeight="1">
      <c r="A6" s="12" t="s">
        <v>7</v>
      </c>
      <c r="B6" s="12"/>
      <c r="C6" s="12"/>
      <c r="D6" s="12"/>
      <c r="E6" s="12"/>
      <c r="F6" s="13">
        <v>42067</v>
      </c>
      <c r="G6" s="13"/>
      <c r="H6" s="13"/>
      <c r="I6" s="13"/>
      <c r="J6" s="13"/>
      <c r="K6" s="13"/>
      <c r="L6" s="13"/>
      <c r="M6" s="13"/>
      <c r="N6" s="13"/>
      <c r="O6" s="13"/>
      <c r="P6" s="13"/>
      <c r="Q6" s="13"/>
      <c r="R6" s="13"/>
      <c r="S6" s="13"/>
      <c r="T6" s="13"/>
      <c r="U6" s="13"/>
      <c r="V6" s="13"/>
      <c r="W6" s="13"/>
      <c r="X6" s="13"/>
      <c r="Y6" s="13"/>
      <c r="Z6" s="13"/>
      <c r="AA6" s="13"/>
      <c r="AB6" s="13"/>
      <c r="AC6" s="13"/>
      <c r="AD6" s="11"/>
      <c r="AE6" s="11"/>
    </row>
    <row r="7" spans="1:47" ht="15.6" customHeight="1" thickBot="1">
      <c r="A7" s="14" t="s">
        <v>8</v>
      </c>
      <c r="B7" s="14"/>
      <c r="C7" s="14"/>
      <c r="D7" s="14"/>
      <c r="E7" s="14"/>
      <c r="F7" s="15" t="s">
        <v>9</v>
      </c>
      <c r="G7" s="15"/>
      <c r="H7" s="15"/>
      <c r="I7" s="15"/>
      <c r="J7" s="15"/>
      <c r="K7" s="15"/>
      <c r="L7" s="15"/>
      <c r="M7" s="15"/>
      <c r="N7" s="15"/>
      <c r="O7" s="15"/>
      <c r="P7" s="15"/>
      <c r="Q7" s="15"/>
      <c r="R7" s="15"/>
      <c r="S7" s="15"/>
      <c r="T7" s="15"/>
      <c r="U7" s="15"/>
      <c r="V7" s="15"/>
      <c r="W7" s="15"/>
      <c r="X7" s="15"/>
      <c r="Y7" s="15"/>
      <c r="Z7" s="15"/>
      <c r="AA7" s="15"/>
      <c r="AB7" s="15"/>
      <c r="AC7" s="15"/>
      <c r="AD7" s="16"/>
      <c r="AE7" s="16"/>
    </row>
    <row r="8" spans="1:47" ht="15.6" customHeight="1" thickBot="1">
      <c r="A8" s="17" t="s">
        <v>10</v>
      </c>
      <c r="B8" s="17" t="s">
        <v>11</v>
      </c>
      <c r="C8" s="18" t="s">
        <v>12</v>
      </c>
      <c r="D8" s="19" t="s">
        <v>13</v>
      </c>
      <c r="E8" s="20" t="s">
        <v>14</v>
      </c>
      <c r="F8" s="21" t="s">
        <v>15</v>
      </c>
      <c r="G8" s="20" t="s">
        <v>16</v>
      </c>
      <c r="H8" s="20" t="s">
        <v>17</v>
      </c>
      <c r="I8" s="20" t="s">
        <v>18</v>
      </c>
      <c r="J8" s="20"/>
      <c r="K8" s="20"/>
      <c r="L8" s="20"/>
      <c r="M8" s="20"/>
      <c r="N8" s="20"/>
      <c r="O8" s="20"/>
      <c r="P8" s="20"/>
      <c r="Q8" s="20"/>
      <c r="R8" s="20"/>
      <c r="S8" s="20"/>
      <c r="T8" s="20"/>
      <c r="U8" s="20"/>
      <c r="V8" s="20"/>
      <c r="W8" s="20"/>
      <c r="X8" s="20"/>
      <c r="Y8" s="22" t="s">
        <v>19</v>
      </c>
      <c r="Z8" s="22"/>
      <c r="AA8" s="22"/>
      <c r="AB8" s="22"/>
      <c r="AC8" s="22"/>
      <c r="AD8" s="22"/>
      <c r="AE8" s="22"/>
      <c r="AF8" s="23"/>
      <c r="AG8" s="23"/>
      <c r="AH8" s="23"/>
      <c r="AI8" s="23"/>
      <c r="AJ8" s="23"/>
      <c r="AK8" s="23"/>
      <c r="AL8" s="23"/>
      <c r="AM8" s="23"/>
      <c r="AN8" s="23"/>
      <c r="AO8" s="23"/>
      <c r="AP8" s="23"/>
      <c r="AQ8" s="23"/>
      <c r="AR8" s="23"/>
      <c r="AS8" s="23"/>
      <c r="AT8" s="23"/>
      <c r="AU8" s="23"/>
    </row>
    <row r="9" spans="1:47" ht="53.65" customHeight="1" thickBot="1">
      <c r="A9" s="17"/>
      <c r="B9" s="17"/>
      <c r="C9" s="18"/>
      <c r="D9" s="19"/>
      <c r="E9" s="20"/>
      <c r="F9" s="21"/>
      <c r="G9" s="20"/>
      <c r="H9" s="20"/>
      <c r="I9" s="20" t="s">
        <v>20</v>
      </c>
      <c r="J9" s="20"/>
      <c r="K9" s="20"/>
      <c r="L9" s="20" t="s">
        <v>21</v>
      </c>
      <c r="M9" s="20"/>
      <c r="N9" s="20"/>
      <c r="O9" s="20" t="s">
        <v>22</v>
      </c>
      <c r="P9" s="20"/>
      <c r="Q9" s="20"/>
      <c r="R9" s="20" t="s">
        <v>23</v>
      </c>
      <c r="S9" s="20"/>
      <c r="T9" s="20"/>
      <c r="U9" s="20" t="s">
        <v>24</v>
      </c>
      <c r="V9" s="20"/>
      <c r="W9" s="20"/>
      <c r="X9" s="24" t="s">
        <v>25</v>
      </c>
      <c r="Y9" s="20" t="s">
        <v>26</v>
      </c>
      <c r="Z9" s="20" t="s">
        <v>27</v>
      </c>
      <c r="AA9" s="20" t="s">
        <v>28</v>
      </c>
      <c r="AB9" s="20"/>
      <c r="AC9" s="25" t="s">
        <v>29</v>
      </c>
      <c r="AD9" s="25" t="s">
        <v>30</v>
      </c>
      <c r="AE9" s="25" t="s">
        <v>31</v>
      </c>
      <c r="AF9" s="23"/>
      <c r="AG9" s="23"/>
      <c r="AH9" s="23"/>
      <c r="AI9" s="23"/>
      <c r="AJ9" s="23"/>
      <c r="AK9" s="23"/>
      <c r="AL9" s="23"/>
      <c r="AM9" s="23"/>
      <c r="AN9" s="23"/>
      <c r="AO9" s="23"/>
      <c r="AP9" s="23"/>
      <c r="AQ9" s="23"/>
      <c r="AR9" s="23"/>
      <c r="AS9" s="23"/>
      <c r="AT9" s="23"/>
      <c r="AU9" s="23"/>
    </row>
    <row r="10" spans="1:47" ht="29.85" customHeight="1" thickTop="1" thickBot="1">
      <c r="A10" s="17"/>
      <c r="B10" s="17"/>
      <c r="C10" s="18"/>
      <c r="D10" s="19"/>
      <c r="E10" s="20"/>
      <c r="F10" s="21"/>
      <c r="G10" s="20"/>
      <c r="H10" s="20"/>
      <c r="I10" s="20" t="s">
        <v>32</v>
      </c>
      <c r="J10" s="20" t="s">
        <v>33</v>
      </c>
      <c r="K10" s="20" t="s">
        <v>34</v>
      </c>
      <c r="L10" s="20" t="s">
        <v>32</v>
      </c>
      <c r="M10" s="20" t="s">
        <v>33</v>
      </c>
      <c r="N10" s="20" t="s">
        <v>34</v>
      </c>
      <c r="O10" s="20" t="s">
        <v>32</v>
      </c>
      <c r="P10" s="20" t="s">
        <v>33</v>
      </c>
      <c r="Q10" s="20" t="s">
        <v>34</v>
      </c>
      <c r="R10" s="20" t="s">
        <v>32</v>
      </c>
      <c r="S10" s="20" t="s">
        <v>33</v>
      </c>
      <c r="T10" s="20" t="s">
        <v>34</v>
      </c>
      <c r="U10" s="20" t="s">
        <v>32</v>
      </c>
      <c r="V10" s="20" t="s">
        <v>33</v>
      </c>
      <c r="W10" s="20" t="s">
        <v>34</v>
      </c>
      <c r="X10" s="26">
        <f>SUM(X12:X60)</f>
        <v>0.92030789566518967</v>
      </c>
      <c r="Y10" s="20"/>
      <c r="Z10" s="20"/>
      <c r="AA10" s="27" t="s">
        <v>35</v>
      </c>
      <c r="AB10" s="27" t="s">
        <v>36</v>
      </c>
      <c r="AC10" s="25"/>
      <c r="AD10" s="25"/>
      <c r="AE10" s="25"/>
      <c r="AF10" s="28" t="s">
        <v>37</v>
      </c>
      <c r="AG10" s="28" t="s">
        <v>37</v>
      </c>
      <c r="AH10" s="28" t="s">
        <v>37</v>
      </c>
      <c r="AI10" s="28" t="s">
        <v>37</v>
      </c>
      <c r="AJ10" s="29" t="s">
        <v>38</v>
      </c>
      <c r="AK10" s="29" t="s">
        <v>37</v>
      </c>
      <c r="AL10" s="29" t="s">
        <v>37</v>
      </c>
      <c r="AM10" s="29" t="s">
        <v>37</v>
      </c>
      <c r="AN10" s="29" t="s">
        <v>39</v>
      </c>
      <c r="AO10" s="29" t="s">
        <v>39</v>
      </c>
      <c r="AP10" s="29" t="s">
        <v>39</v>
      </c>
      <c r="AQ10" s="29" t="s">
        <v>39</v>
      </c>
      <c r="AR10" s="29" t="s">
        <v>40</v>
      </c>
      <c r="AS10" s="29" t="s">
        <v>39</v>
      </c>
      <c r="AT10" s="29" t="s">
        <v>39</v>
      </c>
      <c r="AU10" s="29" t="s">
        <v>39</v>
      </c>
    </row>
    <row r="11" spans="1:47" ht="42.75" customHeight="1" thickTop="1" thickBot="1">
      <c r="A11" s="17"/>
      <c r="B11" s="17"/>
      <c r="C11" s="30" t="s">
        <v>41</v>
      </c>
      <c r="D11" s="19"/>
      <c r="E11" s="20"/>
      <c r="F11" s="21"/>
      <c r="G11" s="20"/>
      <c r="H11" s="20"/>
      <c r="I11" s="20"/>
      <c r="J11" s="20"/>
      <c r="K11" s="20"/>
      <c r="L11" s="20"/>
      <c r="M11" s="20"/>
      <c r="N11" s="20"/>
      <c r="O11" s="20"/>
      <c r="P11" s="20"/>
      <c r="Q11" s="20"/>
      <c r="R11" s="20"/>
      <c r="S11" s="20"/>
      <c r="T11" s="20"/>
      <c r="U11" s="20"/>
      <c r="V11" s="20"/>
      <c r="W11" s="20"/>
      <c r="X11" s="26"/>
      <c r="Y11" s="20"/>
      <c r="Z11" s="20"/>
      <c r="AA11" s="27"/>
      <c r="AB11" s="27"/>
      <c r="AC11" s="25"/>
      <c r="AD11" s="25"/>
      <c r="AE11" s="25"/>
      <c r="AF11" s="31" t="s">
        <v>42</v>
      </c>
      <c r="AG11" s="32" t="s">
        <v>43</v>
      </c>
      <c r="AH11" s="32" t="s">
        <v>44</v>
      </c>
      <c r="AI11" s="33" t="s">
        <v>45</v>
      </c>
      <c r="AJ11" s="34" t="s">
        <v>42</v>
      </c>
      <c r="AK11" s="34" t="s">
        <v>43</v>
      </c>
      <c r="AL11" s="34" t="s">
        <v>44</v>
      </c>
      <c r="AM11" s="34" t="s">
        <v>45</v>
      </c>
      <c r="AN11" s="34" t="s">
        <v>42</v>
      </c>
      <c r="AO11" s="34" t="s">
        <v>43</v>
      </c>
      <c r="AP11" s="34" t="s">
        <v>44</v>
      </c>
      <c r="AQ11" s="34" t="s">
        <v>45</v>
      </c>
      <c r="AR11" s="34" t="s">
        <v>42</v>
      </c>
      <c r="AS11" s="34" t="s">
        <v>43</v>
      </c>
      <c r="AT11" s="34" t="s">
        <v>44</v>
      </c>
      <c r="AU11" s="34" t="s">
        <v>45</v>
      </c>
    </row>
    <row r="12" spans="1:47" ht="129.19999999999999" customHeight="1" thickTop="1" thickBot="1">
      <c r="A12" s="35" t="s">
        <v>46</v>
      </c>
      <c r="B12" s="36"/>
      <c r="C12" s="36" t="s">
        <v>47</v>
      </c>
      <c r="D12" s="37">
        <v>8</v>
      </c>
      <c r="E12" s="38" t="s">
        <v>48</v>
      </c>
      <c r="F12" s="39">
        <v>0.03</v>
      </c>
      <c r="G12" s="40" t="s">
        <v>49</v>
      </c>
      <c r="H12" s="41" t="s">
        <v>50</v>
      </c>
      <c r="I12" s="42">
        <v>0</v>
      </c>
      <c r="J12" s="43">
        <f>AG12</f>
        <v>0</v>
      </c>
      <c r="K12" s="44" t="str">
        <f>IF(ISERROR(J12/I12),"",(J12/I12))</f>
        <v/>
      </c>
      <c r="L12" s="45">
        <v>1</v>
      </c>
      <c r="M12" s="46">
        <f>AK12</f>
        <v>0</v>
      </c>
      <c r="N12" s="47">
        <f>IF(ISERROR(M12/L12),"",(M12/L12))</f>
        <v>0</v>
      </c>
      <c r="O12" s="42">
        <v>0</v>
      </c>
      <c r="P12" s="43">
        <f>AO12</f>
        <v>1</v>
      </c>
      <c r="Q12" s="44" t="str">
        <f>IF(ISERROR(P12/O12),"",(P12/O12))</f>
        <v/>
      </c>
      <c r="R12" s="45">
        <v>1</v>
      </c>
      <c r="S12" s="46">
        <f>AS12</f>
        <v>2</v>
      </c>
      <c r="T12" s="47">
        <f>IF(ISERROR(S12/R12),"",(S12/R12))</f>
        <v>2</v>
      </c>
      <c r="U12" s="48">
        <f t="shared" ref="U12:V14" si="0">SUM(I12,L12,O12,R12)</f>
        <v>2</v>
      </c>
      <c r="V12" s="49">
        <f t="shared" si="0"/>
        <v>3</v>
      </c>
      <c r="W12" s="50">
        <f>IF((IF(ISERROR(V12/U12),0,(V12/U12)))&gt;1,1,(IF(ISERROR(V12/U12),0,(V12/U12))))</f>
        <v>1</v>
      </c>
      <c r="X12" s="50">
        <f>F12*W12</f>
        <v>0.03</v>
      </c>
      <c r="Y12" s="51" t="s">
        <v>51</v>
      </c>
      <c r="Z12" s="51" t="s">
        <v>52</v>
      </c>
      <c r="AA12" s="52" t="s">
        <v>53</v>
      </c>
      <c r="AB12" s="53" t="s">
        <v>54</v>
      </c>
      <c r="AC12" s="54" t="s">
        <v>55</v>
      </c>
      <c r="AD12" s="55" t="s">
        <v>56</v>
      </c>
      <c r="AE12" s="54"/>
      <c r="AF12" s="56">
        <f t="shared" ref="AF12:AF60" si="1">I12</f>
        <v>0</v>
      </c>
      <c r="AG12" s="56">
        <v>0</v>
      </c>
      <c r="AH12" s="57" t="s">
        <v>57</v>
      </c>
      <c r="AI12" s="57" t="s">
        <v>57</v>
      </c>
      <c r="AJ12" s="58">
        <f t="shared" ref="AJ12:AJ60" si="2">L12</f>
        <v>1</v>
      </c>
      <c r="AK12" s="58">
        <v>0</v>
      </c>
      <c r="AL12" s="59" t="s">
        <v>58</v>
      </c>
      <c r="AM12" s="60"/>
      <c r="AN12" s="56">
        <f t="shared" ref="AN12:AN60" si="3">O12</f>
        <v>0</v>
      </c>
      <c r="AO12" s="61">
        <v>1</v>
      </c>
      <c r="AP12" s="62" t="s">
        <v>59</v>
      </c>
      <c r="AQ12" s="62" t="s">
        <v>60</v>
      </c>
      <c r="AR12" s="58">
        <f t="shared" ref="AR12:AR60" si="4">R12</f>
        <v>1</v>
      </c>
      <c r="AS12" s="63">
        <v>2</v>
      </c>
      <c r="AT12" s="64" t="s">
        <v>61</v>
      </c>
      <c r="AU12" s="64" t="s">
        <v>62</v>
      </c>
    </row>
    <row r="13" spans="1:47" ht="169.7" customHeight="1" thickTop="1" thickBot="1">
      <c r="A13" s="35"/>
      <c r="B13" s="36"/>
      <c r="C13" s="36"/>
      <c r="D13" s="65">
        <v>9</v>
      </c>
      <c r="E13" s="66" t="s">
        <v>63</v>
      </c>
      <c r="F13" s="39">
        <v>0.02</v>
      </c>
      <c r="G13" s="67" t="s">
        <v>49</v>
      </c>
      <c r="H13" s="68" t="s">
        <v>50</v>
      </c>
      <c r="I13" s="69">
        <v>1</v>
      </c>
      <c r="J13" s="43">
        <f>AG13</f>
        <v>1</v>
      </c>
      <c r="K13" s="44">
        <f>IF(ISERROR(J13/I13),"",(J13/I13))</f>
        <v>1</v>
      </c>
      <c r="L13" s="70">
        <v>0</v>
      </c>
      <c r="M13" s="46">
        <f>AK13</f>
        <v>0</v>
      </c>
      <c r="N13" s="47" t="str">
        <f>IF(ISERROR(M13/L13),"",(M13/L13))</f>
        <v/>
      </c>
      <c r="O13" s="69">
        <v>0</v>
      </c>
      <c r="P13" s="43">
        <f>AO13</f>
        <v>0</v>
      </c>
      <c r="Q13" s="44" t="str">
        <f>IF(ISERROR(P13/O13),"",(P13/O13))</f>
        <v/>
      </c>
      <c r="R13" s="70">
        <v>0</v>
      </c>
      <c r="S13" s="46">
        <f>AS13</f>
        <v>0</v>
      </c>
      <c r="T13" s="47" t="str">
        <f>IF(ISERROR(S13/R13),"",(S13/R13))</f>
        <v/>
      </c>
      <c r="U13" s="48">
        <f t="shared" si="0"/>
        <v>1</v>
      </c>
      <c r="V13" s="49">
        <f t="shared" si="0"/>
        <v>1</v>
      </c>
      <c r="W13" s="50">
        <f>IF((IF(ISERROR(V13/U13),0,(V13/U13)))&gt;1,1,(IF(ISERROR(V13/U13),0,(V13/U13))))</f>
        <v>1</v>
      </c>
      <c r="X13" s="50">
        <f>F13*W13</f>
        <v>0.02</v>
      </c>
      <c r="Y13" s="71" t="s">
        <v>64</v>
      </c>
      <c r="Z13" s="71" t="s">
        <v>65</v>
      </c>
      <c r="AA13" s="72" t="s">
        <v>66</v>
      </c>
      <c r="AB13" s="72" t="s">
        <v>67</v>
      </c>
      <c r="AC13" s="73" t="s">
        <v>55</v>
      </c>
      <c r="AD13" s="55" t="s">
        <v>68</v>
      </c>
      <c r="AE13" s="73"/>
      <c r="AF13" s="56">
        <f t="shared" si="1"/>
        <v>1</v>
      </c>
      <c r="AG13" s="56">
        <v>1</v>
      </c>
      <c r="AH13" s="57" t="s">
        <v>69</v>
      </c>
      <c r="AI13" s="57" t="s">
        <v>70</v>
      </c>
      <c r="AJ13" s="58">
        <f t="shared" si="2"/>
        <v>0</v>
      </c>
      <c r="AK13" s="58">
        <v>0</v>
      </c>
      <c r="AL13" s="59" t="s">
        <v>57</v>
      </c>
      <c r="AM13" s="60" t="s">
        <v>57</v>
      </c>
      <c r="AN13" s="56">
        <f t="shared" si="3"/>
        <v>0</v>
      </c>
      <c r="AO13" s="61"/>
      <c r="AP13" s="62"/>
      <c r="AQ13" s="62"/>
      <c r="AR13" s="58">
        <f t="shared" si="4"/>
        <v>0</v>
      </c>
      <c r="AS13" s="74">
        <v>0</v>
      </c>
      <c r="AT13" s="75" t="s">
        <v>57</v>
      </c>
      <c r="AU13" s="75" t="s">
        <v>57</v>
      </c>
    </row>
    <row r="14" spans="1:47" ht="205.9" customHeight="1" thickTop="1" thickBot="1">
      <c r="A14" s="35"/>
      <c r="B14" s="36"/>
      <c r="C14" s="36"/>
      <c r="D14" s="76">
        <v>10</v>
      </c>
      <c r="E14" s="77" t="s">
        <v>71</v>
      </c>
      <c r="F14" s="39">
        <v>0.02</v>
      </c>
      <c r="G14" s="78" t="s">
        <v>49</v>
      </c>
      <c r="H14" s="79" t="s">
        <v>50</v>
      </c>
      <c r="I14" s="80">
        <v>2</v>
      </c>
      <c r="J14" s="43">
        <f>AG14</f>
        <v>2</v>
      </c>
      <c r="K14" s="44">
        <f>IF(ISERROR(J14/I14),"",(J14/I14))</f>
        <v>1</v>
      </c>
      <c r="L14" s="81">
        <v>0</v>
      </c>
      <c r="M14" s="46">
        <f>AK14</f>
        <v>0</v>
      </c>
      <c r="N14" s="47" t="str">
        <f>IF(ISERROR(M14/L14),"",(M14/L14))</f>
        <v/>
      </c>
      <c r="O14" s="80">
        <v>2</v>
      </c>
      <c r="P14" s="43">
        <f>AO14</f>
        <v>2</v>
      </c>
      <c r="Q14" s="44">
        <f>IF(ISERROR(P14/O14),"",(P14/O14))</f>
        <v>1</v>
      </c>
      <c r="R14" s="81">
        <v>2</v>
      </c>
      <c r="S14" s="46">
        <f>AS14</f>
        <v>2</v>
      </c>
      <c r="T14" s="47">
        <f>IF(ISERROR(S14/R14),"",(S14/R14))</f>
        <v>1</v>
      </c>
      <c r="U14" s="48">
        <f t="shared" si="0"/>
        <v>6</v>
      </c>
      <c r="V14" s="49">
        <f t="shared" si="0"/>
        <v>6</v>
      </c>
      <c r="W14" s="50">
        <f>IF((IF(ISERROR(V14/U14),0,(V14/U14)))&gt;1,1,(IF(ISERROR(V14/U14),0,(V14/U14))))</f>
        <v>1</v>
      </c>
      <c r="X14" s="50">
        <f>F14*W14</f>
        <v>0.02</v>
      </c>
      <c r="Y14" s="82" t="s">
        <v>72</v>
      </c>
      <c r="Z14" s="82" t="s">
        <v>73</v>
      </c>
      <c r="AA14" s="83" t="s">
        <v>74</v>
      </c>
      <c r="AB14" s="83" t="s">
        <v>75</v>
      </c>
      <c r="AC14" s="84" t="s">
        <v>55</v>
      </c>
      <c r="AD14" s="55" t="s">
        <v>76</v>
      </c>
      <c r="AE14" s="84"/>
      <c r="AF14" s="56">
        <f t="shared" si="1"/>
        <v>2</v>
      </c>
      <c r="AG14" s="56">
        <v>2</v>
      </c>
      <c r="AH14" s="85" t="s">
        <v>77</v>
      </c>
      <c r="AI14" s="86" t="s">
        <v>78</v>
      </c>
      <c r="AJ14" s="58">
        <f t="shared" si="2"/>
        <v>0</v>
      </c>
      <c r="AK14" s="58">
        <v>0</v>
      </c>
      <c r="AL14" s="87" t="s">
        <v>57</v>
      </c>
      <c r="AM14" s="88" t="s">
        <v>57</v>
      </c>
      <c r="AN14" s="56">
        <f t="shared" si="3"/>
        <v>2</v>
      </c>
      <c r="AO14" s="61">
        <v>2</v>
      </c>
      <c r="AP14" s="89" t="s">
        <v>79</v>
      </c>
      <c r="AQ14" s="90" t="s">
        <v>80</v>
      </c>
      <c r="AR14" s="58">
        <f t="shared" si="4"/>
        <v>2</v>
      </c>
      <c r="AS14" s="74">
        <v>2</v>
      </c>
      <c r="AT14" s="91" t="s">
        <v>81</v>
      </c>
      <c r="AU14" s="64" t="s">
        <v>62</v>
      </c>
    </row>
    <row r="15" spans="1:47" ht="58.7" customHeight="1" thickBot="1">
      <c r="A15" s="92"/>
      <c r="B15" s="92"/>
      <c r="C15" s="93" t="s">
        <v>82</v>
      </c>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f t="shared" si="1"/>
        <v>0</v>
      </c>
      <c r="AG15" s="94"/>
      <c r="AH15" s="94"/>
      <c r="AI15" s="94"/>
      <c r="AJ15" s="94">
        <f t="shared" si="2"/>
        <v>0</v>
      </c>
      <c r="AK15" s="94"/>
      <c r="AL15" s="94"/>
      <c r="AM15" s="94"/>
      <c r="AN15" s="94">
        <f t="shared" si="3"/>
        <v>0</v>
      </c>
      <c r="AO15" s="94"/>
      <c r="AP15" s="94"/>
      <c r="AQ15" s="94"/>
      <c r="AR15" s="94">
        <f t="shared" si="4"/>
        <v>0</v>
      </c>
      <c r="AS15" s="94"/>
      <c r="AT15" s="94"/>
      <c r="AU15" s="94"/>
    </row>
    <row r="16" spans="1:47" ht="159" customHeight="1" thickTop="1" thickBot="1">
      <c r="A16" s="95" t="s">
        <v>46</v>
      </c>
      <c r="B16" s="96"/>
      <c r="C16" s="97" t="s">
        <v>83</v>
      </c>
      <c r="D16" s="37">
        <v>1</v>
      </c>
      <c r="E16" s="98" t="s">
        <v>84</v>
      </c>
      <c r="F16" s="99">
        <v>0.02</v>
      </c>
      <c r="G16" s="40" t="s">
        <v>85</v>
      </c>
      <c r="H16" s="41" t="s">
        <v>86</v>
      </c>
      <c r="I16" s="100">
        <v>1</v>
      </c>
      <c r="J16" s="101">
        <f t="shared" ref="J16:J22" si="5">AG16</f>
        <v>1</v>
      </c>
      <c r="K16" s="44">
        <f t="shared" ref="K16:K22" si="6">IF(ISERROR(J16/I16),"",(J16/I16))</f>
        <v>1</v>
      </c>
      <c r="L16" s="102">
        <v>1</v>
      </c>
      <c r="M16" s="103">
        <f t="shared" ref="M16:M22" si="7">AK16</f>
        <v>1</v>
      </c>
      <c r="N16" s="47">
        <f t="shared" ref="N16:N22" si="8">IF(ISERROR(M16/L16),"",(M16/L16))</f>
        <v>1</v>
      </c>
      <c r="O16" s="100">
        <v>1</v>
      </c>
      <c r="P16" s="101">
        <f t="shared" ref="P16:P22" si="9">AO16</f>
        <v>1</v>
      </c>
      <c r="Q16" s="44">
        <f t="shared" ref="Q16:Q22" si="10">IF(ISERROR(P16/O16),"",(P16/O16))</f>
        <v>1</v>
      </c>
      <c r="R16" s="102">
        <v>1</v>
      </c>
      <c r="S16" s="103">
        <f t="shared" ref="S16:S22" si="11">AS16</f>
        <v>1</v>
      </c>
      <c r="T16" s="47">
        <f t="shared" ref="T16:T22" si="12">IF(ISERROR(S16/R16),"",(S16/R16))</f>
        <v>1</v>
      </c>
      <c r="U16" s="104">
        <f>SUM(I16,L16,O16,R16)/4</f>
        <v>1</v>
      </c>
      <c r="V16" s="104">
        <f>SUM(J16,M16,P16,S16)/4</f>
        <v>1</v>
      </c>
      <c r="W16" s="50">
        <f t="shared" ref="W16:W22" si="13">IF((IF(ISERROR(V16/U16),0,(V16/U16)))&gt;1,1,(IF(ISERROR(V16/U16),0,(V16/U16))))</f>
        <v>1</v>
      </c>
      <c r="X16" s="50">
        <f t="shared" ref="X16:X22" si="14">F16*W16</f>
        <v>0.02</v>
      </c>
      <c r="Y16" s="105" t="s">
        <v>87</v>
      </c>
      <c r="Z16" s="105" t="s">
        <v>88</v>
      </c>
      <c r="AA16" s="106" t="s">
        <v>89</v>
      </c>
      <c r="AB16" s="106" t="s">
        <v>90</v>
      </c>
      <c r="AC16" s="107" t="s">
        <v>55</v>
      </c>
      <c r="AD16" s="108" t="s">
        <v>91</v>
      </c>
      <c r="AE16" s="108"/>
      <c r="AF16" s="109">
        <f t="shared" si="1"/>
        <v>1</v>
      </c>
      <c r="AG16" s="110">
        <f>3/3</f>
        <v>1</v>
      </c>
      <c r="AH16" s="111" t="s">
        <v>92</v>
      </c>
      <c r="AI16" s="111" t="s">
        <v>93</v>
      </c>
      <c r="AJ16" s="112">
        <f t="shared" si="2"/>
        <v>1</v>
      </c>
      <c r="AK16" s="112">
        <f>5/5</f>
        <v>1</v>
      </c>
      <c r="AL16" s="113" t="s">
        <v>94</v>
      </c>
      <c r="AM16" s="114" t="s">
        <v>93</v>
      </c>
      <c r="AN16" s="109">
        <f t="shared" si="3"/>
        <v>1</v>
      </c>
      <c r="AO16" s="115">
        <f>5/5</f>
        <v>1</v>
      </c>
      <c r="AP16" s="116" t="s">
        <v>95</v>
      </c>
      <c r="AQ16" s="116" t="s">
        <v>96</v>
      </c>
      <c r="AR16" s="112">
        <f t="shared" si="4"/>
        <v>1</v>
      </c>
      <c r="AS16" s="117">
        <f>3/3</f>
        <v>1</v>
      </c>
      <c r="AT16" s="118" t="s">
        <v>97</v>
      </c>
      <c r="AU16" s="118" t="s">
        <v>96</v>
      </c>
    </row>
    <row r="17" spans="1:47" ht="138.4" customHeight="1" thickTop="1" thickBot="1">
      <c r="A17" s="95"/>
      <c r="B17" s="95"/>
      <c r="C17" s="97"/>
      <c r="D17" s="37">
        <v>2</v>
      </c>
      <c r="E17" s="119" t="s">
        <v>98</v>
      </c>
      <c r="F17" s="99">
        <v>0.03</v>
      </c>
      <c r="G17" s="67" t="s">
        <v>85</v>
      </c>
      <c r="H17" s="68" t="s">
        <v>99</v>
      </c>
      <c r="I17" s="120">
        <v>0.25</v>
      </c>
      <c r="J17" s="121">
        <f t="shared" si="5"/>
        <v>0.39002914709962755</v>
      </c>
      <c r="K17" s="44">
        <f t="shared" si="6"/>
        <v>1.5601165883985102</v>
      </c>
      <c r="L17" s="122">
        <v>0.5</v>
      </c>
      <c r="M17" s="123">
        <f t="shared" si="7"/>
        <v>0.38843923922187712</v>
      </c>
      <c r="N17" s="47">
        <f t="shared" si="8"/>
        <v>0.77687847844375424</v>
      </c>
      <c r="O17" s="120">
        <v>0.7</v>
      </c>
      <c r="P17" s="121">
        <f t="shared" si="9"/>
        <v>0.758871337216243</v>
      </c>
      <c r="Q17" s="44">
        <f t="shared" si="10"/>
        <v>1.0841019103089187</v>
      </c>
      <c r="R17" s="124">
        <v>0.97</v>
      </c>
      <c r="S17" s="123">
        <f t="shared" si="11"/>
        <v>0.87744874217232605</v>
      </c>
      <c r="T17" s="47">
        <f t="shared" si="12"/>
        <v>0.90458633213641859</v>
      </c>
      <c r="U17" s="125">
        <f t="shared" ref="U17:V19" si="15">R17</f>
        <v>0.97</v>
      </c>
      <c r="V17" s="126">
        <f t="shared" si="15"/>
        <v>0.87744874217232605</v>
      </c>
      <c r="W17" s="127">
        <f t="shared" si="13"/>
        <v>0.90458633213641859</v>
      </c>
      <c r="X17" s="50">
        <f t="shared" si="14"/>
        <v>2.7137589964092556E-2</v>
      </c>
      <c r="Y17" s="128" t="s">
        <v>100</v>
      </c>
      <c r="Z17" s="128" t="s">
        <v>101</v>
      </c>
      <c r="AA17" s="129" t="s">
        <v>102</v>
      </c>
      <c r="AB17" s="130" t="s">
        <v>103</v>
      </c>
      <c r="AC17" s="131" t="s">
        <v>55</v>
      </c>
      <c r="AD17" s="73" t="s">
        <v>104</v>
      </c>
      <c r="AE17" s="132" t="s">
        <v>105</v>
      </c>
      <c r="AF17" s="110">
        <f t="shared" si="1"/>
        <v>0.25</v>
      </c>
      <c r="AG17" s="110">
        <f>5798417069/14866625000</f>
        <v>0.39002914709962755</v>
      </c>
      <c r="AH17" s="133" t="s">
        <v>106</v>
      </c>
      <c r="AI17" s="134" t="s">
        <v>107</v>
      </c>
      <c r="AJ17" s="135">
        <f t="shared" si="2"/>
        <v>0.5</v>
      </c>
      <c r="AK17" s="135">
        <f>8151842198/20986145000</f>
        <v>0.38843923922187712</v>
      </c>
      <c r="AL17" s="136" t="s">
        <v>108</v>
      </c>
      <c r="AM17" s="88" t="s">
        <v>107</v>
      </c>
      <c r="AN17" s="110">
        <f t="shared" si="3"/>
        <v>0.7</v>
      </c>
      <c r="AO17" s="137">
        <f>16037395812/21133221174</f>
        <v>0.758871337216243</v>
      </c>
      <c r="AP17" s="138" t="s">
        <v>109</v>
      </c>
      <c r="AQ17" s="139" t="s">
        <v>107</v>
      </c>
      <c r="AR17" s="112">
        <f t="shared" si="4"/>
        <v>0.97</v>
      </c>
      <c r="AS17" s="117">
        <f>19466060027/22184840084</f>
        <v>0.87744874217232605</v>
      </c>
      <c r="AT17" s="140" t="s">
        <v>110</v>
      </c>
      <c r="AU17" s="140" t="s">
        <v>107</v>
      </c>
    </row>
    <row r="18" spans="1:47" ht="142.35" customHeight="1" thickTop="1" thickBot="1">
      <c r="A18" s="95"/>
      <c r="B18" s="95"/>
      <c r="C18" s="97"/>
      <c r="D18" s="37">
        <v>3</v>
      </c>
      <c r="E18" s="119" t="s">
        <v>111</v>
      </c>
      <c r="F18" s="99">
        <v>0.03</v>
      </c>
      <c r="G18" s="67" t="s">
        <v>85</v>
      </c>
      <c r="H18" s="68" t="s">
        <v>99</v>
      </c>
      <c r="I18" s="120">
        <v>0.01</v>
      </c>
      <c r="J18" s="121">
        <f t="shared" si="5"/>
        <v>7.6787147049178946E-3</v>
      </c>
      <c r="K18" s="44">
        <f t="shared" si="6"/>
        <v>0.76787147049178939</v>
      </c>
      <c r="L18" s="124">
        <v>0.06</v>
      </c>
      <c r="M18" s="123">
        <f t="shared" si="7"/>
        <v>5.1365865145790238E-2</v>
      </c>
      <c r="N18" s="47">
        <f t="shared" si="8"/>
        <v>0.85609775242983732</v>
      </c>
      <c r="O18" s="120">
        <v>0.16</v>
      </c>
      <c r="P18" s="121">
        <f t="shared" si="9"/>
        <v>0.10823234613254515</v>
      </c>
      <c r="Q18" s="44">
        <f t="shared" si="10"/>
        <v>0.67645216332840719</v>
      </c>
      <c r="R18" s="124">
        <v>0.28999999999999998</v>
      </c>
      <c r="S18" s="123">
        <f t="shared" si="11"/>
        <v>0.37487620859606824</v>
      </c>
      <c r="T18" s="47">
        <f t="shared" si="12"/>
        <v>1.2926765813657526</v>
      </c>
      <c r="U18" s="125">
        <f t="shared" si="15"/>
        <v>0.28999999999999998</v>
      </c>
      <c r="V18" s="126">
        <f t="shared" si="15"/>
        <v>0.37487620859606824</v>
      </c>
      <c r="W18" s="127">
        <f t="shared" si="13"/>
        <v>1</v>
      </c>
      <c r="X18" s="50">
        <f t="shared" si="14"/>
        <v>0.03</v>
      </c>
      <c r="Y18" s="128" t="s">
        <v>112</v>
      </c>
      <c r="Z18" s="128" t="s">
        <v>113</v>
      </c>
      <c r="AA18" s="130" t="s">
        <v>114</v>
      </c>
      <c r="AB18" s="130" t="s">
        <v>115</v>
      </c>
      <c r="AC18" s="131" t="s">
        <v>55</v>
      </c>
      <c r="AD18" s="73" t="s">
        <v>116</v>
      </c>
      <c r="AE18" s="73" t="s">
        <v>117</v>
      </c>
      <c r="AF18" s="110">
        <f t="shared" si="1"/>
        <v>0.01</v>
      </c>
      <c r="AG18" s="110">
        <f>114156572/14866625000</f>
        <v>7.6787147049178946E-3</v>
      </c>
      <c r="AH18" s="133" t="s">
        <v>118</v>
      </c>
      <c r="AI18" s="134" t="s">
        <v>107</v>
      </c>
      <c r="AJ18" s="135">
        <f t="shared" si="2"/>
        <v>0.06</v>
      </c>
      <c r="AK18" s="135">
        <f>1077971494/20986145000</f>
        <v>5.1365865145790238E-2</v>
      </c>
      <c r="AL18" s="136" t="s">
        <v>119</v>
      </c>
      <c r="AM18" s="141" t="s">
        <v>107</v>
      </c>
      <c r="AN18" s="110">
        <f t="shared" si="3"/>
        <v>0.16</v>
      </c>
      <c r="AO18" s="137">
        <f>2287298109/21133221174</f>
        <v>0.10823234613254515</v>
      </c>
      <c r="AP18" s="142" t="s">
        <v>120</v>
      </c>
      <c r="AQ18" s="143" t="s">
        <v>107</v>
      </c>
      <c r="AR18" s="112">
        <f t="shared" si="4"/>
        <v>0.28999999999999998</v>
      </c>
      <c r="AS18" s="117">
        <f>8316568739/22184840084</f>
        <v>0.37487620859606824</v>
      </c>
      <c r="AT18" s="140" t="s">
        <v>121</v>
      </c>
      <c r="AU18" s="140" t="s">
        <v>107</v>
      </c>
    </row>
    <row r="19" spans="1:47" ht="197.1" customHeight="1" thickTop="1" thickBot="1">
      <c r="A19" s="95"/>
      <c r="B19" s="95"/>
      <c r="C19" s="97"/>
      <c r="D19" s="37">
        <v>4</v>
      </c>
      <c r="E19" s="144" t="s">
        <v>122</v>
      </c>
      <c r="F19" s="99">
        <v>0.03</v>
      </c>
      <c r="G19" s="67" t="s">
        <v>85</v>
      </c>
      <c r="H19" s="68" t="s">
        <v>99</v>
      </c>
      <c r="I19" s="120">
        <v>7.0000000000000007E-2</v>
      </c>
      <c r="J19" s="121">
        <f t="shared" si="5"/>
        <v>0.21024075280520116</v>
      </c>
      <c r="K19" s="44">
        <f t="shared" si="6"/>
        <v>3.0034393257885879</v>
      </c>
      <c r="L19" s="124">
        <v>0.27</v>
      </c>
      <c r="M19" s="123">
        <f t="shared" si="7"/>
        <v>0.45757857572071503</v>
      </c>
      <c r="N19" s="47">
        <f t="shared" si="8"/>
        <v>1.6947354656322777</v>
      </c>
      <c r="O19" s="120">
        <v>0.47</v>
      </c>
      <c r="P19" s="121">
        <f t="shared" si="9"/>
        <v>0.66576233316257039</v>
      </c>
      <c r="Q19" s="44">
        <f t="shared" si="10"/>
        <v>1.4165156024735541</v>
      </c>
      <c r="R19" s="124">
        <v>0.65</v>
      </c>
      <c r="S19" s="123">
        <f t="shared" si="11"/>
        <v>0.92944236854158568</v>
      </c>
      <c r="T19" s="47">
        <f t="shared" si="12"/>
        <v>1.4299113362178242</v>
      </c>
      <c r="U19" s="125">
        <f t="shared" si="15"/>
        <v>0.65</v>
      </c>
      <c r="V19" s="126">
        <f t="shared" si="15"/>
        <v>0.92944236854158568</v>
      </c>
      <c r="W19" s="127">
        <f t="shared" si="13"/>
        <v>1</v>
      </c>
      <c r="X19" s="50">
        <f t="shared" si="14"/>
        <v>0.03</v>
      </c>
      <c r="Y19" s="145" t="s">
        <v>123</v>
      </c>
      <c r="Z19" s="128" t="s">
        <v>124</v>
      </c>
      <c r="AA19" s="129" t="s">
        <v>125</v>
      </c>
      <c r="AB19" s="130" t="s">
        <v>126</v>
      </c>
      <c r="AC19" s="131" t="s">
        <v>55</v>
      </c>
      <c r="AD19" s="73" t="s">
        <v>127</v>
      </c>
      <c r="AE19" s="73" t="s">
        <v>128</v>
      </c>
      <c r="AF19" s="110">
        <f t="shared" si="1"/>
        <v>7.0000000000000007E-2</v>
      </c>
      <c r="AG19" s="110">
        <f>3433505638/16331303956</f>
        <v>0.21024075280520116</v>
      </c>
      <c r="AH19" s="133" t="s">
        <v>129</v>
      </c>
      <c r="AI19" s="134" t="s">
        <v>107</v>
      </c>
      <c r="AJ19" s="135">
        <f t="shared" si="2"/>
        <v>0.27</v>
      </c>
      <c r="AK19" s="135">
        <f>7473769961/16333303956</f>
        <v>0.45757857572071503</v>
      </c>
      <c r="AL19" s="136" t="s">
        <v>130</v>
      </c>
      <c r="AM19" s="141" t="s">
        <v>107</v>
      </c>
      <c r="AN19" s="110">
        <f t="shared" si="3"/>
        <v>0.47</v>
      </c>
      <c r="AO19" s="137">
        <f>10874098550/16333303956</f>
        <v>0.66576233316257039</v>
      </c>
      <c r="AP19" s="138" t="s">
        <v>131</v>
      </c>
      <c r="AQ19" s="143" t="s">
        <v>107</v>
      </c>
      <c r="AR19" s="112">
        <f t="shared" si="4"/>
        <v>0.65</v>
      </c>
      <c r="AS19" s="146">
        <f>14022742874/15087264524</f>
        <v>0.92944236854158568</v>
      </c>
      <c r="AT19" s="147" t="s">
        <v>132</v>
      </c>
      <c r="AU19" s="148" t="s">
        <v>107</v>
      </c>
    </row>
    <row r="20" spans="1:47" ht="187.15" customHeight="1" thickTop="1" thickBot="1">
      <c r="A20" s="95"/>
      <c r="B20" s="95"/>
      <c r="C20" s="97"/>
      <c r="D20" s="37">
        <v>5</v>
      </c>
      <c r="E20" s="144" t="s">
        <v>133</v>
      </c>
      <c r="F20" s="99">
        <v>0.03</v>
      </c>
      <c r="G20" s="67" t="s">
        <v>85</v>
      </c>
      <c r="H20" s="68" t="s">
        <v>86</v>
      </c>
      <c r="I20" s="120">
        <v>0.97</v>
      </c>
      <c r="J20" s="121">
        <f t="shared" si="5"/>
        <v>0.99487520824304254</v>
      </c>
      <c r="K20" s="44">
        <f t="shared" si="6"/>
        <v>1.0256445445804563</v>
      </c>
      <c r="L20" s="124">
        <v>0.97</v>
      </c>
      <c r="M20" s="123">
        <f t="shared" si="7"/>
        <v>0.99971420539004585</v>
      </c>
      <c r="N20" s="47">
        <f t="shared" si="8"/>
        <v>1.030633201433037</v>
      </c>
      <c r="O20" s="120">
        <v>0.97</v>
      </c>
      <c r="P20" s="121">
        <f t="shared" si="9"/>
        <v>0.99825567748908028</v>
      </c>
      <c r="Q20" s="44">
        <f t="shared" si="10"/>
        <v>1.0291295644217322</v>
      </c>
      <c r="R20" s="124">
        <v>0.97</v>
      </c>
      <c r="S20" s="123">
        <f t="shared" si="11"/>
        <v>0.99909410160821677</v>
      </c>
      <c r="T20" s="47">
        <f t="shared" si="12"/>
        <v>1.0299939191837286</v>
      </c>
      <c r="U20" s="125">
        <f>SUM(I20,L20,O20,R20)/4</f>
        <v>0.97</v>
      </c>
      <c r="V20" s="50">
        <f>SUM(J20,M20,P20,S20)/4</f>
        <v>0.99798479818259633</v>
      </c>
      <c r="W20" s="127">
        <f t="shared" si="13"/>
        <v>1</v>
      </c>
      <c r="X20" s="50">
        <f t="shared" si="14"/>
        <v>0.03</v>
      </c>
      <c r="Y20" s="128" t="s">
        <v>134</v>
      </c>
      <c r="Z20" s="128" t="s">
        <v>135</v>
      </c>
      <c r="AA20" s="130" t="s">
        <v>136</v>
      </c>
      <c r="AB20" s="130" t="s">
        <v>137</v>
      </c>
      <c r="AC20" s="131" t="s">
        <v>55</v>
      </c>
      <c r="AD20" s="55" t="s">
        <v>107</v>
      </c>
      <c r="AE20" s="55" t="s">
        <v>107</v>
      </c>
      <c r="AF20" s="110">
        <f t="shared" si="1"/>
        <v>0.97</v>
      </c>
      <c r="AG20" s="110">
        <f>3579956492/3598397530</f>
        <v>0.99487520824304254</v>
      </c>
      <c r="AH20" s="149" t="s">
        <v>138</v>
      </c>
      <c r="AI20" s="134" t="s">
        <v>139</v>
      </c>
      <c r="AJ20" s="135">
        <f t="shared" si="2"/>
        <v>0.97</v>
      </c>
      <c r="AK20" s="135">
        <f>5085062804/5086516503</f>
        <v>0.99971420539004585</v>
      </c>
      <c r="AL20" s="150" t="s">
        <v>140</v>
      </c>
      <c r="AM20" s="141" t="s">
        <v>139</v>
      </c>
      <c r="AN20" s="110">
        <f t="shared" si="3"/>
        <v>0.97</v>
      </c>
      <c r="AO20" s="137">
        <f>4786433704/4794797377</f>
        <v>0.99825567748908028</v>
      </c>
      <c r="AP20" s="151" t="s">
        <v>141</v>
      </c>
      <c r="AQ20" s="143" t="s">
        <v>139</v>
      </c>
      <c r="AR20" s="135">
        <f t="shared" si="4"/>
        <v>0.97</v>
      </c>
      <c r="AS20" s="117">
        <f>9394284888/9402802872</f>
        <v>0.99909410160821677</v>
      </c>
      <c r="AT20" s="152" t="s">
        <v>142</v>
      </c>
      <c r="AU20" s="148" t="s">
        <v>139</v>
      </c>
    </row>
    <row r="21" spans="1:47" ht="163.15" customHeight="1" thickTop="1" thickBot="1">
      <c r="A21" s="95"/>
      <c r="B21" s="95"/>
      <c r="C21" s="97"/>
      <c r="D21" s="37">
        <v>6</v>
      </c>
      <c r="E21" s="144" t="s">
        <v>143</v>
      </c>
      <c r="F21" s="99">
        <v>0.02</v>
      </c>
      <c r="G21" s="153" t="s">
        <v>85</v>
      </c>
      <c r="H21" s="154" t="s">
        <v>86</v>
      </c>
      <c r="I21" s="120">
        <v>1</v>
      </c>
      <c r="J21" s="121">
        <f t="shared" si="5"/>
        <v>0</v>
      </c>
      <c r="K21" s="44">
        <f t="shared" si="6"/>
        <v>0</v>
      </c>
      <c r="L21" s="124">
        <v>1</v>
      </c>
      <c r="M21" s="123">
        <f t="shared" si="7"/>
        <v>1</v>
      </c>
      <c r="N21" s="47">
        <f t="shared" si="8"/>
        <v>1</v>
      </c>
      <c r="O21" s="120">
        <v>1</v>
      </c>
      <c r="P21" s="121">
        <f t="shared" si="9"/>
        <v>1</v>
      </c>
      <c r="Q21" s="44">
        <f t="shared" si="10"/>
        <v>1</v>
      </c>
      <c r="R21" s="124">
        <v>1</v>
      </c>
      <c r="S21" s="123">
        <f t="shared" si="11"/>
        <v>1</v>
      </c>
      <c r="T21" s="47">
        <f t="shared" si="12"/>
        <v>1</v>
      </c>
      <c r="U21" s="125">
        <f>SUM(I21,L21,O21,R21)/4</f>
        <v>1</v>
      </c>
      <c r="V21" s="50">
        <f>SUM(J21,M21,P21,S21)/4</f>
        <v>0.75</v>
      </c>
      <c r="W21" s="127">
        <f t="shared" si="13"/>
        <v>0.75</v>
      </c>
      <c r="X21" s="50">
        <f t="shared" si="14"/>
        <v>1.4999999999999999E-2</v>
      </c>
      <c r="Y21" s="128" t="s">
        <v>144</v>
      </c>
      <c r="Z21" s="128" t="s">
        <v>145</v>
      </c>
      <c r="AA21" s="68" t="s">
        <v>146</v>
      </c>
      <c r="AB21" s="129" t="s">
        <v>147</v>
      </c>
      <c r="AC21" s="131" t="s">
        <v>55</v>
      </c>
      <c r="AD21" s="73" t="s">
        <v>148</v>
      </c>
      <c r="AE21" s="73" t="s">
        <v>149</v>
      </c>
      <c r="AF21" s="110">
        <f t="shared" si="1"/>
        <v>1</v>
      </c>
      <c r="AG21" s="110">
        <v>0</v>
      </c>
      <c r="AH21" s="134" t="s">
        <v>150</v>
      </c>
      <c r="AI21" s="134" t="s">
        <v>57</v>
      </c>
      <c r="AJ21" s="135">
        <f t="shared" si="2"/>
        <v>1</v>
      </c>
      <c r="AK21" s="135">
        <f>46/46</f>
        <v>1</v>
      </c>
      <c r="AL21" s="150" t="s">
        <v>151</v>
      </c>
      <c r="AM21" s="141" t="s">
        <v>152</v>
      </c>
      <c r="AN21" s="110">
        <f t="shared" si="3"/>
        <v>1</v>
      </c>
      <c r="AO21" s="137">
        <f>83/83</f>
        <v>1</v>
      </c>
      <c r="AP21" s="155" t="s">
        <v>153</v>
      </c>
      <c r="AQ21" s="143" t="s">
        <v>152</v>
      </c>
      <c r="AR21" s="135">
        <f t="shared" si="4"/>
        <v>1</v>
      </c>
      <c r="AS21" s="156">
        <f>103/103</f>
        <v>1</v>
      </c>
      <c r="AT21" s="147" t="s">
        <v>154</v>
      </c>
      <c r="AU21" s="157" t="s">
        <v>152</v>
      </c>
    </row>
    <row r="22" spans="1:47" ht="168.6" customHeight="1" thickTop="1" thickBot="1">
      <c r="A22" s="95"/>
      <c r="B22" s="95"/>
      <c r="C22" s="97"/>
      <c r="D22" s="37">
        <v>7</v>
      </c>
      <c r="E22" s="144" t="s">
        <v>155</v>
      </c>
      <c r="F22" s="99">
        <v>0.02</v>
      </c>
      <c r="G22" s="153" t="s">
        <v>85</v>
      </c>
      <c r="H22" s="154" t="s">
        <v>99</v>
      </c>
      <c r="I22" s="120">
        <v>0.2</v>
      </c>
      <c r="J22" s="121">
        <f t="shared" si="5"/>
        <v>0</v>
      </c>
      <c r="K22" s="44">
        <f t="shared" si="6"/>
        <v>0</v>
      </c>
      <c r="L22" s="124">
        <v>0.4</v>
      </c>
      <c r="M22" s="123">
        <f t="shared" si="7"/>
        <v>1</v>
      </c>
      <c r="N22" s="47">
        <f t="shared" si="8"/>
        <v>2.5</v>
      </c>
      <c r="O22" s="120">
        <v>0.6</v>
      </c>
      <c r="P22" s="121">
        <f t="shared" si="9"/>
        <v>1</v>
      </c>
      <c r="Q22" s="44">
        <f t="shared" si="10"/>
        <v>1.6666666666666667</v>
      </c>
      <c r="R22" s="124">
        <v>1</v>
      </c>
      <c r="S22" s="123">
        <f t="shared" si="11"/>
        <v>1</v>
      </c>
      <c r="T22" s="47">
        <f t="shared" si="12"/>
        <v>1</v>
      </c>
      <c r="U22" s="125">
        <f>R22</f>
        <v>1</v>
      </c>
      <c r="V22" s="50">
        <f>S22</f>
        <v>1</v>
      </c>
      <c r="W22" s="127">
        <f t="shared" si="13"/>
        <v>1</v>
      </c>
      <c r="X22" s="50">
        <f t="shared" si="14"/>
        <v>0.02</v>
      </c>
      <c r="Y22" s="128" t="s">
        <v>156</v>
      </c>
      <c r="Z22" s="128" t="s">
        <v>157</v>
      </c>
      <c r="AA22" s="68" t="s">
        <v>158</v>
      </c>
      <c r="AB22" s="129" t="s">
        <v>159</v>
      </c>
      <c r="AC22" s="131" t="s">
        <v>55</v>
      </c>
      <c r="AD22" s="73" t="s">
        <v>148</v>
      </c>
      <c r="AE22" s="73" t="s">
        <v>160</v>
      </c>
      <c r="AF22" s="110">
        <f t="shared" si="1"/>
        <v>0.2</v>
      </c>
      <c r="AG22" s="110">
        <v>0</v>
      </c>
      <c r="AH22" s="134" t="s">
        <v>150</v>
      </c>
      <c r="AI22" s="134" t="s">
        <v>57</v>
      </c>
      <c r="AJ22" s="135">
        <f t="shared" si="2"/>
        <v>0.4</v>
      </c>
      <c r="AK22" s="135">
        <f>46/46</f>
        <v>1</v>
      </c>
      <c r="AL22" s="150" t="s">
        <v>161</v>
      </c>
      <c r="AM22" s="141" t="s">
        <v>152</v>
      </c>
      <c r="AN22" s="110">
        <f t="shared" si="3"/>
        <v>0.6</v>
      </c>
      <c r="AO22" s="137">
        <f>83/83</f>
        <v>1</v>
      </c>
      <c r="AP22" s="155" t="s">
        <v>162</v>
      </c>
      <c r="AQ22" s="143" t="s">
        <v>152</v>
      </c>
      <c r="AR22" s="135">
        <f t="shared" si="4"/>
        <v>1</v>
      </c>
      <c r="AS22" s="156">
        <f>103/103</f>
        <v>1</v>
      </c>
      <c r="AT22" s="147" t="s">
        <v>154</v>
      </c>
      <c r="AU22" s="157" t="s">
        <v>152</v>
      </c>
    </row>
    <row r="23" spans="1:47" ht="51.4" customHeight="1" thickBot="1">
      <c r="A23" s="158"/>
      <c r="B23" s="158"/>
      <c r="C23" s="159" t="s">
        <v>163</v>
      </c>
      <c r="D23" s="160"/>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f t="shared" si="1"/>
        <v>0</v>
      </c>
      <c r="AG23" s="161"/>
      <c r="AH23" s="161"/>
      <c r="AI23" s="161"/>
      <c r="AJ23" s="161">
        <f t="shared" si="2"/>
        <v>0</v>
      </c>
      <c r="AK23" s="161"/>
      <c r="AL23" s="161"/>
      <c r="AM23" s="161"/>
      <c r="AN23" s="161">
        <f t="shared" si="3"/>
        <v>0</v>
      </c>
      <c r="AO23" s="161"/>
      <c r="AP23" s="161"/>
      <c r="AQ23" s="161"/>
      <c r="AR23" s="161">
        <f t="shared" si="4"/>
        <v>0</v>
      </c>
      <c r="AS23" s="161"/>
      <c r="AT23" s="161"/>
      <c r="AU23" s="161"/>
    </row>
    <row r="24" spans="1:47" ht="245.85" customHeight="1" thickTop="1" thickBot="1">
      <c r="A24" s="162" t="s">
        <v>164</v>
      </c>
      <c r="B24" s="162"/>
      <c r="C24" s="163" t="s">
        <v>165</v>
      </c>
      <c r="D24" s="164">
        <v>1</v>
      </c>
      <c r="E24" s="165" t="s">
        <v>166</v>
      </c>
      <c r="F24" s="166">
        <v>0.02</v>
      </c>
      <c r="G24" s="67" t="s">
        <v>85</v>
      </c>
      <c r="H24" s="41" t="s">
        <v>86</v>
      </c>
      <c r="I24" s="100">
        <v>1</v>
      </c>
      <c r="J24" s="167">
        <f t="shared" ref="J24:J42" si="16">AG24</f>
        <v>0.99373040752351094</v>
      </c>
      <c r="K24" s="44">
        <f t="shared" ref="K24:K40" si="17">IF(ISERROR(J24/I24),"",(J24/I24))</f>
        <v>0.99373040752351094</v>
      </c>
      <c r="L24" s="102">
        <v>1</v>
      </c>
      <c r="M24" s="168">
        <f t="shared" ref="M24:M42" si="18">AK24</f>
        <v>0.98973305954825463</v>
      </c>
      <c r="N24" s="47">
        <f t="shared" ref="N24:N40" si="19">IF(ISERROR(M24/L24),"",(M24/L24))</f>
        <v>0.98973305954825463</v>
      </c>
      <c r="O24" s="100">
        <v>1</v>
      </c>
      <c r="P24" s="167">
        <f t="shared" ref="P24:P42" si="20">AO24</f>
        <v>0.9867424242424242</v>
      </c>
      <c r="Q24" s="44">
        <f t="shared" ref="Q24:Q40" si="21">IF(ISERROR(P24/O24),"",(P24/O24))</f>
        <v>0.9867424242424242</v>
      </c>
      <c r="R24" s="102">
        <v>1</v>
      </c>
      <c r="S24" s="168">
        <f t="shared" ref="S24:S42" si="22">AS24</f>
        <v>0.95809523809523811</v>
      </c>
      <c r="T24" s="47">
        <f t="shared" ref="T24:T40" si="23">IF(ISERROR(S24/R24),"",(S24/R24))</f>
        <v>0.95809523809523811</v>
      </c>
      <c r="U24" s="104">
        <f>SUM(I24,L24,O24,R24)/4</f>
        <v>1</v>
      </c>
      <c r="V24" s="169">
        <f>SUM(J24,M24,P24,S24)/4</f>
        <v>0.98207528235235708</v>
      </c>
      <c r="W24" s="127">
        <f t="shared" ref="W24:W40" si="24">IF((IF(ISERROR(V24/U24),0,(V24/U24)))&gt;1,1,(IF(ISERROR(V24/U24),0,(V24/U24))))</f>
        <v>0.98207528235235708</v>
      </c>
      <c r="X24" s="50">
        <f t="shared" ref="X24:X42" si="25">F24*W24</f>
        <v>1.9641505647047142E-2</v>
      </c>
      <c r="Y24" s="165" t="s">
        <v>167</v>
      </c>
      <c r="Z24" s="165" t="s">
        <v>168</v>
      </c>
      <c r="AA24" s="170" t="s">
        <v>169</v>
      </c>
      <c r="AB24" s="170" t="s">
        <v>170</v>
      </c>
      <c r="AC24" s="171" t="s">
        <v>55</v>
      </c>
      <c r="AD24" s="172" t="s">
        <v>171</v>
      </c>
      <c r="AE24" s="173" t="s">
        <v>172</v>
      </c>
      <c r="AF24" s="110">
        <f t="shared" si="1"/>
        <v>1</v>
      </c>
      <c r="AG24" s="110">
        <f>634/638</f>
        <v>0.99373040752351094</v>
      </c>
      <c r="AH24" s="174" t="s">
        <v>173</v>
      </c>
      <c r="AI24" s="175" t="s">
        <v>174</v>
      </c>
      <c r="AJ24" s="135">
        <f t="shared" si="2"/>
        <v>1</v>
      </c>
      <c r="AK24" s="135">
        <f>482/487</f>
        <v>0.98973305954825463</v>
      </c>
      <c r="AL24" s="176" t="s">
        <v>175</v>
      </c>
      <c r="AM24" s="177" t="s">
        <v>176</v>
      </c>
      <c r="AN24" s="110">
        <f t="shared" si="3"/>
        <v>1</v>
      </c>
      <c r="AO24" s="137">
        <f>+(528-7)/528</f>
        <v>0.9867424242424242</v>
      </c>
      <c r="AP24" s="178" t="s">
        <v>177</v>
      </c>
      <c r="AQ24" s="177" t="s">
        <v>176</v>
      </c>
      <c r="AR24" s="135">
        <f t="shared" si="4"/>
        <v>1</v>
      </c>
      <c r="AS24" s="179">
        <f>503/525</f>
        <v>0.95809523809523811</v>
      </c>
      <c r="AT24" s="118" t="s">
        <v>178</v>
      </c>
      <c r="AU24" s="118" t="s">
        <v>176</v>
      </c>
    </row>
    <row r="25" spans="1:47" ht="215.85" customHeight="1" thickTop="1" thickBot="1">
      <c r="A25" s="162"/>
      <c r="B25" s="162"/>
      <c r="C25" s="163"/>
      <c r="D25" s="164">
        <v>2</v>
      </c>
      <c r="E25" s="165" t="s">
        <v>179</v>
      </c>
      <c r="F25" s="166">
        <v>0</v>
      </c>
      <c r="G25" s="67" t="s">
        <v>85</v>
      </c>
      <c r="H25" s="68" t="s">
        <v>50</v>
      </c>
      <c r="I25" s="120">
        <v>0</v>
      </c>
      <c r="J25" s="121">
        <f t="shared" si="16"/>
        <v>0</v>
      </c>
      <c r="K25" s="44" t="str">
        <f t="shared" si="17"/>
        <v/>
      </c>
      <c r="L25" s="124">
        <v>0</v>
      </c>
      <c r="M25" s="123">
        <f t="shared" si="18"/>
        <v>0</v>
      </c>
      <c r="N25" s="47" t="str">
        <f t="shared" si="19"/>
        <v/>
      </c>
      <c r="O25" s="120">
        <v>0</v>
      </c>
      <c r="P25" s="121">
        <f t="shared" si="20"/>
        <v>0</v>
      </c>
      <c r="Q25" s="44" t="str">
        <f t="shared" si="21"/>
        <v/>
      </c>
      <c r="R25" s="124">
        <v>0</v>
      </c>
      <c r="S25" s="123">
        <f t="shared" si="22"/>
        <v>0</v>
      </c>
      <c r="T25" s="47" t="str">
        <f t="shared" si="23"/>
        <v/>
      </c>
      <c r="U25" s="125">
        <f t="shared" ref="U25:V37" si="26">SUM(I25,L25,O25,R25)</f>
        <v>0</v>
      </c>
      <c r="V25" s="180">
        <f t="shared" si="26"/>
        <v>0</v>
      </c>
      <c r="W25" s="50">
        <f t="shared" si="24"/>
        <v>0</v>
      </c>
      <c r="X25" s="50">
        <f t="shared" si="25"/>
        <v>0</v>
      </c>
      <c r="Y25" s="181" t="s">
        <v>180</v>
      </c>
      <c r="Z25" s="181" t="s">
        <v>181</v>
      </c>
      <c r="AA25" s="182" t="s">
        <v>182</v>
      </c>
      <c r="AB25" s="182" t="s">
        <v>183</v>
      </c>
      <c r="AC25" s="183" t="s">
        <v>55</v>
      </c>
      <c r="AD25" s="184" t="s">
        <v>184</v>
      </c>
      <c r="AE25" s="185" t="s">
        <v>185</v>
      </c>
      <c r="AF25" s="110">
        <f t="shared" si="1"/>
        <v>0</v>
      </c>
      <c r="AG25" s="110">
        <v>0</v>
      </c>
      <c r="AH25" s="57" t="s">
        <v>57</v>
      </c>
      <c r="AI25" s="57" t="s">
        <v>57</v>
      </c>
      <c r="AJ25" s="135">
        <f t="shared" si="2"/>
        <v>0</v>
      </c>
      <c r="AK25" s="135">
        <v>0</v>
      </c>
      <c r="AL25" s="59" t="s">
        <v>57</v>
      </c>
      <c r="AM25" s="60" t="s">
        <v>57</v>
      </c>
      <c r="AN25" s="110">
        <f t="shared" si="3"/>
        <v>0</v>
      </c>
      <c r="AO25" s="137">
        <v>0</v>
      </c>
      <c r="AP25" s="186" t="s">
        <v>57</v>
      </c>
      <c r="AQ25" s="187" t="s">
        <v>57</v>
      </c>
      <c r="AR25" s="135">
        <f t="shared" si="4"/>
        <v>0</v>
      </c>
      <c r="AS25" s="179">
        <v>0</v>
      </c>
      <c r="AT25" s="148" t="s">
        <v>57</v>
      </c>
      <c r="AU25" s="148" t="s">
        <v>57</v>
      </c>
    </row>
    <row r="26" spans="1:47" ht="210.95" customHeight="1" thickTop="1" thickBot="1">
      <c r="A26" s="162"/>
      <c r="B26" s="162"/>
      <c r="C26" s="163"/>
      <c r="D26" s="164">
        <v>3</v>
      </c>
      <c r="E26" s="188" t="s">
        <v>186</v>
      </c>
      <c r="F26" s="166">
        <v>0</v>
      </c>
      <c r="G26" s="67" t="s">
        <v>85</v>
      </c>
      <c r="H26" s="68" t="s">
        <v>50</v>
      </c>
      <c r="I26" s="120">
        <v>0</v>
      </c>
      <c r="J26" s="121">
        <f t="shared" si="16"/>
        <v>0</v>
      </c>
      <c r="K26" s="44" t="str">
        <f t="shared" si="17"/>
        <v/>
      </c>
      <c r="L26" s="124">
        <v>0</v>
      </c>
      <c r="M26" s="123">
        <f t="shared" si="18"/>
        <v>0</v>
      </c>
      <c r="N26" s="47" t="str">
        <f t="shared" si="19"/>
        <v/>
      </c>
      <c r="O26" s="120">
        <v>0</v>
      </c>
      <c r="P26" s="121">
        <f t="shared" si="20"/>
        <v>0</v>
      </c>
      <c r="Q26" s="44" t="str">
        <f t="shared" si="21"/>
        <v/>
      </c>
      <c r="R26" s="124">
        <v>0</v>
      </c>
      <c r="S26" s="123">
        <f t="shared" si="22"/>
        <v>0</v>
      </c>
      <c r="T26" s="47" t="str">
        <f t="shared" si="23"/>
        <v/>
      </c>
      <c r="U26" s="125">
        <f t="shared" si="26"/>
        <v>0</v>
      </c>
      <c r="V26" s="180">
        <f t="shared" si="26"/>
        <v>0</v>
      </c>
      <c r="W26" s="50">
        <f t="shared" si="24"/>
        <v>0</v>
      </c>
      <c r="X26" s="50">
        <f t="shared" si="25"/>
        <v>0</v>
      </c>
      <c r="Y26" s="181" t="s">
        <v>187</v>
      </c>
      <c r="Z26" s="181" t="s">
        <v>188</v>
      </c>
      <c r="AA26" s="182" t="s">
        <v>182</v>
      </c>
      <c r="AB26" s="182" t="s">
        <v>189</v>
      </c>
      <c r="AC26" s="183" t="s">
        <v>55</v>
      </c>
      <c r="AD26" s="184" t="s">
        <v>184</v>
      </c>
      <c r="AE26" s="185" t="s">
        <v>190</v>
      </c>
      <c r="AF26" s="110">
        <f t="shared" si="1"/>
        <v>0</v>
      </c>
      <c r="AG26" s="110">
        <v>0</v>
      </c>
      <c r="AH26" s="57" t="s">
        <v>57</v>
      </c>
      <c r="AI26" s="57" t="s">
        <v>57</v>
      </c>
      <c r="AJ26" s="135">
        <f t="shared" si="2"/>
        <v>0</v>
      </c>
      <c r="AK26" s="135">
        <v>0</v>
      </c>
      <c r="AL26" s="189" t="s">
        <v>57</v>
      </c>
      <c r="AM26" s="60" t="s">
        <v>57</v>
      </c>
      <c r="AN26" s="110">
        <f t="shared" si="3"/>
        <v>0</v>
      </c>
      <c r="AO26" s="137">
        <v>0</v>
      </c>
      <c r="AP26" s="190" t="s">
        <v>57</v>
      </c>
      <c r="AQ26" s="187" t="s">
        <v>57</v>
      </c>
      <c r="AR26" s="135">
        <f t="shared" si="4"/>
        <v>0</v>
      </c>
      <c r="AS26" s="179">
        <v>0</v>
      </c>
      <c r="AT26" s="148" t="s">
        <v>57</v>
      </c>
      <c r="AU26" s="148" t="s">
        <v>57</v>
      </c>
    </row>
    <row r="27" spans="1:47" ht="215.85" customHeight="1" thickTop="1" thickBot="1">
      <c r="A27" s="162"/>
      <c r="B27" s="162"/>
      <c r="C27" s="163"/>
      <c r="D27" s="164">
        <v>4</v>
      </c>
      <c r="E27" s="188" t="s">
        <v>191</v>
      </c>
      <c r="F27" s="166">
        <v>0</v>
      </c>
      <c r="G27" s="67" t="s">
        <v>85</v>
      </c>
      <c r="H27" s="68" t="s">
        <v>50</v>
      </c>
      <c r="I27" s="120">
        <v>0</v>
      </c>
      <c r="J27" s="167">
        <f t="shared" si="16"/>
        <v>0</v>
      </c>
      <c r="K27" s="44" t="str">
        <f t="shared" si="17"/>
        <v/>
      </c>
      <c r="L27" s="124">
        <v>0</v>
      </c>
      <c r="M27" s="168">
        <f t="shared" si="18"/>
        <v>0</v>
      </c>
      <c r="N27" s="47" t="str">
        <f t="shared" si="19"/>
        <v/>
      </c>
      <c r="O27" s="120">
        <v>0</v>
      </c>
      <c r="P27" s="167">
        <f t="shared" si="20"/>
        <v>0</v>
      </c>
      <c r="Q27" s="44" t="str">
        <f t="shared" si="21"/>
        <v/>
      </c>
      <c r="R27" s="124">
        <v>0</v>
      </c>
      <c r="S27" s="168">
        <f t="shared" si="22"/>
        <v>0</v>
      </c>
      <c r="T27" s="47" t="str">
        <f t="shared" si="23"/>
        <v/>
      </c>
      <c r="U27" s="104">
        <f t="shared" si="26"/>
        <v>0</v>
      </c>
      <c r="V27" s="169">
        <f t="shared" si="26"/>
        <v>0</v>
      </c>
      <c r="W27" s="50">
        <f t="shared" si="24"/>
        <v>0</v>
      </c>
      <c r="X27" s="50">
        <f t="shared" si="25"/>
        <v>0</v>
      </c>
      <c r="Y27" s="181" t="s">
        <v>192</v>
      </c>
      <c r="Z27" s="181" t="s">
        <v>193</v>
      </c>
      <c r="AA27" s="182" t="s">
        <v>194</v>
      </c>
      <c r="AB27" s="182" t="s">
        <v>195</v>
      </c>
      <c r="AC27" s="183" t="s">
        <v>55</v>
      </c>
      <c r="AD27" s="184" t="s">
        <v>184</v>
      </c>
      <c r="AE27" s="191" t="s">
        <v>196</v>
      </c>
      <c r="AF27" s="110">
        <f t="shared" si="1"/>
        <v>0</v>
      </c>
      <c r="AG27" s="110">
        <v>0</v>
      </c>
      <c r="AH27" s="57" t="s">
        <v>57</v>
      </c>
      <c r="AI27" s="57" t="s">
        <v>57</v>
      </c>
      <c r="AJ27" s="135">
        <f t="shared" si="2"/>
        <v>0</v>
      </c>
      <c r="AK27" s="135">
        <v>0</v>
      </c>
      <c r="AL27" s="192" t="s">
        <v>57</v>
      </c>
      <c r="AM27" s="141" t="s">
        <v>57</v>
      </c>
      <c r="AN27" s="110">
        <f t="shared" si="3"/>
        <v>0</v>
      </c>
      <c r="AO27" s="137">
        <v>0</v>
      </c>
      <c r="AP27" s="62" t="s">
        <v>57</v>
      </c>
      <c r="AQ27" s="193" t="s">
        <v>57</v>
      </c>
      <c r="AR27" s="135">
        <f t="shared" si="4"/>
        <v>0</v>
      </c>
      <c r="AS27" s="179">
        <v>0</v>
      </c>
      <c r="AT27" s="147" t="s">
        <v>57</v>
      </c>
      <c r="AU27" s="147" t="s">
        <v>57</v>
      </c>
    </row>
    <row r="28" spans="1:47" ht="212.65" customHeight="1" thickTop="1" thickBot="1">
      <c r="A28" s="162"/>
      <c r="B28" s="162"/>
      <c r="C28" s="163"/>
      <c r="D28" s="164">
        <v>5</v>
      </c>
      <c r="E28" s="66" t="s">
        <v>197</v>
      </c>
      <c r="F28" s="166">
        <v>0.04</v>
      </c>
      <c r="G28" s="67" t="s">
        <v>198</v>
      </c>
      <c r="H28" s="68" t="s">
        <v>50</v>
      </c>
      <c r="I28" s="69">
        <v>30</v>
      </c>
      <c r="J28" s="194">
        <f t="shared" si="16"/>
        <v>12</v>
      </c>
      <c r="K28" s="44">
        <f t="shared" si="17"/>
        <v>0.4</v>
      </c>
      <c r="L28" s="70">
        <v>11</v>
      </c>
      <c r="M28" s="195">
        <f t="shared" si="18"/>
        <v>11</v>
      </c>
      <c r="N28" s="47">
        <f t="shared" si="19"/>
        <v>1</v>
      </c>
      <c r="O28" s="69">
        <v>30</v>
      </c>
      <c r="P28" s="194">
        <f t="shared" si="20"/>
        <v>31</v>
      </c>
      <c r="Q28" s="44">
        <f t="shared" si="21"/>
        <v>1.0333333333333334</v>
      </c>
      <c r="R28" s="70">
        <v>29</v>
      </c>
      <c r="S28" s="195">
        <f t="shared" si="22"/>
        <v>32</v>
      </c>
      <c r="T28" s="47">
        <f t="shared" si="23"/>
        <v>1.103448275862069</v>
      </c>
      <c r="U28" s="196">
        <f t="shared" si="26"/>
        <v>100</v>
      </c>
      <c r="V28" s="197">
        <f t="shared" si="26"/>
        <v>86</v>
      </c>
      <c r="W28" s="50">
        <f t="shared" si="24"/>
        <v>0.86</v>
      </c>
      <c r="X28" s="50">
        <f t="shared" si="25"/>
        <v>3.44E-2</v>
      </c>
      <c r="Y28" s="198" t="s">
        <v>199</v>
      </c>
      <c r="Z28" s="198" t="s">
        <v>200</v>
      </c>
      <c r="AA28" s="182" t="s">
        <v>201</v>
      </c>
      <c r="AB28" s="199" t="s">
        <v>202</v>
      </c>
      <c r="AC28" s="183" t="s">
        <v>55</v>
      </c>
      <c r="AD28" s="184" t="s">
        <v>184</v>
      </c>
      <c r="AE28" s="191" t="s">
        <v>203</v>
      </c>
      <c r="AF28" s="200">
        <f t="shared" si="1"/>
        <v>30</v>
      </c>
      <c r="AG28" s="200">
        <v>12</v>
      </c>
      <c r="AH28" s="57" t="s">
        <v>204</v>
      </c>
      <c r="AI28" s="57" t="s">
        <v>205</v>
      </c>
      <c r="AJ28" s="201">
        <f t="shared" si="2"/>
        <v>11</v>
      </c>
      <c r="AK28" s="201">
        <v>11</v>
      </c>
      <c r="AL28" s="202" t="s">
        <v>206</v>
      </c>
      <c r="AM28" s="203" t="s">
        <v>205</v>
      </c>
      <c r="AN28" s="200">
        <f t="shared" si="3"/>
        <v>30</v>
      </c>
      <c r="AO28" s="204">
        <f>14+17</f>
        <v>31</v>
      </c>
      <c r="AP28" s="62" t="s">
        <v>207</v>
      </c>
      <c r="AQ28" s="62" t="s">
        <v>208</v>
      </c>
      <c r="AR28" s="201">
        <f t="shared" si="4"/>
        <v>29</v>
      </c>
      <c r="AS28" s="205">
        <f>30+2</f>
        <v>32</v>
      </c>
      <c r="AT28" s="148" t="s">
        <v>209</v>
      </c>
      <c r="AU28" s="148" t="s">
        <v>205</v>
      </c>
    </row>
    <row r="29" spans="1:47" ht="212.65" customHeight="1" thickTop="1" thickBot="1">
      <c r="A29" s="162"/>
      <c r="B29" s="162"/>
      <c r="C29" s="163"/>
      <c r="D29" s="164">
        <v>6</v>
      </c>
      <c r="E29" s="66" t="s">
        <v>210</v>
      </c>
      <c r="F29" s="166">
        <v>0.04</v>
      </c>
      <c r="G29" s="67" t="s">
        <v>85</v>
      </c>
      <c r="H29" s="68" t="s">
        <v>50</v>
      </c>
      <c r="I29" s="120">
        <v>0.03</v>
      </c>
      <c r="J29" s="121">
        <f t="shared" si="16"/>
        <v>0.5</v>
      </c>
      <c r="K29" s="44">
        <f t="shared" si="17"/>
        <v>16.666666666666668</v>
      </c>
      <c r="L29" s="124">
        <v>0.03</v>
      </c>
      <c r="M29" s="123">
        <f t="shared" si="18"/>
        <v>3.3057851239669422E-2</v>
      </c>
      <c r="N29" s="47">
        <f t="shared" si="19"/>
        <v>1.1019283746556474</v>
      </c>
      <c r="O29" s="120">
        <v>0.03</v>
      </c>
      <c r="P29" s="121">
        <f t="shared" si="20"/>
        <v>4.1322314049586778E-2</v>
      </c>
      <c r="Q29" s="44">
        <f t="shared" si="21"/>
        <v>1.3774104683195594</v>
      </c>
      <c r="R29" s="124">
        <v>0.04</v>
      </c>
      <c r="S29" s="123">
        <f t="shared" si="22"/>
        <v>9.9173553719008267E-2</v>
      </c>
      <c r="T29" s="47">
        <f t="shared" si="23"/>
        <v>2.4793388429752068</v>
      </c>
      <c r="U29" s="125">
        <f t="shared" si="26"/>
        <v>0.13</v>
      </c>
      <c r="V29" s="180">
        <f t="shared" si="26"/>
        <v>0.67355371900826444</v>
      </c>
      <c r="W29" s="50">
        <f t="shared" si="24"/>
        <v>1</v>
      </c>
      <c r="X29" s="50">
        <f t="shared" si="25"/>
        <v>0.04</v>
      </c>
      <c r="Y29" s="198" t="s">
        <v>211</v>
      </c>
      <c r="Z29" s="198" t="s">
        <v>212</v>
      </c>
      <c r="AA29" s="182" t="s">
        <v>213</v>
      </c>
      <c r="AB29" s="182" t="s">
        <v>214</v>
      </c>
      <c r="AC29" s="183" t="s">
        <v>55</v>
      </c>
      <c r="AD29" s="184" t="s">
        <v>184</v>
      </c>
      <c r="AE29" s="206" t="s">
        <v>215</v>
      </c>
      <c r="AF29" s="110">
        <f t="shared" si="1"/>
        <v>0.03</v>
      </c>
      <c r="AG29" s="110">
        <v>0.5</v>
      </c>
      <c r="AH29" s="57" t="s">
        <v>216</v>
      </c>
      <c r="AI29" s="57" t="s">
        <v>205</v>
      </c>
      <c r="AJ29" s="135">
        <f t="shared" si="2"/>
        <v>0.03</v>
      </c>
      <c r="AK29" s="135">
        <f>4/121</f>
        <v>3.3057851239669422E-2</v>
      </c>
      <c r="AL29" s="203" t="s">
        <v>217</v>
      </c>
      <c r="AM29" s="203" t="s">
        <v>205</v>
      </c>
      <c r="AN29" s="110">
        <f t="shared" si="3"/>
        <v>0.03</v>
      </c>
      <c r="AO29" s="137">
        <f>5/121</f>
        <v>4.1322314049586778E-2</v>
      </c>
      <c r="AP29" s="62" t="s">
        <v>218</v>
      </c>
      <c r="AQ29" s="62" t="s">
        <v>219</v>
      </c>
      <c r="AR29" s="135">
        <f t="shared" si="4"/>
        <v>0.04</v>
      </c>
      <c r="AS29" s="179">
        <f>12/121</f>
        <v>9.9173553719008267E-2</v>
      </c>
      <c r="AT29" s="148" t="s">
        <v>220</v>
      </c>
      <c r="AU29" s="148" t="s">
        <v>205</v>
      </c>
    </row>
    <row r="30" spans="1:47" ht="212.65" customHeight="1" thickTop="1" thickBot="1">
      <c r="A30" s="162"/>
      <c r="B30" s="162"/>
      <c r="C30" s="163"/>
      <c r="D30" s="164">
        <v>7</v>
      </c>
      <c r="E30" s="66" t="s">
        <v>221</v>
      </c>
      <c r="F30" s="166">
        <v>0.04</v>
      </c>
      <c r="G30" s="67" t="s">
        <v>198</v>
      </c>
      <c r="H30" s="68" t="s">
        <v>50</v>
      </c>
      <c r="I30" s="69">
        <v>10</v>
      </c>
      <c r="J30" s="194">
        <f t="shared" si="16"/>
        <v>32</v>
      </c>
      <c r="K30" s="44">
        <f t="shared" si="17"/>
        <v>3.2</v>
      </c>
      <c r="L30" s="70">
        <v>30</v>
      </c>
      <c r="M30" s="195">
        <f t="shared" si="18"/>
        <v>18</v>
      </c>
      <c r="N30" s="47">
        <f t="shared" si="19"/>
        <v>0.6</v>
      </c>
      <c r="O30" s="69">
        <v>30</v>
      </c>
      <c r="P30" s="194">
        <f t="shared" si="20"/>
        <v>30</v>
      </c>
      <c r="Q30" s="44">
        <f t="shared" si="21"/>
        <v>1</v>
      </c>
      <c r="R30" s="70">
        <v>30</v>
      </c>
      <c r="S30" s="195">
        <f t="shared" si="22"/>
        <v>29</v>
      </c>
      <c r="T30" s="47">
        <f t="shared" si="23"/>
        <v>0.96666666666666667</v>
      </c>
      <c r="U30" s="196">
        <f t="shared" si="26"/>
        <v>100</v>
      </c>
      <c r="V30" s="197">
        <f t="shared" si="26"/>
        <v>109</v>
      </c>
      <c r="W30" s="50">
        <f t="shared" si="24"/>
        <v>1</v>
      </c>
      <c r="X30" s="50">
        <f t="shared" si="25"/>
        <v>0.04</v>
      </c>
      <c r="Y30" s="198" t="s">
        <v>222</v>
      </c>
      <c r="Z30" s="198" t="s">
        <v>223</v>
      </c>
      <c r="AA30" s="182" t="s">
        <v>201</v>
      </c>
      <c r="AB30" s="182" t="s">
        <v>202</v>
      </c>
      <c r="AC30" s="183" t="s">
        <v>55</v>
      </c>
      <c r="AD30" s="184" t="s">
        <v>184</v>
      </c>
      <c r="AE30" s="206" t="s">
        <v>224</v>
      </c>
      <c r="AF30" s="200">
        <f t="shared" si="1"/>
        <v>10</v>
      </c>
      <c r="AG30" s="200">
        <v>32</v>
      </c>
      <c r="AH30" s="57" t="s">
        <v>225</v>
      </c>
      <c r="AI30" s="57" t="s">
        <v>226</v>
      </c>
      <c r="AJ30" s="201">
        <f t="shared" si="2"/>
        <v>30</v>
      </c>
      <c r="AK30" s="201">
        <v>18</v>
      </c>
      <c r="AL30" s="202" t="s">
        <v>227</v>
      </c>
      <c r="AM30" s="203" t="s">
        <v>226</v>
      </c>
      <c r="AN30" s="200">
        <f t="shared" si="3"/>
        <v>30</v>
      </c>
      <c r="AO30" s="204">
        <v>30</v>
      </c>
      <c r="AP30" s="62" t="s">
        <v>228</v>
      </c>
      <c r="AQ30" s="62" t="s">
        <v>226</v>
      </c>
      <c r="AR30" s="201">
        <f t="shared" si="4"/>
        <v>30</v>
      </c>
      <c r="AS30" s="205">
        <v>29</v>
      </c>
      <c r="AT30" s="148" t="s">
        <v>229</v>
      </c>
      <c r="AU30" s="207" t="s">
        <v>226</v>
      </c>
    </row>
    <row r="31" spans="1:47" ht="212.65" customHeight="1" thickTop="1" thickBot="1">
      <c r="A31" s="162"/>
      <c r="B31" s="162"/>
      <c r="C31" s="163"/>
      <c r="D31" s="164">
        <v>8</v>
      </c>
      <c r="E31" s="66" t="s">
        <v>230</v>
      </c>
      <c r="F31" s="166">
        <v>0</v>
      </c>
      <c r="G31" s="67" t="s">
        <v>85</v>
      </c>
      <c r="H31" s="68" t="s">
        <v>50</v>
      </c>
      <c r="I31" s="120">
        <v>0</v>
      </c>
      <c r="J31" s="121">
        <f t="shared" si="16"/>
        <v>0</v>
      </c>
      <c r="K31" s="44" t="str">
        <f t="shared" si="17"/>
        <v/>
      </c>
      <c r="L31" s="124">
        <v>0</v>
      </c>
      <c r="M31" s="123">
        <f t="shared" si="18"/>
        <v>0</v>
      </c>
      <c r="N31" s="47" t="str">
        <f t="shared" si="19"/>
        <v/>
      </c>
      <c r="O31" s="120">
        <v>0</v>
      </c>
      <c r="P31" s="121">
        <f t="shared" si="20"/>
        <v>0</v>
      </c>
      <c r="Q31" s="44" t="str">
        <f t="shared" si="21"/>
        <v/>
      </c>
      <c r="R31" s="124">
        <v>0</v>
      </c>
      <c r="S31" s="123">
        <f t="shared" si="22"/>
        <v>0</v>
      </c>
      <c r="T31" s="47" t="str">
        <f t="shared" si="23"/>
        <v/>
      </c>
      <c r="U31" s="125">
        <f t="shared" si="26"/>
        <v>0</v>
      </c>
      <c r="V31" s="180">
        <f t="shared" si="26"/>
        <v>0</v>
      </c>
      <c r="W31" s="50">
        <f t="shared" si="24"/>
        <v>0</v>
      </c>
      <c r="X31" s="50">
        <f t="shared" si="25"/>
        <v>0</v>
      </c>
      <c r="Y31" s="198" t="s">
        <v>231</v>
      </c>
      <c r="Z31" s="198" t="s">
        <v>232</v>
      </c>
      <c r="AA31" s="182" t="s">
        <v>233</v>
      </c>
      <c r="AB31" s="199" t="s">
        <v>234</v>
      </c>
      <c r="AC31" s="183" t="s">
        <v>55</v>
      </c>
      <c r="AD31" s="184" t="s">
        <v>184</v>
      </c>
      <c r="AE31" s="208" t="s">
        <v>235</v>
      </c>
      <c r="AF31" s="110">
        <f t="shared" si="1"/>
        <v>0</v>
      </c>
      <c r="AG31" s="110">
        <v>0</v>
      </c>
      <c r="AH31" s="57" t="s">
        <v>57</v>
      </c>
      <c r="AI31" s="57" t="s">
        <v>57</v>
      </c>
      <c r="AJ31" s="135">
        <f t="shared" si="2"/>
        <v>0</v>
      </c>
      <c r="AK31" s="135">
        <v>0</v>
      </c>
      <c r="AL31" s="192" t="s">
        <v>57</v>
      </c>
      <c r="AM31" s="141" t="s">
        <v>57</v>
      </c>
      <c r="AN31" s="110">
        <f t="shared" si="3"/>
        <v>0</v>
      </c>
      <c r="AO31" s="137">
        <v>0</v>
      </c>
      <c r="AP31" s="62" t="s">
        <v>57</v>
      </c>
      <c r="AQ31" s="193" t="s">
        <v>57</v>
      </c>
      <c r="AR31" s="135">
        <f t="shared" si="4"/>
        <v>0</v>
      </c>
      <c r="AS31" s="179">
        <v>0</v>
      </c>
      <c r="AT31" s="148" t="s">
        <v>57</v>
      </c>
      <c r="AU31" s="148" t="s">
        <v>57</v>
      </c>
    </row>
    <row r="32" spans="1:47" ht="212.65" customHeight="1" thickTop="1" thickBot="1">
      <c r="A32" s="162"/>
      <c r="B32" s="162"/>
      <c r="C32" s="163"/>
      <c r="D32" s="164">
        <v>9</v>
      </c>
      <c r="E32" s="66" t="s">
        <v>236</v>
      </c>
      <c r="F32" s="166">
        <v>0.04</v>
      </c>
      <c r="G32" s="67" t="s">
        <v>85</v>
      </c>
      <c r="H32" s="68" t="s">
        <v>50</v>
      </c>
      <c r="I32" s="120">
        <v>0.1</v>
      </c>
      <c r="J32" s="121">
        <f t="shared" si="16"/>
        <v>0</v>
      </c>
      <c r="K32" s="44">
        <f t="shared" si="17"/>
        <v>0</v>
      </c>
      <c r="L32" s="124">
        <v>0</v>
      </c>
      <c r="M32" s="123">
        <f t="shared" si="18"/>
        <v>6.6666666666666666E-2</v>
      </c>
      <c r="N32" s="47" t="str">
        <f t="shared" si="19"/>
        <v/>
      </c>
      <c r="O32" s="120">
        <v>0.4</v>
      </c>
      <c r="P32" s="121">
        <f t="shared" si="20"/>
        <v>0.3</v>
      </c>
      <c r="Q32" s="44">
        <f t="shared" si="21"/>
        <v>0.74999999999999989</v>
      </c>
      <c r="R32" s="124">
        <v>0.5</v>
      </c>
      <c r="S32" s="123">
        <f t="shared" si="22"/>
        <v>0.16129032258064516</v>
      </c>
      <c r="T32" s="47">
        <f t="shared" si="23"/>
        <v>0.32258064516129031</v>
      </c>
      <c r="U32" s="125">
        <f t="shared" si="26"/>
        <v>1</v>
      </c>
      <c r="V32" s="180">
        <f t="shared" si="26"/>
        <v>0.52795698924731183</v>
      </c>
      <c r="W32" s="50">
        <f t="shared" si="24"/>
        <v>0.52795698924731183</v>
      </c>
      <c r="X32" s="50">
        <f t="shared" si="25"/>
        <v>2.1118279569892474E-2</v>
      </c>
      <c r="Y32" s="198" t="s">
        <v>237</v>
      </c>
      <c r="Z32" s="198" t="s">
        <v>238</v>
      </c>
      <c r="AA32" s="182" t="s">
        <v>239</v>
      </c>
      <c r="AB32" s="199" t="s">
        <v>240</v>
      </c>
      <c r="AC32" s="183" t="s">
        <v>55</v>
      </c>
      <c r="AD32" s="184" t="s">
        <v>184</v>
      </c>
      <c r="AE32" s="209" t="s">
        <v>241</v>
      </c>
      <c r="AF32" s="110">
        <f t="shared" si="1"/>
        <v>0.1</v>
      </c>
      <c r="AG32" s="110">
        <v>0</v>
      </c>
      <c r="AH32" s="57" t="s">
        <v>242</v>
      </c>
      <c r="AI32" s="57" t="s">
        <v>226</v>
      </c>
      <c r="AJ32" s="135">
        <f t="shared" si="2"/>
        <v>0</v>
      </c>
      <c r="AK32" s="135">
        <f>2/30</f>
        <v>6.6666666666666666E-2</v>
      </c>
      <c r="AL32" s="150" t="s">
        <v>243</v>
      </c>
      <c r="AM32" s="141" t="s">
        <v>244</v>
      </c>
      <c r="AN32" s="110">
        <f t="shared" si="3"/>
        <v>0.4</v>
      </c>
      <c r="AO32" s="137">
        <f>9/30</f>
        <v>0.3</v>
      </c>
      <c r="AP32" s="62" t="s">
        <v>245</v>
      </c>
      <c r="AQ32" s="193" t="s">
        <v>244</v>
      </c>
      <c r="AR32" s="135">
        <f t="shared" si="4"/>
        <v>0.5</v>
      </c>
      <c r="AS32" s="179">
        <f>5/31</f>
        <v>0.16129032258064516</v>
      </c>
      <c r="AT32" s="148" t="s">
        <v>246</v>
      </c>
      <c r="AU32" s="157" t="s">
        <v>244</v>
      </c>
    </row>
    <row r="33" spans="1:47" ht="240.75" customHeight="1" thickTop="1" thickBot="1">
      <c r="A33" s="162"/>
      <c r="B33" s="162"/>
      <c r="C33" s="163"/>
      <c r="D33" s="164">
        <v>10</v>
      </c>
      <c r="E33" s="66" t="s">
        <v>247</v>
      </c>
      <c r="F33" s="166">
        <v>0.04</v>
      </c>
      <c r="G33" s="67" t="s">
        <v>198</v>
      </c>
      <c r="H33" s="68" t="s">
        <v>50</v>
      </c>
      <c r="I33" s="69">
        <v>2</v>
      </c>
      <c r="J33" s="194">
        <f t="shared" si="16"/>
        <v>5</v>
      </c>
      <c r="K33" s="44">
        <f t="shared" si="17"/>
        <v>2.5</v>
      </c>
      <c r="L33" s="70">
        <v>14</v>
      </c>
      <c r="M33" s="195">
        <f t="shared" si="18"/>
        <v>14</v>
      </c>
      <c r="N33" s="47">
        <f t="shared" si="19"/>
        <v>1</v>
      </c>
      <c r="O33" s="69">
        <v>3</v>
      </c>
      <c r="P33" s="194">
        <f t="shared" si="20"/>
        <v>6</v>
      </c>
      <c r="Q33" s="44">
        <f t="shared" si="21"/>
        <v>2</v>
      </c>
      <c r="R33" s="70">
        <v>3</v>
      </c>
      <c r="S33" s="195">
        <f t="shared" si="22"/>
        <v>7</v>
      </c>
      <c r="T33" s="47">
        <f t="shared" si="23"/>
        <v>2.3333333333333335</v>
      </c>
      <c r="U33" s="196">
        <f t="shared" si="26"/>
        <v>22</v>
      </c>
      <c r="V33" s="197">
        <f t="shared" si="26"/>
        <v>32</v>
      </c>
      <c r="W33" s="50">
        <f t="shared" si="24"/>
        <v>1</v>
      </c>
      <c r="X33" s="50">
        <f t="shared" si="25"/>
        <v>0.04</v>
      </c>
      <c r="Y33" s="198" t="s">
        <v>248</v>
      </c>
      <c r="Z33" s="198" t="s">
        <v>249</v>
      </c>
      <c r="AA33" s="182" t="s">
        <v>250</v>
      </c>
      <c r="AB33" s="199" t="s">
        <v>251</v>
      </c>
      <c r="AC33" s="183" t="s">
        <v>55</v>
      </c>
      <c r="AD33" s="210" t="s">
        <v>252</v>
      </c>
      <c r="AE33" s="191" t="s">
        <v>253</v>
      </c>
      <c r="AF33" s="200">
        <f t="shared" si="1"/>
        <v>2</v>
      </c>
      <c r="AG33" s="200">
        <v>5</v>
      </c>
      <c r="AH33" s="134" t="s">
        <v>254</v>
      </c>
      <c r="AI33" s="57" t="s">
        <v>255</v>
      </c>
      <c r="AJ33" s="201">
        <f t="shared" si="2"/>
        <v>14</v>
      </c>
      <c r="AK33" s="201">
        <v>14</v>
      </c>
      <c r="AL33" s="192" t="s">
        <v>256</v>
      </c>
      <c r="AM33" s="203" t="s">
        <v>255</v>
      </c>
      <c r="AN33" s="200">
        <f t="shared" si="3"/>
        <v>3</v>
      </c>
      <c r="AO33" s="204">
        <f>1+2+1+1+1</f>
        <v>6</v>
      </c>
      <c r="AP33" s="62" t="s">
        <v>257</v>
      </c>
      <c r="AQ33" s="62" t="s">
        <v>219</v>
      </c>
      <c r="AR33" s="201">
        <f t="shared" si="4"/>
        <v>3</v>
      </c>
      <c r="AS33" s="205">
        <v>7</v>
      </c>
      <c r="AT33" s="148" t="s">
        <v>258</v>
      </c>
      <c r="AU33" s="148" t="s">
        <v>255</v>
      </c>
    </row>
    <row r="34" spans="1:47" ht="215.85" customHeight="1" thickTop="1" thickBot="1">
      <c r="A34" s="162"/>
      <c r="B34" s="162"/>
      <c r="C34" s="163"/>
      <c r="D34" s="164">
        <v>11</v>
      </c>
      <c r="E34" s="38" t="s">
        <v>259</v>
      </c>
      <c r="F34" s="166">
        <v>0.04</v>
      </c>
      <c r="G34" s="67" t="s">
        <v>198</v>
      </c>
      <c r="H34" s="68" t="s">
        <v>50</v>
      </c>
      <c r="I34" s="69">
        <v>0</v>
      </c>
      <c r="J34" s="194">
        <f t="shared" si="16"/>
        <v>0</v>
      </c>
      <c r="K34" s="44" t="str">
        <f t="shared" si="17"/>
        <v/>
      </c>
      <c r="L34" s="70">
        <v>1</v>
      </c>
      <c r="M34" s="195">
        <f t="shared" si="18"/>
        <v>2</v>
      </c>
      <c r="N34" s="47">
        <f t="shared" si="19"/>
        <v>2</v>
      </c>
      <c r="O34" s="69">
        <v>1</v>
      </c>
      <c r="P34" s="194">
        <f t="shared" si="20"/>
        <v>2</v>
      </c>
      <c r="Q34" s="44">
        <f t="shared" si="21"/>
        <v>2</v>
      </c>
      <c r="R34" s="70">
        <v>1</v>
      </c>
      <c r="S34" s="195">
        <f t="shared" si="22"/>
        <v>0</v>
      </c>
      <c r="T34" s="47">
        <f t="shared" si="23"/>
        <v>0</v>
      </c>
      <c r="U34" s="196">
        <f t="shared" si="26"/>
        <v>3</v>
      </c>
      <c r="V34" s="197">
        <f t="shared" si="26"/>
        <v>4</v>
      </c>
      <c r="W34" s="50">
        <f t="shared" si="24"/>
        <v>1</v>
      </c>
      <c r="X34" s="50">
        <f t="shared" si="25"/>
        <v>0.04</v>
      </c>
      <c r="Y34" s="198" t="s">
        <v>260</v>
      </c>
      <c r="Z34" s="198" t="s">
        <v>261</v>
      </c>
      <c r="AA34" s="182" t="s">
        <v>250</v>
      </c>
      <c r="AB34" s="199" t="s">
        <v>251</v>
      </c>
      <c r="AC34" s="183" t="s">
        <v>55</v>
      </c>
      <c r="AD34" s="210" t="s">
        <v>252</v>
      </c>
      <c r="AE34" s="191" t="s">
        <v>262</v>
      </c>
      <c r="AF34" s="200">
        <f t="shared" si="1"/>
        <v>0</v>
      </c>
      <c r="AG34" s="200">
        <v>0</v>
      </c>
      <c r="AH34" s="134" t="s">
        <v>57</v>
      </c>
      <c r="AI34" s="134" t="s">
        <v>57</v>
      </c>
      <c r="AJ34" s="201">
        <f t="shared" si="2"/>
        <v>1</v>
      </c>
      <c r="AK34" s="201">
        <v>2</v>
      </c>
      <c r="AL34" s="211" t="s">
        <v>263</v>
      </c>
      <c r="AM34" s="212" t="s">
        <v>264</v>
      </c>
      <c r="AN34" s="200">
        <f t="shared" si="3"/>
        <v>1</v>
      </c>
      <c r="AO34" s="204">
        <v>2</v>
      </c>
      <c r="AP34" s="62" t="s">
        <v>265</v>
      </c>
      <c r="AQ34" s="213" t="s">
        <v>266</v>
      </c>
      <c r="AR34" s="201">
        <f t="shared" si="4"/>
        <v>1</v>
      </c>
      <c r="AS34" s="205">
        <v>0</v>
      </c>
      <c r="AT34" s="148" t="s">
        <v>267</v>
      </c>
      <c r="AU34" s="214" t="s">
        <v>266</v>
      </c>
    </row>
    <row r="35" spans="1:47" s="219" customFormat="1" ht="141.19999999999999" customHeight="1" thickTop="1" thickBot="1">
      <c r="A35" s="162"/>
      <c r="B35" s="162"/>
      <c r="C35" s="163"/>
      <c r="D35" s="164">
        <v>12</v>
      </c>
      <c r="E35" s="38" t="s">
        <v>268</v>
      </c>
      <c r="F35" s="166">
        <v>0.04</v>
      </c>
      <c r="G35" s="67" t="s">
        <v>198</v>
      </c>
      <c r="H35" s="68" t="s">
        <v>50</v>
      </c>
      <c r="I35" s="69">
        <v>10</v>
      </c>
      <c r="J35" s="194">
        <f t="shared" si="16"/>
        <v>12</v>
      </c>
      <c r="K35" s="44">
        <f t="shared" si="17"/>
        <v>1.2</v>
      </c>
      <c r="L35" s="70">
        <v>10</v>
      </c>
      <c r="M35" s="195">
        <f t="shared" si="18"/>
        <v>10</v>
      </c>
      <c r="N35" s="47">
        <f t="shared" si="19"/>
        <v>1</v>
      </c>
      <c r="O35" s="69">
        <v>10</v>
      </c>
      <c r="P35" s="194">
        <f t="shared" si="20"/>
        <v>15</v>
      </c>
      <c r="Q35" s="44">
        <f t="shared" si="21"/>
        <v>1.5</v>
      </c>
      <c r="R35" s="70">
        <v>10</v>
      </c>
      <c r="S35" s="195">
        <f t="shared" si="22"/>
        <v>10</v>
      </c>
      <c r="T35" s="47">
        <f t="shared" si="23"/>
        <v>1</v>
      </c>
      <c r="U35" s="196">
        <f t="shared" si="26"/>
        <v>40</v>
      </c>
      <c r="V35" s="197">
        <f t="shared" si="26"/>
        <v>47</v>
      </c>
      <c r="W35" s="50">
        <f t="shared" si="24"/>
        <v>1</v>
      </c>
      <c r="X35" s="50">
        <f t="shared" si="25"/>
        <v>0.04</v>
      </c>
      <c r="Y35" s="215" t="s">
        <v>269</v>
      </c>
      <c r="Z35" s="215" t="s">
        <v>270</v>
      </c>
      <c r="AA35" s="216" t="s">
        <v>271</v>
      </c>
      <c r="AB35" s="216" t="s">
        <v>272</v>
      </c>
      <c r="AC35" s="183" t="s">
        <v>55</v>
      </c>
      <c r="AD35" s="206" t="s">
        <v>273</v>
      </c>
      <c r="AE35" s="191" t="s">
        <v>274</v>
      </c>
      <c r="AF35" s="200">
        <f t="shared" si="1"/>
        <v>10</v>
      </c>
      <c r="AG35" s="200">
        <v>12</v>
      </c>
      <c r="AH35" s="134" t="s">
        <v>275</v>
      </c>
      <c r="AI35" s="134" t="s">
        <v>255</v>
      </c>
      <c r="AJ35" s="201">
        <f t="shared" si="2"/>
        <v>10</v>
      </c>
      <c r="AK35" s="201">
        <v>10</v>
      </c>
      <c r="AL35" s="203" t="s">
        <v>276</v>
      </c>
      <c r="AM35" s="217" t="s">
        <v>255</v>
      </c>
      <c r="AN35" s="200">
        <f t="shared" si="3"/>
        <v>10</v>
      </c>
      <c r="AO35" s="204">
        <v>15</v>
      </c>
      <c r="AP35" s="62" t="s">
        <v>277</v>
      </c>
      <c r="AQ35" s="62" t="s">
        <v>278</v>
      </c>
      <c r="AR35" s="201">
        <f t="shared" si="4"/>
        <v>10</v>
      </c>
      <c r="AS35" s="205">
        <v>10</v>
      </c>
      <c r="AT35" s="218" t="s">
        <v>279</v>
      </c>
      <c r="AU35" s="218" t="s">
        <v>280</v>
      </c>
    </row>
    <row r="36" spans="1:47" s="219" customFormat="1" ht="162.6" customHeight="1" thickTop="1" thickBot="1">
      <c r="A36" s="162"/>
      <c r="B36" s="162"/>
      <c r="C36" s="163"/>
      <c r="D36" s="164">
        <v>13</v>
      </c>
      <c r="E36" s="38" t="s">
        <v>281</v>
      </c>
      <c r="F36" s="166">
        <v>0.04</v>
      </c>
      <c r="G36" s="67" t="s">
        <v>198</v>
      </c>
      <c r="H36" s="68" t="s">
        <v>50</v>
      </c>
      <c r="I36" s="69">
        <v>12</v>
      </c>
      <c r="J36" s="194">
        <f t="shared" si="16"/>
        <v>12</v>
      </c>
      <c r="K36" s="44">
        <f t="shared" si="17"/>
        <v>1</v>
      </c>
      <c r="L36" s="70">
        <v>12</v>
      </c>
      <c r="M36" s="220">
        <f t="shared" si="18"/>
        <v>14</v>
      </c>
      <c r="N36" s="47">
        <f t="shared" si="19"/>
        <v>1.1666666666666667</v>
      </c>
      <c r="O36" s="69">
        <v>12</v>
      </c>
      <c r="P36" s="194">
        <f t="shared" si="20"/>
        <v>15</v>
      </c>
      <c r="Q36" s="44">
        <f t="shared" si="21"/>
        <v>1.25</v>
      </c>
      <c r="R36" s="70">
        <v>12</v>
      </c>
      <c r="S36" s="220">
        <f t="shared" si="22"/>
        <v>12</v>
      </c>
      <c r="T36" s="47">
        <f t="shared" si="23"/>
        <v>1</v>
      </c>
      <c r="U36" s="196">
        <f t="shared" si="26"/>
        <v>48</v>
      </c>
      <c r="V36" s="197">
        <f t="shared" si="26"/>
        <v>53</v>
      </c>
      <c r="W36" s="50">
        <f t="shared" si="24"/>
        <v>1</v>
      </c>
      <c r="X36" s="50">
        <f t="shared" si="25"/>
        <v>0.04</v>
      </c>
      <c r="Y36" s="215" t="s">
        <v>282</v>
      </c>
      <c r="Z36" s="215" t="s">
        <v>283</v>
      </c>
      <c r="AA36" s="216" t="s">
        <v>284</v>
      </c>
      <c r="AB36" s="216" t="s">
        <v>272</v>
      </c>
      <c r="AC36" s="183" t="s">
        <v>55</v>
      </c>
      <c r="AD36" s="221" t="s">
        <v>285</v>
      </c>
      <c r="AE36" s="191" t="s">
        <v>286</v>
      </c>
      <c r="AF36" s="200">
        <f t="shared" si="1"/>
        <v>12</v>
      </c>
      <c r="AG36" s="200">
        <v>12</v>
      </c>
      <c r="AH36" s="134" t="s">
        <v>287</v>
      </c>
      <c r="AI36" s="134" t="s">
        <v>255</v>
      </c>
      <c r="AJ36" s="222">
        <f t="shared" si="2"/>
        <v>12</v>
      </c>
      <c r="AK36" s="223">
        <v>14</v>
      </c>
      <c r="AL36" s="203" t="s">
        <v>288</v>
      </c>
      <c r="AM36" s="224" t="s">
        <v>255</v>
      </c>
      <c r="AN36" s="200">
        <f t="shared" si="3"/>
        <v>12</v>
      </c>
      <c r="AO36" s="204">
        <v>15</v>
      </c>
      <c r="AP36" s="186" t="s">
        <v>289</v>
      </c>
      <c r="AQ36" s="213" t="s">
        <v>255</v>
      </c>
      <c r="AR36" s="201">
        <f t="shared" si="4"/>
        <v>12</v>
      </c>
      <c r="AS36" s="205">
        <v>12</v>
      </c>
      <c r="AT36" s="218" t="s">
        <v>287</v>
      </c>
      <c r="AU36" s="218" t="s">
        <v>219</v>
      </c>
    </row>
    <row r="37" spans="1:47" s="219" customFormat="1" ht="141.75" customHeight="1" thickTop="1" thickBot="1">
      <c r="A37" s="162"/>
      <c r="B37" s="162"/>
      <c r="C37" s="163"/>
      <c r="D37" s="164">
        <v>14</v>
      </c>
      <c r="E37" s="38" t="s">
        <v>290</v>
      </c>
      <c r="F37" s="166">
        <v>0.04</v>
      </c>
      <c r="G37" s="67" t="s">
        <v>198</v>
      </c>
      <c r="H37" s="68" t="s">
        <v>50</v>
      </c>
      <c r="I37" s="69">
        <v>27</v>
      </c>
      <c r="J37" s="194">
        <f t="shared" si="16"/>
        <v>18</v>
      </c>
      <c r="K37" s="44">
        <f t="shared" si="17"/>
        <v>0.66666666666666663</v>
      </c>
      <c r="L37" s="70">
        <v>27</v>
      </c>
      <c r="M37" s="195">
        <f t="shared" si="18"/>
        <v>27</v>
      </c>
      <c r="N37" s="47">
        <f t="shared" si="19"/>
        <v>1</v>
      </c>
      <c r="O37" s="69">
        <v>27</v>
      </c>
      <c r="P37" s="194">
        <f t="shared" si="20"/>
        <v>45</v>
      </c>
      <c r="Q37" s="44">
        <f t="shared" si="21"/>
        <v>1.6666666666666667</v>
      </c>
      <c r="R37" s="70">
        <v>27</v>
      </c>
      <c r="S37" s="195">
        <f t="shared" si="22"/>
        <v>29</v>
      </c>
      <c r="T37" s="47">
        <f t="shared" si="23"/>
        <v>1.0740740740740742</v>
      </c>
      <c r="U37" s="196">
        <f t="shared" si="26"/>
        <v>108</v>
      </c>
      <c r="V37" s="197">
        <f t="shared" si="26"/>
        <v>119</v>
      </c>
      <c r="W37" s="50">
        <f t="shared" si="24"/>
        <v>1</v>
      </c>
      <c r="X37" s="50">
        <f t="shared" si="25"/>
        <v>0.04</v>
      </c>
      <c r="Y37" s="215" t="s">
        <v>291</v>
      </c>
      <c r="Z37" s="215" t="s">
        <v>292</v>
      </c>
      <c r="AA37" s="216" t="s">
        <v>293</v>
      </c>
      <c r="AB37" s="216" t="s">
        <v>294</v>
      </c>
      <c r="AC37" s="183" t="s">
        <v>55</v>
      </c>
      <c r="AD37" s="183" t="s">
        <v>285</v>
      </c>
      <c r="AE37" s="191" t="s">
        <v>295</v>
      </c>
      <c r="AF37" s="200">
        <f t="shared" si="1"/>
        <v>27</v>
      </c>
      <c r="AG37" s="200">
        <v>18</v>
      </c>
      <c r="AH37" s="57" t="s">
        <v>296</v>
      </c>
      <c r="AI37" s="134" t="s">
        <v>255</v>
      </c>
      <c r="AJ37" s="201">
        <f t="shared" si="2"/>
        <v>27</v>
      </c>
      <c r="AK37" s="225">
        <v>27</v>
      </c>
      <c r="AL37" s="203" t="s">
        <v>296</v>
      </c>
      <c r="AM37" s="217" t="s">
        <v>255</v>
      </c>
      <c r="AN37" s="200">
        <f t="shared" si="3"/>
        <v>27</v>
      </c>
      <c r="AO37" s="204">
        <f>53-8</f>
        <v>45</v>
      </c>
      <c r="AP37" s="137" t="s">
        <v>297</v>
      </c>
      <c r="AQ37" s="137" t="s">
        <v>219</v>
      </c>
      <c r="AR37" s="201">
        <f t="shared" si="4"/>
        <v>27</v>
      </c>
      <c r="AS37" s="205">
        <v>29</v>
      </c>
      <c r="AT37" s="218" t="s">
        <v>298</v>
      </c>
      <c r="AU37" s="218" t="s">
        <v>219</v>
      </c>
    </row>
    <row r="38" spans="1:47" ht="255" customHeight="1" thickTop="1" thickBot="1">
      <c r="A38" s="162"/>
      <c r="B38" s="162"/>
      <c r="C38" s="163"/>
      <c r="D38" s="164">
        <v>15</v>
      </c>
      <c r="E38" s="38" t="s">
        <v>299</v>
      </c>
      <c r="F38" s="166">
        <v>0.03</v>
      </c>
      <c r="G38" s="67" t="s">
        <v>85</v>
      </c>
      <c r="H38" s="68" t="s">
        <v>99</v>
      </c>
      <c r="I38" s="120">
        <v>0</v>
      </c>
      <c r="J38" s="121">
        <f t="shared" si="16"/>
        <v>0</v>
      </c>
      <c r="K38" s="44" t="str">
        <f t="shared" si="17"/>
        <v/>
      </c>
      <c r="L38" s="124">
        <v>0.01</v>
      </c>
      <c r="M38" s="123">
        <f t="shared" si="18"/>
        <v>0</v>
      </c>
      <c r="N38" s="47">
        <f t="shared" si="19"/>
        <v>0</v>
      </c>
      <c r="O38" s="120">
        <v>0.02</v>
      </c>
      <c r="P38" s="121">
        <f t="shared" si="20"/>
        <v>1.4705882352941176E-2</v>
      </c>
      <c r="Q38" s="44">
        <f t="shared" si="21"/>
        <v>0.73529411764705876</v>
      </c>
      <c r="R38" s="124">
        <v>0.05</v>
      </c>
      <c r="S38" s="123">
        <f t="shared" si="22"/>
        <v>0</v>
      </c>
      <c r="T38" s="47">
        <f t="shared" si="23"/>
        <v>0</v>
      </c>
      <c r="U38" s="125">
        <f>R38</f>
        <v>0.05</v>
      </c>
      <c r="V38" s="180">
        <f>S38</f>
        <v>0</v>
      </c>
      <c r="W38" s="50">
        <f t="shared" si="24"/>
        <v>0</v>
      </c>
      <c r="X38" s="50">
        <f t="shared" si="25"/>
        <v>0</v>
      </c>
      <c r="Y38" s="226" t="s">
        <v>300</v>
      </c>
      <c r="Z38" s="226" t="s">
        <v>301</v>
      </c>
      <c r="AA38" s="182" t="s">
        <v>302</v>
      </c>
      <c r="AB38" s="182" t="s">
        <v>303</v>
      </c>
      <c r="AC38" s="183" t="s">
        <v>304</v>
      </c>
      <c r="AD38" s="191" t="s">
        <v>305</v>
      </c>
      <c r="AE38" s="191" t="s">
        <v>306</v>
      </c>
      <c r="AF38" s="110">
        <f t="shared" si="1"/>
        <v>0</v>
      </c>
      <c r="AG38" s="110">
        <v>0</v>
      </c>
      <c r="AH38" s="227" t="s">
        <v>57</v>
      </c>
      <c r="AI38" s="57" t="s">
        <v>57</v>
      </c>
      <c r="AJ38" s="135">
        <f t="shared" si="2"/>
        <v>0.01</v>
      </c>
      <c r="AK38" s="228">
        <v>0</v>
      </c>
      <c r="AL38" s="192" t="s">
        <v>307</v>
      </c>
      <c r="AM38" s="141" t="s">
        <v>57</v>
      </c>
      <c r="AN38" s="110">
        <f t="shared" si="3"/>
        <v>0.02</v>
      </c>
      <c r="AO38" s="137">
        <f>1/68</f>
        <v>1.4705882352941176E-2</v>
      </c>
      <c r="AP38" s="62" t="s">
        <v>308</v>
      </c>
      <c r="AQ38" s="62" t="s">
        <v>309</v>
      </c>
      <c r="AR38" s="112">
        <f t="shared" si="4"/>
        <v>0.05</v>
      </c>
      <c r="AS38" s="117">
        <v>0</v>
      </c>
      <c r="AT38" s="229" t="s">
        <v>310</v>
      </c>
      <c r="AU38" s="75" t="s">
        <v>309</v>
      </c>
    </row>
    <row r="39" spans="1:47" ht="204" customHeight="1" thickTop="1" thickBot="1">
      <c r="A39" s="162"/>
      <c r="B39" s="162"/>
      <c r="C39" s="163"/>
      <c r="D39" s="164">
        <v>16</v>
      </c>
      <c r="E39" s="38" t="s">
        <v>311</v>
      </c>
      <c r="F39" s="166">
        <v>0.04</v>
      </c>
      <c r="G39" s="67" t="s">
        <v>85</v>
      </c>
      <c r="H39" s="68" t="s">
        <v>50</v>
      </c>
      <c r="I39" s="120">
        <v>7.0000000000000007E-2</v>
      </c>
      <c r="J39" s="121">
        <f t="shared" si="16"/>
        <v>0.24912280701754386</v>
      </c>
      <c r="K39" s="44">
        <f t="shared" si="17"/>
        <v>3.558897243107769</v>
      </c>
      <c r="L39" s="124">
        <v>0.08</v>
      </c>
      <c r="M39" s="123">
        <f t="shared" si="18"/>
        <v>0.10421052631578948</v>
      </c>
      <c r="N39" s="47">
        <f t="shared" si="19"/>
        <v>1.3026315789473684</v>
      </c>
      <c r="O39" s="120">
        <v>7.0000000000000007E-2</v>
      </c>
      <c r="P39" s="121">
        <f t="shared" si="20"/>
        <v>0.10947368421052632</v>
      </c>
      <c r="Q39" s="44">
        <f t="shared" si="21"/>
        <v>1.5639097744360901</v>
      </c>
      <c r="R39" s="124">
        <v>0.08</v>
      </c>
      <c r="S39" s="123">
        <f t="shared" si="22"/>
        <v>0.12421052631578948</v>
      </c>
      <c r="T39" s="47">
        <f t="shared" si="23"/>
        <v>1.5526315789473684</v>
      </c>
      <c r="U39" s="125">
        <f>SUM(I39,L39,O39,R39)</f>
        <v>0.30000000000000004</v>
      </c>
      <c r="V39" s="230">
        <f>SUM(J39,M39,P39,S39)</f>
        <v>0.5870175438596491</v>
      </c>
      <c r="W39" s="50">
        <f t="shared" si="24"/>
        <v>1</v>
      </c>
      <c r="X39" s="50">
        <f t="shared" si="25"/>
        <v>0.04</v>
      </c>
      <c r="Y39" s="226" t="s">
        <v>312</v>
      </c>
      <c r="Z39" s="226" t="s">
        <v>313</v>
      </c>
      <c r="AA39" s="182" t="s">
        <v>314</v>
      </c>
      <c r="AB39" s="182" t="s">
        <v>315</v>
      </c>
      <c r="AC39" s="183" t="s">
        <v>55</v>
      </c>
      <c r="AD39" s="206" t="s">
        <v>316</v>
      </c>
      <c r="AE39" s="191" t="s">
        <v>317</v>
      </c>
      <c r="AF39" s="110">
        <f t="shared" si="1"/>
        <v>7.0000000000000007E-2</v>
      </c>
      <c r="AG39" s="110">
        <f>71/285</f>
        <v>0.24912280701754386</v>
      </c>
      <c r="AH39" s="227" t="s">
        <v>318</v>
      </c>
      <c r="AI39" s="57" t="s">
        <v>319</v>
      </c>
      <c r="AJ39" s="135">
        <f t="shared" si="2"/>
        <v>0.08</v>
      </c>
      <c r="AK39" s="231">
        <f>99/950</f>
        <v>0.10421052631578948</v>
      </c>
      <c r="AL39" s="192" t="s">
        <v>320</v>
      </c>
      <c r="AM39" s="203" t="s">
        <v>321</v>
      </c>
      <c r="AN39" s="110">
        <f t="shared" si="3"/>
        <v>7.0000000000000007E-2</v>
      </c>
      <c r="AO39" s="137">
        <f>104/950</f>
        <v>0.10947368421052632</v>
      </c>
      <c r="AP39" s="62" t="s">
        <v>322</v>
      </c>
      <c r="AQ39" s="62" t="s">
        <v>323</v>
      </c>
      <c r="AR39" s="112">
        <f t="shared" si="4"/>
        <v>0.08</v>
      </c>
      <c r="AS39" s="117">
        <f>118/950</f>
        <v>0.12421052631578948</v>
      </c>
      <c r="AT39" s="147" t="s">
        <v>324</v>
      </c>
      <c r="AU39" s="147" t="s">
        <v>323</v>
      </c>
    </row>
    <row r="40" spans="1:47" ht="204" customHeight="1" thickTop="1" thickBot="1">
      <c r="A40" s="162"/>
      <c r="B40" s="162"/>
      <c r="C40" s="163"/>
      <c r="D40" s="164">
        <v>17</v>
      </c>
      <c r="E40" s="38" t="s">
        <v>325</v>
      </c>
      <c r="F40" s="166">
        <v>0.04</v>
      </c>
      <c r="G40" s="67" t="s">
        <v>85</v>
      </c>
      <c r="H40" s="68" t="s">
        <v>99</v>
      </c>
      <c r="I40" s="120">
        <v>0.01</v>
      </c>
      <c r="J40" s="121">
        <f t="shared" si="16"/>
        <v>3.4482758620689655E-2</v>
      </c>
      <c r="K40" s="44">
        <f t="shared" si="17"/>
        <v>3.4482758620689653</v>
      </c>
      <c r="L40" s="124">
        <v>0.06</v>
      </c>
      <c r="M40" s="123">
        <f t="shared" si="18"/>
        <v>4.8275862068965517E-2</v>
      </c>
      <c r="N40" s="47">
        <f t="shared" si="19"/>
        <v>0.8045977011494253</v>
      </c>
      <c r="O40" s="120">
        <v>7.0000000000000007E-2</v>
      </c>
      <c r="P40" s="121">
        <f t="shared" si="20"/>
        <v>0.12413793103448276</v>
      </c>
      <c r="Q40" s="44">
        <f t="shared" si="21"/>
        <v>1.773399014778325</v>
      </c>
      <c r="R40" s="124">
        <v>0.2</v>
      </c>
      <c r="S40" s="123">
        <f t="shared" si="22"/>
        <v>0.21551724137931033</v>
      </c>
      <c r="T40" s="47">
        <f t="shared" si="23"/>
        <v>1.0775862068965516</v>
      </c>
      <c r="U40" s="125">
        <f>R40</f>
        <v>0.2</v>
      </c>
      <c r="V40" s="180">
        <f>S40</f>
        <v>0.21551724137931033</v>
      </c>
      <c r="W40" s="50">
        <f t="shared" si="24"/>
        <v>1</v>
      </c>
      <c r="X40" s="50">
        <f t="shared" si="25"/>
        <v>0.04</v>
      </c>
      <c r="Y40" s="226" t="s">
        <v>326</v>
      </c>
      <c r="Z40" s="226" t="s">
        <v>327</v>
      </c>
      <c r="AA40" s="182" t="s">
        <v>328</v>
      </c>
      <c r="AB40" s="182" t="s">
        <v>329</v>
      </c>
      <c r="AC40" s="183" t="s">
        <v>55</v>
      </c>
      <c r="AD40" s="206" t="s">
        <v>330</v>
      </c>
      <c r="AE40" s="191" t="s">
        <v>317</v>
      </c>
      <c r="AF40" s="110">
        <f t="shared" si="1"/>
        <v>0.01</v>
      </c>
      <c r="AG40" s="110">
        <f>4/116</f>
        <v>3.4482758620689655E-2</v>
      </c>
      <c r="AH40" s="227" t="s">
        <v>331</v>
      </c>
      <c r="AI40" s="57" t="s">
        <v>332</v>
      </c>
      <c r="AJ40" s="135">
        <f t="shared" si="2"/>
        <v>0.06</v>
      </c>
      <c r="AK40" s="231">
        <f>28/580</f>
        <v>4.8275862068965517E-2</v>
      </c>
      <c r="AL40" s="192" t="s">
        <v>333</v>
      </c>
      <c r="AM40" s="203" t="s">
        <v>321</v>
      </c>
      <c r="AN40" s="110">
        <f t="shared" si="3"/>
        <v>7.0000000000000007E-2</v>
      </c>
      <c r="AO40" s="137">
        <f>72/580</f>
        <v>0.12413793103448276</v>
      </c>
      <c r="AP40" s="62" t="s">
        <v>334</v>
      </c>
      <c r="AQ40" s="62" t="s">
        <v>323</v>
      </c>
      <c r="AR40" s="112">
        <f t="shared" si="4"/>
        <v>0.2</v>
      </c>
      <c r="AS40" s="117">
        <f>125/580</f>
        <v>0.21551724137931033</v>
      </c>
      <c r="AT40" s="147" t="s">
        <v>335</v>
      </c>
      <c r="AU40" s="147" t="s">
        <v>323</v>
      </c>
    </row>
    <row r="41" spans="1:47" ht="68.650000000000006" customHeight="1" thickTop="1" thickBot="1">
      <c r="A41" s="162"/>
      <c r="B41" s="162"/>
      <c r="C41" s="163"/>
      <c r="D41" s="164">
        <v>18</v>
      </c>
      <c r="E41" s="38" t="s">
        <v>336</v>
      </c>
      <c r="F41" s="166">
        <v>0.02</v>
      </c>
      <c r="G41" s="67" t="s">
        <v>198</v>
      </c>
      <c r="H41" s="68" t="s">
        <v>86</v>
      </c>
      <c r="I41" s="69">
        <v>15</v>
      </c>
      <c r="J41" s="194">
        <f t="shared" si="16"/>
        <v>7</v>
      </c>
      <c r="K41" s="232">
        <f>IF(ISERROR(I41/J41),"",(I41/J41))</f>
        <v>2.1428571428571428</v>
      </c>
      <c r="L41" s="70">
        <v>15</v>
      </c>
      <c r="M41" s="195">
        <f t="shared" si="18"/>
        <v>11</v>
      </c>
      <c r="N41" s="233">
        <f>IF(ISERROR(L41/M41),"",(L41/M41))</f>
        <v>1.3636363636363635</v>
      </c>
      <c r="O41" s="69">
        <v>15</v>
      </c>
      <c r="P41" s="194">
        <f t="shared" si="20"/>
        <v>5.7777777777777777</v>
      </c>
      <c r="Q41" s="232">
        <f>IF(ISERROR(O41/P41),"",(O41/P41))</f>
        <v>2.5961538461538463</v>
      </c>
      <c r="R41" s="70">
        <v>15</v>
      </c>
      <c r="S41" s="195">
        <f t="shared" si="22"/>
        <v>7.15</v>
      </c>
      <c r="T41" s="233">
        <f>IF(ISERROR(R41/S41),"",(R41/S41))</f>
        <v>2.0979020979020979</v>
      </c>
      <c r="U41" s="196">
        <f>SUM(I41,L41,O41,R41)/4</f>
        <v>15</v>
      </c>
      <c r="V41" s="197">
        <f>SUM(J41,M41,P41,S41)/4</f>
        <v>7.7319444444444443</v>
      </c>
      <c r="W41" s="234">
        <f>IF(SUM(K41,N41,Q41,T41)/4&gt;1,1,SUM(K41,N41,Q41,T41)/4)</f>
        <v>1</v>
      </c>
      <c r="X41" s="234">
        <f t="shared" si="25"/>
        <v>0.02</v>
      </c>
      <c r="Y41" s="226" t="s">
        <v>337</v>
      </c>
      <c r="Z41" s="226" t="s">
        <v>338</v>
      </c>
      <c r="AA41" s="182" t="s">
        <v>339</v>
      </c>
      <c r="AB41" s="199" t="s">
        <v>340</v>
      </c>
      <c r="AC41" s="183" t="s">
        <v>341</v>
      </c>
      <c r="AD41" s="206" t="s">
        <v>342</v>
      </c>
      <c r="AE41" s="191" t="s">
        <v>343</v>
      </c>
      <c r="AF41" s="200">
        <f t="shared" si="1"/>
        <v>15</v>
      </c>
      <c r="AG41" s="200">
        <v>7</v>
      </c>
      <c r="AH41" s="57" t="s">
        <v>344</v>
      </c>
      <c r="AI41" s="57" t="s">
        <v>345</v>
      </c>
      <c r="AJ41" s="201">
        <f t="shared" si="2"/>
        <v>15</v>
      </c>
      <c r="AK41" s="201">
        <v>11</v>
      </c>
      <c r="AL41" s="192" t="s">
        <v>346</v>
      </c>
      <c r="AM41" s="203" t="s">
        <v>347</v>
      </c>
      <c r="AN41" s="200">
        <f t="shared" si="3"/>
        <v>15</v>
      </c>
      <c r="AO41" s="235">
        <f>676/117</f>
        <v>5.7777777777777777</v>
      </c>
      <c r="AP41" s="236" t="s">
        <v>348</v>
      </c>
      <c r="AQ41" s="62" t="s">
        <v>349</v>
      </c>
      <c r="AR41" s="222">
        <f t="shared" si="4"/>
        <v>15</v>
      </c>
      <c r="AS41" s="237">
        <f>429/60</f>
        <v>7.15</v>
      </c>
      <c r="AT41" s="238" t="s">
        <v>350</v>
      </c>
      <c r="AU41" s="147" t="s">
        <v>349</v>
      </c>
    </row>
    <row r="42" spans="1:47" ht="181.35" customHeight="1" thickTop="1" thickBot="1">
      <c r="A42" s="162"/>
      <c r="B42" s="162"/>
      <c r="C42" s="163"/>
      <c r="D42" s="164">
        <v>19</v>
      </c>
      <c r="E42" s="66" t="s">
        <v>351</v>
      </c>
      <c r="F42" s="166">
        <v>0.03</v>
      </c>
      <c r="G42" s="67" t="s">
        <v>85</v>
      </c>
      <c r="H42" s="68" t="s">
        <v>86</v>
      </c>
      <c r="I42" s="120">
        <v>0.72</v>
      </c>
      <c r="J42" s="121">
        <f t="shared" si="16"/>
        <v>0.7098445595854922</v>
      </c>
      <c r="K42" s="44">
        <f>IF(ISERROR(J42/I42),"",(J42/I42))</f>
        <v>0.98589522164651699</v>
      </c>
      <c r="L42" s="124">
        <v>0.72</v>
      </c>
      <c r="M42" s="123">
        <f t="shared" si="18"/>
        <v>0.71804511278195493</v>
      </c>
      <c r="N42" s="47">
        <f>IF(ISERROR(M42/L42),"",(M42/L42))</f>
        <v>0.99728487886382633</v>
      </c>
      <c r="O42" s="120">
        <v>0.72</v>
      </c>
      <c r="P42" s="121">
        <f t="shared" si="20"/>
        <v>0.55963302752293576</v>
      </c>
      <c r="Q42" s="44">
        <f>IF(ISERROR(P42/O42),"",(P42/O42))</f>
        <v>0.77726809378185524</v>
      </c>
      <c r="R42" s="124">
        <v>0.72</v>
      </c>
      <c r="S42" s="123">
        <f t="shared" si="22"/>
        <v>0.52837573385518588</v>
      </c>
      <c r="T42" s="47">
        <f>IF(ISERROR(S42/R42),"",(S42/R42))</f>
        <v>0.73385518590998045</v>
      </c>
      <c r="U42" s="125">
        <f>SUM(I42,L42,O42,R42)/4</f>
        <v>0.72</v>
      </c>
      <c r="V42" s="180">
        <f>SUM(J42,M42,P42,S42)/4</f>
        <v>0.62897460843639219</v>
      </c>
      <c r="W42" s="50">
        <f>IF((IF(ISERROR(V42/U42),0,(V42/U42)))&gt;1,1,(IF(ISERROR(V42/U42),0,(V42/U42))))</f>
        <v>0.87357584505054475</v>
      </c>
      <c r="X42" s="50">
        <f t="shared" si="25"/>
        <v>2.6207275351516342E-2</v>
      </c>
      <c r="Y42" s="226" t="s">
        <v>352</v>
      </c>
      <c r="Z42" s="226" t="s">
        <v>353</v>
      </c>
      <c r="AA42" s="182" t="s">
        <v>354</v>
      </c>
      <c r="AB42" s="182" t="s">
        <v>355</v>
      </c>
      <c r="AC42" s="183" t="s">
        <v>55</v>
      </c>
      <c r="AD42" s="206" t="s">
        <v>356</v>
      </c>
      <c r="AE42" s="239" t="s">
        <v>357</v>
      </c>
      <c r="AF42" s="110">
        <f t="shared" si="1"/>
        <v>0.72</v>
      </c>
      <c r="AG42" s="110">
        <f>274/386</f>
        <v>0.7098445595854922</v>
      </c>
      <c r="AH42" s="57" t="s">
        <v>358</v>
      </c>
      <c r="AI42" s="57" t="s">
        <v>205</v>
      </c>
      <c r="AJ42" s="135">
        <f t="shared" si="2"/>
        <v>0.72</v>
      </c>
      <c r="AK42" s="135">
        <f>382/532</f>
        <v>0.71804511278195493</v>
      </c>
      <c r="AL42" s="59" t="s">
        <v>359</v>
      </c>
      <c r="AM42" s="60" t="s">
        <v>360</v>
      </c>
      <c r="AN42" s="110">
        <f t="shared" si="3"/>
        <v>0.72</v>
      </c>
      <c r="AO42" s="137">
        <f>244/436</f>
        <v>0.55963302752293576</v>
      </c>
      <c r="AP42" s="62" t="s">
        <v>361</v>
      </c>
      <c r="AQ42" s="62" t="s">
        <v>362</v>
      </c>
      <c r="AR42" s="112">
        <f t="shared" si="4"/>
        <v>0.72</v>
      </c>
      <c r="AS42" s="117">
        <f>270/511</f>
        <v>0.52837573385518588</v>
      </c>
      <c r="AT42" s="240" t="s">
        <v>363</v>
      </c>
      <c r="AU42" s="147" t="s">
        <v>362</v>
      </c>
    </row>
    <row r="43" spans="1:47" ht="61.5" customHeight="1" thickBot="1">
      <c r="A43" s="241"/>
      <c r="B43" s="241"/>
      <c r="C43" s="242" t="s">
        <v>163</v>
      </c>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f t="shared" si="1"/>
        <v>0</v>
      </c>
      <c r="AG43" s="94"/>
      <c r="AH43" s="94"/>
      <c r="AI43" s="94"/>
      <c r="AJ43" s="94">
        <f t="shared" si="2"/>
        <v>0</v>
      </c>
      <c r="AK43" s="94"/>
      <c r="AL43" s="94"/>
      <c r="AM43" s="94"/>
      <c r="AN43" s="94">
        <f t="shared" si="3"/>
        <v>0</v>
      </c>
      <c r="AO43" s="94"/>
      <c r="AP43" s="94"/>
      <c r="AQ43" s="94"/>
      <c r="AR43" s="94">
        <f t="shared" si="4"/>
        <v>0</v>
      </c>
      <c r="AS43" s="94"/>
      <c r="AT43" s="94"/>
      <c r="AU43" s="94"/>
    </row>
    <row r="44" spans="1:47" ht="117.2" customHeight="1" thickBot="1">
      <c r="A44" s="243" t="s">
        <v>364</v>
      </c>
      <c r="B44" s="243" t="s">
        <v>365</v>
      </c>
      <c r="C44" s="244" t="s">
        <v>366</v>
      </c>
      <c r="D44" s="164">
        <v>1</v>
      </c>
      <c r="E44" s="245" t="s">
        <v>367</v>
      </c>
      <c r="F44" s="246">
        <v>0.03</v>
      </c>
      <c r="G44" s="247" t="s">
        <v>198</v>
      </c>
      <c r="H44" s="248" t="s">
        <v>50</v>
      </c>
      <c r="I44" s="249">
        <v>60</v>
      </c>
      <c r="J44" s="194">
        <f t="shared" ref="J44:J53" si="27">AG44</f>
        <v>241</v>
      </c>
      <c r="K44" s="44">
        <f t="shared" ref="K44:K53" si="28">IF(ISERROR(J44/I44),"",(J44/I44))</f>
        <v>4.0166666666666666</v>
      </c>
      <c r="L44" s="250">
        <v>80</v>
      </c>
      <c r="M44" s="251">
        <f t="shared" ref="M44:M53" si="29">AK44</f>
        <v>317</v>
      </c>
      <c r="N44" s="47">
        <f t="shared" ref="N44:N53" si="30">IF(ISERROR(M44/L44),"",(M44/L44))</f>
        <v>3.9624999999999999</v>
      </c>
      <c r="O44" s="249">
        <v>80</v>
      </c>
      <c r="P44" s="194">
        <f t="shared" ref="P44:P53" si="31">AO44</f>
        <v>105</v>
      </c>
      <c r="Q44" s="44">
        <f t="shared" ref="Q44:Q53" si="32">IF(ISERROR(P44/O44),"",(P44/O44))</f>
        <v>1.3125</v>
      </c>
      <c r="R44" s="250">
        <v>60</v>
      </c>
      <c r="S44" s="195">
        <f t="shared" ref="S44:S53" si="33">AS44</f>
        <v>82</v>
      </c>
      <c r="T44" s="47">
        <f t="shared" ref="T44:T53" si="34">IF(ISERROR(S44/R44),"",(S44/R44))</f>
        <v>1.3666666666666667</v>
      </c>
      <c r="U44" s="196">
        <f>SUM(I44,L44,O44,R44)</f>
        <v>280</v>
      </c>
      <c r="V44" s="252">
        <f>SUM(J44,M44,P44,S44)</f>
        <v>745</v>
      </c>
      <c r="W44" s="50">
        <f t="shared" ref="W44:W53" si="35">IF((IF(ISERROR(V44/U44),0,(V44/U44)))&gt;1,1,(IF(ISERROR(V44/U44),0,(V44/U44))))</f>
        <v>1</v>
      </c>
      <c r="X44" s="50">
        <f t="shared" ref="X44:X53" si="36">F44*W44</f>
        <v>0.03</v>
      </c>
      <c r="Y44" s="247" t="s">
        <v>368</v>
      </c>
      <c r="Z44" s="247" t="s">
        <v>369</v>
      </c>
      <c r="AA44" s="170" t="s">
        <v>370</v>
      </c>
      <c r="AB44" s="170" t="s">
        <v>371</v>
      </c>
      <c r="AC44" s="253" t="s">
        <v>55</v>
      </c>
      <c r="AD44" s="254" t="s">
        <v>372</v>
      </c>
      <c r="AE44" s="255" t="s">
        <v>373</v>
      </c>
      <c r="AF44" s="200">
        <f t="shared" si="1"/>
        <v>60</v>
      </c>
      <c r="AG44" s="200">
        <v>241</v>
      </c>
      <c r="AH44" s="175" t="s">
        <v>374</v>
      </c>
      <c r="AI44" s="256" t="s">
        <v>372</v>
      </c>
      <c r="AJ44" s="201">
        <f t="shared" si="2"/>
        <v>80</v>
      </c>
      <c r="AK44" s="251">
        <v>317</v>
      </c>
      <c r="AL44" s="114" t="s">
        <v>375</v>
      </c>
      <c r="AM44" s="257" t="s">
        <v>372</v>
      </c>
      <c r="AN44" s="200">
        <f t="shared" si="3"/>
        <v>80</v>
      </c>
      <c r="AO44" s="204">
        <v>105</v>
      </c>
      <c r="AP44" s="258" t="s">
        <v>376</v>
      </c>
      <c r="AQ44" s="259" t="s">
        <v>372</v>
      </c>
      <c r="AR44" s="201">
        <f t="shared" si="4"/>
        <v>60</v>
      </c>
      <c r="AS44" s="260">
        <v>82</v>
      </c>
      <c r="AT44" s="261" t="s">
        <v>377</v>
      </c>
      <c r="AU44" s="148" t="s">
        <v>372</v>
      </c>
    </row>
    <row r="45" spans="1:47" ht="115.35" customHeight="1" thickTop="1" thickBot="1">
      <c r="A45" s="243"/>
      <c r="B45" s="243"/>
      <c r="C45" s="244"/>
      <c r="D45" s="164">
        <v>2</v>
      </c>
      <c r="E45" s="119" t="s">
        <v>378</v>
      </c>
      <c r="F45" s="166">
        <v>0.03</v>
      </c>
      <c r="G45" s="67" t="s">
        <v>198</v>
      </c>
      <c r="H45" s="68" t="s">
        <v>50</v>
      </c>
      <c r="I45" s="262">
        <v>25</v>
      </c>
      <c r="J45" s="194">
        <f t="shared" si="27"/>
        <v>24</v>
      </c>
      <c r="K45" s="44">
        <f t="shared" si="28"/>
        <v>0.96</v>
      </c>
      <c r="L45" s="263">
        <v>25</v>
      </c>
      <c r="M45" s="195">
        <f t="shared" si="29"/>
        <v>32</v>
      </c>
      <c r="N45" s="47">
        <f t="shared" si="30"/>
        <v>1.28</v>
      </c>
      <c r="O45" s="262">
        <v>25</v>
      </c>
      <c r="P45" s="194">
        <f t="shared" si="31"/>
        <v>35</v>
      </c>
      <c r="Q45" s="44">
        <f t="shared" si="32"/>
        <v>1.4</v>
      </c>
      <c r="R45" s="263">
        <v>25</v>
      </c>
      <c r="S45" s="195">
        <f t="shared" si="33"/>
        <v>23</v>
      </c>
      <c r="T45" s="47">
        <f t="shared" si="34"/>
        <v>0.92</v>
      </c>
      <c r="U45" s="196">
        <f>SUM(I45,L45,O45,R45)</f>
        <v>100</v>
      </c>
      <c r="V45" s="197">
        <f>SUM(J45,M45,P45,S45)</f>
        <v>114</v>
      </c>
      <c r="W45" s="50">
        <f t="shared" si="35"/>
        <v>1</v>
      </c>
      <c r="X45" s="50">
        <f t="shared" si="36"/>
        <v>0.03</v>
      </c>
      <c r="Y45" s="67" t="s">
        <v>379</v>
      </c>
      <c r="Z45" s="247" t="s">
        <v>380</v>
      </c>
      <c r="AA45" s="130" t="s">
        <v>381</v>
      </c>
      <c r="AB45" s="130" t="s">
        <v>382</v>
      </c>
      <c r="AC45" s="264" t="s">
        <v>55</v>
      </c>
      <c r="AD45" s="265" t="s">
        <v>383</v>
      </c>
      <c r="AE45" s="266" t="s">
        <v>384</v>
      </c>
      <c r="AF45" s="200">
        <f t="shared" si="1"/>
        <v>25</v>
      </c>
      <c r="AG45" s="200">
        <v>24</v>
      </c>
      <c r="AH45" s="57" t="s">
        <v>385</v>
      </c>
      <c r="AI45" s="267" t="s">
        <v>383</v>
      </c>
      <c r="AJ45" s="201">
        <f t="shared" si="2"/>
        <v>25</v>
      </c>
      <c r="AK45" s="195">
        <v>32</v>
      </c>
      <c r="AL45" s="203" t="s">
        <v>386</v>
      </c>
      <c r="AM45" s="268" t="s">
        <v>383</v>
      </c>
      <c r="AN45" s="200">
        <f t="shared" si="3"/>
        <v>25</v>
      </c>
      <c r="AO45" s="204">
        <v>35</v>
      </c>
      <c r="AP45" s="62" t="s">
        <v>387</v>
      </c>
      <c r="AQ45" s="269" t="s">
        <v>383</v>
      </c>
      <c r="AR45" s="201">
        <f t="shared" si="4"/>
        <v>25</v>
      </c>
      <c r="AS45" s="260">
        <v>23</v>
      </c>
      <c r="AT45" s="270" t="s">
        <v>388</v>
      </c>
      <c r="AU45" s="148" t="s">
        <v>383</v>
      </c>
    </row>
    <row r="46" spans="1:47" ht="151.5" customHeight="1" thickTop="1" thickBot="1">
      <c r="A46" s="243"/>
      <c r="B46" s="243"/>
      <c r="C46" s="244"/>
      <c r="D46" s="164">
        <v>3</v>
      </c>
      <c r="E46" s="271" t="s">
        <v>389</v>
      </c>
      <c r="F46" s="272">
        <v>0.02</v>
      </c>
      <c r="G46" s="273" t="s">
        <v>85</v>
      </c>
      <c r="H46" s="274" t="s">
        <v>86</v>
      </c>
      <c r="I46" s="275">
        <v>0.85</v>
      </c>
      <c r="J46" s="167">
        <f t="shared" si="27"/>
        <v>0.93599999999999994</v>
      </c>
      <c r="K46" s="44">
        <f t="shared" si="28"/>
        <v>1.1011764705882352</v>
      </c>
      <c r="L46" s="276">
        <v>0.85</v>
      </c>
      <c r="M46" s="103">
        <f t="shared" si="29"/>
        <v>0.95</v>
      </c>
      <c r="N46" s="47">
        <f t="shared" si="30"/>
        <v>1.1176470588235294</v>
      </c>
      <c r="O46" s="275">
        <v>0.85</v>
      </c>
      <c r="P46" s="167">
        <f t="shared" si="31"/>
        <v>0.95</v>
      </c>
      <c r="Q46" s="44">
        <f t="shared" si="32"/>
        <v>1.1176470588235294</v>
      </c>
      <c r="R46" s="276">
        <v>0.85</v>
      </c>
      <c r="S46" s="103">
        <f t="shared" si="33"/>
        <v>0.95</v>
      </c>
      <c r="T46" s="47">
        <f t="shared" si="34"/>
        <v>1.1176470588235294</v>
      </c>
      <c r="U46" s="104">
        <f>SUM(I46,L46,O46,R46)/4</f>
        <v>0.85</v>
      </c>
      <c r="V46" s="169">
        <f>SUM(J46,M46,P46,S46)/4</f>
        <v>0.9464999999999999</v>
      </c>
      <c r="W46" s="50">
        <f t="shared" si="35"/>
        <v>1</v>
      </c>
      <c r="X46" s="50">
        <f t="shared" si="36"/>
        <v>0.02</v>
      </c>
      <c r="Y46" s="277" t="s">
        <v>390</v>
      </c>
      <c r="Z46" s="277" t="s">
        <v>391</v>
      </c>
      <c r="AA46" s="278" t="s">
        <v>392</v>
      </c>
      <c r="AB46" s="278" t="s">
        <v>393</v>
      </c>
      <c r="AC46" s="279" t="s">
        <v>304</v>
      </c>
      <c r="AD46" s="55" t="s">
        <v>394</v>
      </c>
      <c r="AE46" s="55" t="s">
        <v>395</v>
      </c>
      <c r="AF46" s="110">
        <f t="shared" si="1"/>
        <v>0.85</v>
      </c>
      <c r="AG46" s="110">
        <f>14.04/15</f>
        <v>0.93599999999999994</v>
      </c>
      <c r="AH46" s="57" t="s">
        <v>396</v>
      </c>
      <c r="AI46" s="280" t="s">
        <v>397</v>
      </c>
      <c r="AJ46" s="135">
        <f t="shared" si="2"/>
        <v>0.85</v>
      </c>
      <c r="AK46" s="228">
        <f>14.25/15</f>
        <v>0.95</v>
      </c>
      <c r="AL46" s="203" t="s">
        <v>398</v>
      </c>
      <c r="AM46" s="281" t="s">
        <v>397</v>
      </c>
      <c r="AN46" s="110">
        <f t="shared" si="3"/>
        <v>0.85</v>
      </c>
      <c r="AO46" s="137">
        <f>14.25/15</f>
        <v>0.95</v>
      </c>
      <c r="AP46" s="62" t="s">
        <v>399</v>
      </c>
      <c r="AQ46" s="280" t="s">
        <v>397</v>
      </c>
      <c r="AR46" s="135">
        <f t="shared" si="4"/>
        <v>0.85</v>
      </c>
      <c r="AS46" s="282">
        <v>0.95</v>
      </c>
      <c r="AT46" s="270" t="s">
        <v>400</v>
      </c>
      <c r="AU46" s="270" t="s">
        <v>397</v>
      </c>
    </row>
    <row r="47" spans="1:47" ht="91.5" customHeight="1" thickTop="1" thickBot="1">
      <c r="A47" s="243"/>
      <c r="B47" s="243"/>
      <c r="C47" s="244"/>
      <c r="D47" s="164">
        <v>4</v>
      </c>
      <c r="E47" s="271" t="s">
        <v>401</v>
      </c>
      <c r="F47" s="272">
        <v>0</v>
      </c>
      <c r="G47" s="273" t="s">
        <v>198</v>
      </c>
      <c r="H47" s="274" t="s">
        <v>50</v>
      </c>
      <c r="I47" s="283">
        <v>0</v>
      </c>
      <c r="J47" s="43">
        <f t="shared" si="27"/>
        <v>0</v>
      </c>
      <c r="K47" s="44" t="str">
        <f t="shared" si="28"/>
        <v/>
      </c>
      <c r="L47" s="284">
        <v>0</v>
      </c>
      <c r="M47" s="46">
        <f t="shared" si="29"/>
        <v>0</v>
      </c>
      <c r="N47" s="47" t="str">
        <f t="shared" si="30"/>
        <v/>
      </c>
      <c r="O47" s="283">
        <v>0</v>
      </c>
      <c r="P47" s="43">
        <f t="shared" si="31"/>
        <v>0</v>
      </c>
      <c r="Q47" s="44" t="str">
        <f t="shared" si="32"/>
        <v/>
      </c>
      <c r="R47" s="284">
        <v>0</v>
      </c>
      <c r="S47" s="46">
        <f t="shared" si="33"/>
        <v>0</v>
      </c>
      <c r="T47" s="47" t="str">
        <f t="shared" si="34"/>
        <v/>
      </c>
      <c r="U47" s="48">
        <f t="shared" ref="U47:V53" si="37">SUM(I47,L47,O47,R47)</f>
        <v>0</v>
      </c>
      <c r="V47" s="285">
        <f t="shared" si="37"/>
        <v>0</v>
      </c>
      <c r="W47" s="50">
        <f t="shared" si="35"/>
        <v>0</v>
      </c>
      <c r="X47" s="50">
        <f t="shared" si="36"/>
        <v>0</v>
      </c>
      <c r="Y47" s="273" t="s">
        <v>402</v>
      </c>
      <c r="Z47" s="273" t="s">
        <v>403</v>
      </c>
      <c r="AA47" s="278" t="s">
        <v>404</v>
      </c>
      <c r="AB47" s="278" t="s">
        <v>405</v>
      </c>
      <c r="AC47" s="279" t="s">
        <v>55</v>
      </c>
      <c r="AD47" s="55" t="s">
        <v>406</v>
      </c>
      <c r="AE47" s="73" t="s">
        <v>407</v>
      </c>
      <c r="AF47" s="200">
        <f t="shared" si="1"/>
        <v>0</v>
      </c>
      <c r="AG47" s="200">
        <v>0</v>
      </c>
      <c r="AH47" s="57" t="s">
        <v>57</v>
      </c>
      <c r="AI47" s="57" t="s">
        <v>57</v>
      </c>
      <c r="AJ47" s="201">
        <f t="shared" si="2"/>
        <v>0</v>
      </c>
      <c r="AK47" s="201">
        <v>0</v>
      </c>
      <c r="AL47" s="203" t="s">
        <v>57</v>
      </c>
      <c r="AM47" s="141" t="s">
        <v>57</v>
      </c>
      <c r="AN47" s="200">
        <f t="shared" si="3"/>
        <v>0</v>
      </c>
      <c r="AO47" s="204">
        <v>0</v>
      </c>
      <c r="AP47" s="62" t="s">
        <v>57</v>
      </c>
      <c r="AQ47" s="193" t="s">
        <v>57</v>
      </c>
      <c r="AR47" s="201">
        <f t="shared" si="4"/>
        <v>0</v>
      </c>
      <c r="AS47" s="260">
        <v>0</v>
      </c>
      <c r="AT47" s="148" t="s">
        <v>57</v>
      </c>
      <c r="AU47" s="148" t="s">
        <v>57</v>
      </c>
    </row>
    <row r="48" spans="1:47" ht="93.6" customHeight="1" thickTop="1" thickBot="1">
      <c r="A48" s="243"/>
      <c r="B48" s="243"/>
      <c r="C48" s="244"/>
      <c r="D48" s="164">
        <v>5</v>
      </c>
      <c r="E48" s="271" t="s">
        <v>408</v>
      </c>
      <c r="F48" s="272">
        <v>0</v>
      </c>
      <c r="G48" s="273" t="s">
        <v>198</v>
      </c>
      <c r="H48" s="274" t="s">
        <v>50</v>
      </c>
      <c r="I48" s="283">
        <v>0</v>
      </c>
      <c r="J48" s="43">
        <f t="shared" si="27"/>
        <v>0</v>
      </c>
      <c r="K48" s="44" t="str">
        <f t="shared" si="28"/>
        <v/>
      </c>
      <c r="L48" s="284">
        <v>0</v>
      </c>
      <c r="M48" s="46">
        <f t="shared" si="29"/>
        <v>0</v>
      </c>
      <c r="N48" s="47" t="str">
        <f t="shared" si="30"/>
        <v/>
      </c>
      <c r="O48" s="283">
        <v>0</v>
      </c>
      <c r="P48" s="43">
        <f t="shared" si="31"/>
        <v>0</v>
      </c>
      <c r="Q48" s="44" t="str">
        <f t="shared" si="32"/>
        <v/>
      </c>
      <c r="R48" s="284">
        <v>0</v>
      </c>
      <c r="S48" s="46">
        <f t="shared" si="33"/>
        <v>0</v>
      </c>
      <c r="T48" s="47" t="str">
        <f t="shared" si="34"/>
        <v/>
      </c>
      <c r="U48" s="48">
        <f t="shared" si="37"/>
        <v>0</v>
      </c>
      <c r="V48" s="285">
        <f t="shared" si="37"/>
        <v>0</v>
      </c>
      <c r="W48" s="50">
        <f t="shared" si="35"/>
        <v>0</v>
      </c>
      <c r="X48" s="50">
        <f t="shared" si="36"/>
        <v>0</v>
      </c>
      <c r="Y48" s="273" t="s">
        <v>409</v>
      </c>
      <c r="Z48" s="273" t="s">
        <v>410</v>
      </c>
      <c r="AA48" s="274" t="s">
        <v>411</v>
      </c>
      <c r="AB48" s="274" t="s">
        <v>412</v>
      </c>
      <c r="AC48" s="279" t="s">
        <v>55</v>
      </c>
      <c r="AD48" s="73"/>
      <c r="AE48" s="55" t="s">
        <v>406</v>
      </c>
      <c r="AF48" s="200">
        <f t="shared" si="1"/>
        <v>0</v>
      </c>
      <c r="AG48" s="200">
        <v>0</v>
      </c>
      <c r="AH48" s="57" t="s">
        <v>57</v>
      </c>
      <c r="AI48" s="57" t="s">
        <v>57</v>
      </c>
      <c r="AJ48" s="201">
        <f t="shared" si="2"/>
        <v>0</v>
      </c>
      <c r="AK48" s="201">
        <v>0</v>
      </c>
      <c r="AL48" s="192" t="s">
        <v>57</v>
      </c>
      <c r="AM48" s="141" t="s">
        <v>57</v>
      </c>
      <c r="AN48" s="200">
        <f t="shared" si="3"/>
        <v>0</v>
      </c>
      <c r="AO48" s="204">
        <v>0</v>
      </c>
      <c r="AP48" s="62" t="s">
        <v>57</v>
      </c>
      <c r="AQ48" s="193" t="s">
        <v>57</v>
      </c>
      <c r="AR48" s="201">
        <f t="shared" si="4"/>
        <v>0</v>
      </c>
      <c r="AS48" s="260">
        <v>0</v>
      </c>
      <c r="AT48" s="148" t="s">
        <v>57</v>
      </c>
      <c r="AU48" s="148" t="s">
        <v>57</v>
      </c>
    </row>
    <row r="49" spans="1:47" ht="93.95" customHeight="1" thickTop="1" thickBot="1">
      <c r="A49" s="243"/>
      <c r="B49" s="243"/>
      <c r="C49" s="244"/>
      <c r="D49" s="164">
        <v>6</v>
      </c>
      <c r="E49" s="271" t="s">
        <v>413</v>
      </c>
      <c r="F49" s="272">
        <v>0</v>
      </c>
      <c r="G49" s="273" t="s">
        <v>198</v>
      </c>
      <c r="H49" s="274" t="s">
        <v>50</v>
      </c>
      <c r="I49" s="283">
        <v>0</v>
      </c>
      <c r="J49" s="43">
        <f t="shared" si="27"/>
        <v>0</v>
      </c>
      <c r="K49" s="44" t="str">
        <f t="shared" si="28"/>
        <v/>
      </c>
      <c r="L49" s="284">
        <v>0</v>
      </c>
      <c r="M49" s="46">
        <f t="shared" si="29"/>
        <v>0</v>
      </c>
      <c r="N49" s="47" t="str">
        <f t="shared" si="30"/>
        <v/>
      </c>
      <c r="O49" s="283">
        <v>0</v>
      </c>
      <c r="P49" s="43">
        <f t="shared" si="31"/>
        <v>0</v>
      </c>
      <c r="Q49" s="44" t="str">
        <f t="shared" si="32"/>
        <v/>
      </c>
      <c r="R49" s="284">
        <v>0</v>
      </c>
      <c r="S49" s="46">
        <f t="shared" si="33"/>
        <v>0</v>
      </c>
      <c r="T49" s="47" t="str">
        <f t="shared" si="34"/>
        <v/>
      </c>
      <c r="U49" s="48">
        <f t="shared" si="37"/>
        <v>0</v>
      </c>
      <c r="V49" s="285">
        <f t="shared" si="37"/>
        <v>0</v>
      </c>
      <c r="W49" s="50">
        <f t="shared" si="35"/>
        <v>0</v>
      </c>
      <c r="X49" s="50">
        <f t="shared" si="36"/>
        <v>0</v>
      </c>
      <c r="Y49" s="277" t="s">
        <v>414</v>
      </c>
      <c r="Z49" s="277" t="s">
        <v>415</v>
      </c>
      <c r="AA49" s="274" t="s">
        <v>416</v>
      </c>
      <c r="AB49" s="274" t="s">
        <v>417</v>
      </c>
      <c r="AC49" s="279" t="s">
        <v>55</v>
      </c>
      <c r="AD49" s="73"/>
      <c r="AE49" s="55" t="s">
        <v>406</v>
      </c>
      <c r="AF49" s="200">
        <f t="shared" si="1"/>
        <v>0</v>
      </c>
      <c r="AG49" s="200">
        <v>0</v>
      </c>
      <c r="AH49" s="57" t="s">
        <v>57</v>
      </c>
      <c r="AI49" s="57" t="s">
        <v>57</v>
      </c>
      <c r="AJ49" s="201">
        <f t="shared" si="2"/>
        <v>0</v>
      </c>
      <c r="AK49" s="201">
        <v>0</v>
      </c>
      <c r="AL49" s="192" t="s">
        <v>57</v>
      </c>
      <c r="AM49" s="141" t="s">
        <v>57</v>
      </c>
      <c r="AN49" s="200">
        <f t="shared" si="3"/>
        <v>0</v>
      </c>
      <c r="AO49" s="204">
        <v>0</v>
      </c>
      <c r="AP49" s="62" t="s">
        <v>57</v>
      </c>
      <c r="AQ49" s="193" t="s">
        <v>57</v>
      </c>
      <c r="AR49" s="201">
        <f t="shared" si="4"/>
        <v>0</v>
      </c>
      <c r="AS49" s="260">
        <v>0</v>
      </c>
      <c r="AT49" s="148" t="s">
        <v>57</v>
      </c>
      <c r="AU49" s="148" t="s">
        <v>57</v>
      </c>
    </row>
    <row r="50" spans="1:47" ht="178.5" customHeight="1" thickTop="1" thickBot="1">
      <c r="A50" s="243"/>
      <c r="B50" s="243"/>
      <c r="C50" s="244"/>
      <c r="D50" s="164">
        <v>7</v>
      </c>
      <c r="E50" s="271" t="s">
        <v>418</v>
      </c>
      <c r="F50" s="272">
        <v>0.03</v>
      </c>
      <c r="G50" s="273" t="s">
        <v>198</v>
      </c>
      <c r="H50" s="274" t="s">
        <v>50</v>
      </c>
      <c r="I50" s="283">
        <v>2</v>
      </c>
      <c r="J50" s="43">
        <f t="shared" si="27"/>
        <v>2</v>
      </c>
      <c r="K50" s="44">
        <f t="shared" si="28"/>
        <v>1</v>
      </c>
      <c r="L50" s="284">
        <v>6</v>
      </c>
      <c r="M50" s="46">
        <f t="shared" si="29"/>
        <v>6</v>
      </c>
      <c r="N50" s="47">
        <f t="shared" si="30"/>
        <v>1</v>
      </c>
      <c r="O50" s="283">
        <v>6</v>
      </c>
      <c r="P50" s="43">
        <f t="shared" si="31"/>
        <v>6</v>
      </c>
      <c r="Q50" s="44">
        <f t="shared" si="32"/>
        <v>1</v>
      </c>
      <c r="R50" s="284">
        <v>6</v>
      </c>
      <c r="S50" s="46">
        <f t="shared" si="33"/>
        <v>2</v>
      </c>
      <c r="T50" s="47">
        <f t="shared" si="34"/>
        <v>0.33333333333333331</v>
      </c>
      <c r="U50" s="48">
        <f t="shared" si="37"/>
        <v>20</v>
      </c>
      <c r="V50" s="285">
        <f t="shared" si="37"/>
        <v>16</v>
      </c>
      <c r="W50" s="50">
        <f t="shared" si="35"/>
        <v>0.8</v>
      </c>
      <c r="X50" s="50">
        <f t="shared" si="36"/>
        <v>2.4E-2</v>
      </c>
      <c r="Y50" s="277" t="s">
        <v>419</v>
      </c>
      <c r="Z50" s="277" t="s">
        <v>420</v>
      </c>
      <c r="AA50" s="278" t="s">
        <v>421</v>
      </c>
      <c r="AB50" s="278" t="s">
        <v>422</v>
      </c>
      <c r="AC50" s="279" t="s">
        <v>55</v>
      </c>
      <c r="AD50" s="55" t="s">
        <v>423</v>
      </c>
      <c r="AE50" s="286" t="s">
        <v>424</v>
      </c>
      <c r="AF50" s="200">
        <f t="shared" si="1"/>
        <v>2</v>
      </c>
      <c r="AG50" s="200">
        <v>2</v>
      </c>
      <c r="AH50" s="57" t="s">
        <v>425</v>
      </c>
      <c r="AI50" s="57" t="s">
        <v>309</v>
      </c>
      <c r="AJ50" s="201">
        <f t="shared" si="2"/>
        <v>6</v>
      </c>
      <c r="AK50" s="201">
        <v>6</v>
      </c>
      <c r="AL50" s="192" t="s">
        <v>426</v>
      </c>
      <c r="AM50" s="141" t="s">
        <v>427</v>
      </c>
      <c r="AN50" s="200">
        <f t="shared" si="3"/>
        <v>6</v>
      </c>
      <c r="AO50" s="204">
        <v>6</v>
      </c>
      <c r="AP50" s="287" t="s">
        <v>428</v>
      </c>
      <c r="AQ50" s="62" t="s">
        <v>309</v>
      </c>
      <c r="AR50" s="201">
        <f t="shared" si="4"/>
        <v>6</v>
      </c>
      <c r="AS50" s="288">
        <v>2</v>
      </c>
      <c r="AT50" s="289" t="s">
        <v>429</v>
      </c>
      <c r="AU50" s="148" t="s">
        <v>309</v>
      </c>
    </row>
    <row r="51" spans="1:47" ht="70.150000000000006" customHeight="1" thickTop="1" thickBot="1">
      <c r="A51" s="243"/>
      <c r="B51" s="243"/>
      <c r="C51" s="244"/>
      <c r="D51" s="164">
        <v>8</v>
      </c>
      <c r="E51" s="271" t="s">
        <v>430</v>
      </c>
      <c r="F51" s="272">
        <v>0</v>
      </c>
      <c r="G51" s="273" t="s">
        <v>198</v>
      </c>
      <c r="H51" s="274" t="s">
        <v>50</v>
      </c>
      <c r="I51" s="283">
        <v>0</v>
      </c>
      <c r="J51" s="43">
        <f t="shared" si="27"/>
        <v>0</v>
      </c>
      <c r="K51" s="44" t="str">
        <f t="shared" si="28"/>
        <v/>
      </c>
      <c r="L51" s="284">
        <v>0</v>
      </c>
      <c r="M51" s="46">
        <f t="shared" si="29"/>
        <v>0</v>
      </c>
      <c r="N51" s="47" t="str">
        <f t="shared" si="30"/>
        <v/>
      </c>
      <c r="O51" s="283">
        <v>0</v>
      </c>
      <c r="P51" s="43">
        <f t="shared" si="31"/>
        <v>0</v>
      </c>
      <c r="Q51" s="44" t="str">
        <f t="shared" si="32"/>
        <v/>
      </c>
      <c r="R51" s="284">
        <v>0</v>
      </c>
      <c r="S51" s="46">
        <f t="shared" si="33"/>
        <v>0</v>
      </c>
      <c r="T51" s="47" t="str">
        <f t="shared" si="34"/>
        <v/>
      </c>
      <c r="U51" s="48">
        <f t="shared" si="37"/>
        <v>0</v>
      </c>
      <c r="V51" s="285">
        <f t="shared" si="37"/>
        <v>0</v>
      </c>
      <c r="W51" s="50">
        <f t="shared" si="35"/>
        <v>0</v>
      </c>
      <c r="X51" s="50">
        <f t="shared" si="36"/>
        <v>0</v>
      </c>
      <c r="Y51" s="277" t="s">
        <v>431</v>
      </c>
      <c r="Z51" s="277" t="s">
        <v>432</v>
      </c>
      <c r="AA51" s="278" t="s">
        <v>433</v>
      </c>
      <c r="AB51" s="278" t="s">
        <v>434</v>
      </c>
      <c r="AC51" s="279" t="s">
        <v>55</v>
      </c>
      <c r="AD51" s="55"/>
      <c r="AE51" s="55" t="s">
        <v>435</v>
      </c>
      <c r="AF51" s="200">
        <f t="shared" si="1"/>
        <v>0</v>
      </c>
      <c r="AG51" s="200">
        <v>0</v>
      </c>
      <c r="AH51" s="57" t="s">
        <v>57</v>
      </c>
      <c r="AI51" s="57" t="s">
        <v>57</v>
      </c>
      <c r="AJ51" s="201">
        <f t="shared" si="2"/>
        <v>0</v>
      </c>
      <c r="AK51" s="201">
        <v>0</v>
      </c>
      <c r="AL51" s="203" t="s">
        <v>57</v>
      </c>
      <c r="AM51" s="141" t="s">
        <v>57</v>
      </c>
      <c r="AN51" s="200">
        <f t="shared" si="3"/>
        <v>0</v>
      </c>
      <c r="AO51" s="204">
        <v>0</v>
      </c>
      <c r="AP51" s="62" t="s">
        <v>57</v>
      </c>
      <c r="AQ51" s="193" t="s">
        <v>57</v>
      </c>
      <c r="AR51" s="201">
        <f t="shared" si="4"/>
        <v>0</v>
      </c>
      <c r="AS51" s="260">
        <v>0</v>
      </c>
      <c r="AT51" s="148" t="s">
        <v>57</v>
      </c>
      <c r="AU51" s="148" t="s">
        <v>57</v>
      </c>
    </row>
    <row r="52" spans="1:47" ht="107.45" customHeight="1" thickTop="1" thickBot="1">
      <c r="A52" s="243"/>
      <c r="B52" s="243"/>
      <c r="C52" s="244"/>
      <c r="D52" s="164">
        <v>9</v>
      </c>
      <c r="E52" s="271" t="s">
        <v>436</v>
      </c>
      <c r="F52" s="272">
        <v>0</v>
      </c>
      <c r="G52" s="67" t="s">
        <v>85</v>
      </c>
      <c r="H52" s="68" t="s">
        <v>50</v>
      </c>
      <c r="I52" s="275">
        <v>0</v>
      </c>
      <c r="J52" s="167">
        <f t="shared" si="27"/>
        <v>0</v>
      </c>
      <c r="K52" s="44" t="str">
        <f t="shared" si="28"/>
        <v/>
      </c>
      <c r="L52" s="290">
        <v>0</v>
      </c>
      <c r="M52" s="168">
        <f t="shared" si="29"/>
        <v>0</v>
      </c>
      <c r="N52" s="47" t="str">
        <f t="shared" si="30"/>
        <v/>
      </c>
      <c r="O52" s="275">
        <v>0</v>
      </c>
      <c r="P52" s="167">
        <f t="shared" si="31"/>
        <v>0</v>
      </c>
      <c r="Q52" s="44" t="str">
        <f t="shared" si="32"/>
        <v/>
      </c>
      <c r="R52" s="290">
        <v>0</v>
      </c>
      <c r="S52" s="168">
        <f t="shared" si="33"/>
        <v>0</v>
      </c>
      <c r="T52" s="47" t="str">
        <f t="shared" si="34"/>
        <v/>
      </c>
      <c r="U52" s="104">
        <f t="shared" si="37"/>
        <v>0</v>
      </c>
      <c r="V52" s="169">
        <f t="shared" si="37"/>
        <v>0</v>
      </c>
      <c r="W52" s="50">
        <f t="shared" si="35"/>
        <v>0</v>
      </c>
      <c r="X52" s="50">
        <f t="shared" si="36"/>
        <v>0</v>
      </c>
      <c r="Y52" s="277" t="s">
        <v>437</v>
      </c>
      <c r="Z52" s="277" t="s">
        <v>438</v>
      </c>
      <c r="AA52" s="278" t="s">
        <v>439</v>
      </c>
      <c r="AB52" s="278" t="s">
        <v>440</v>
      </c>
      <c r="AC52" s="279" t="s">
        <v>55</v>
      </c>
      <c r="AD52" s="55" t="s">
        <v>441</v>
      </c>
      <c r="AE52" s="55" t="s">
        <v>442</v>
      </c>
      <c r="AF52" s="109">
        <f t="shared" si="1"/>
        <v>0</v>
      </c>
      <c r="AG52" s="109">
        <v>0</v>
      </c>
      <c r="AH52" s="57" t="s">
        <v>57</v>
      </c>
      <c r="AI52" s="57" t="s">
        <v>57</v>
      </c>
      <c r="AJ52" s="112">
        <f t="shared" si="2"/>
        <v>0</v>
      </c>
      <c r="AK52" s="112">
        <v>0</v>
      </c>
      <c r="AL52" s="59" t="s">
        <v>57</v>
      </c>
      <c r="AM52" s="60" t="s">
        <v>57</v>
      </c>
      <c r="AN52" s="109">
        <f t="shared" si="3"/>
        <v>0</v>
      </c>
      <c r="AO52" s="115">
        <v>0</v>
      </c>
      <c r="AP52" s="186" t="s">
        <v>57</v>
      </c>
      <c r="AQ52" s="187" t="s">
        <v>57</v>
      </c>
      <c r="AR52" s="112">
        <f t="shared" si="4"/>
        <v>0</v>
      </c>
      <c r="AS52" s="291">
        <v>0</v>
      </c>
      <c r="AT52" s="148" t="s">
        <v>57</v>
      </c>
      <c r="AU52" s="148" t="s">
        <v>57</v>
      </c>
    </row>
    <row r="53" spans="1:47" ht="137.25" customHeight="1" thickTop="1" thickBot="1">
      <c r="A53" s="243"/>
      <c r="B53" s="243"/>
      <c r="C53" s="244"/>
      <c r="D53" s="164">
        <v>10</v>
      </c>
      <c r="E53" s="119" t="s">
        <v>443</v>
      </c>
      <c r="F53" s="166">
        <v>0.03</v>
      </c>
      <c r="G53" s="67" t="s">
        <v>85</v>
      </c>
      <c r="H53" s="68" t="s">
        <v>50</v>
      </c>
      <c r="I53" s="275">
        <v>0.2</v>
      </c>
      <c r="J53" s="167">
        <f t="shared" si="27"/>
        <v>0</v>
      </c>
      <c r="K53" s="44">
        <f t="shared" si="28"/>
        <v>0</v>
      </c>
      <c r="L53" s="290">
        <v>0.3</v>
      </c>
      <c r="M53" s="168">
        <f t="shared" si="29"/>
        <v>0.2839506172839506</v>
      </c>
      <c r="N53" s="47">
        <f t="shared" si="30"/>
        <v>0.94650205761316875</v>
      </c>
      <c r="O53" s="275">
        <v>0.35</v>
      </c>
      <c r="P53" s="167">
        <f t="shared" si="31"/>
        <v>0.32098765432098764</v>
      </c>
      <c r="Q53" s="44">
        <f t="shared" si="32"/>
        <v>0.9171075837742505</v>
      </c>
      <c r="R53" s="290">
        <v>0.15</v>
      </c>
      <c r="S53" s="168">
        <f t="shared" si="33"/>
        <v>0.24691358024691357</v>
      </c>
      <c r="T53" s="47">
        <f t="shared" si="34"/>
        <v>1.6460905349794239</v>
      </c>
      <c r="U53" s="104">
        <f t="shared" si="37"/>
        <v>1</v>
      </c>
      <c r="V53" s="169">
        <f t="shared" si="37"/>
        <v>0.85185185185185186</v>
      </c>
      <c r="W53" s="50">
        <f t="shared" si="35"/>
        <v>0.85185185185185186</v>
      </c>
      <c r="X53" s="50">
        <f t="shared" si="36"/>
        <v>2.5555555555555554E-2</v>
      </c>
      <c r="Y53" s="292" t="s">
        <v>444</v>
      </c>
      <c r="Z53" s="277" t="s">
        <v>445</v>
      </c>
      <c r="AA53" s="130" t="s">
        <v>446</v>
      </c>
      <c r="AB53" s="278" t="s">
        <v>440</v>
      </c>
      <c r="AC53" s="131" t="s">
        <v>55</v>
      </c>
      <c r="AD53" s="73" t="s">
        <v>447</v>
      </c>
      <c r="AE53" s="73" t="s">
        <v>448</v>
      </c>
      <c r="AF53" s="110">
        <f t="shared" si="1"/>
        <v>0.2</v>
      </c>
      <c r="AG53" s="110">
        <v>0</v>
      </c>
      <c r="AH53" s="57"/>
      <c r="AI53" s="57" t="s">
        <v>449</v>
      </c>
      <c r="AJ53" s="112">
        <f t="shared" si="2"/>
        <v>0.3</v>
      </c>
      <c r="AK53" s="112">
        <f>23/81</f>
        <v>0.2839506172839506</v>
      </c>
      <c r="AL53" s="293" t="s">
        <v>450</v>
      </c>
      <c r="AM53" s="294" t="s">
        <v>451</v>
      </c>
      <c r="AN53" s="110">
        <f t="shared" si="3"/>
        <v>0.35</v>
      </c>
      <c r="AO53" s="295">
        <f>26/81</f>
        <v>0.32098765432098764</v>
      </c>
      <c r="AP53" s="62" t="s">
        <v>452</v>
      </c>
      <c r="AQ53" s="296" t="s">
        <v>451</v>
      </c>
      <c r="AR53" s="112">
        <f t="shared" si="4"/>
        <v>0.15</v>
      </c>
      <c r="AS53" s="291">
        <f>20/81</f>
        <v>0.24691358024691357</v>
      </c>
      <c r="AT53" s="148" t="s">
        <v>453</v>
      </c>
      <c r="AU53" s="148" t="s">
        <v>451</v>
      </c>
    </row>
    <row r="54" spans="1:47" ht="45.75" customHeight="1" thickBot="1">
      <c r="A54" s="297"/>
      <c r="B54" s="297"/>
      <c r="C54" s="298" t="s">
        <v>163</v>
      </c>
      <c r="D54" s="94"/>
      <c r="E54" s="94"/>
      <c r="F54" s="94"/>
      <c r="G54" s="94"/>
      <c r="H54" s="94"/>
      <c r="I54" s="94"/>
      <c r="J54" s="94"/>
      <c r="K54" s="94"/>
      <c r="L54" s="94"/>
      <c r="M54" s="94"/>
      <c r="N54" s="94"/>
      <c r="O54" s="94"/>
      <c r="P54" s="94"/>
      <c r="Q54" s="94"/>
      <c r="R54" s="94"/>
      <c r="S54" s="94"/>
      <c r="T54" s="94"/>
      <c r="U54" s="94"/>
      <c r="V54" s="94"/>
      <c r="W54" s="94"/>
      <c r="X54" s="94"/>
      <c r="Y54" s="94"/>
      <c r="Z54" s="94"/>
      <c r="AA54" s="94"/>
      <c r="AB54" s="94"/>
      <c r="AC54" s="94"/>
      <c r="AD54" s="94"/>
      <c r="AE54" s="94"/>
      <c r="AF54" s="94">
        <f t="shared" si="1"/>
        <v>0</v>
      </c>
      <c r="AG54" s="94"/>
      <c r="AH54" s="94"/>
      <c r="AI54" s="94"/>
      <c r="AJ54" s="94">
        <f t="shared" si="2"/>
        <v>0</v>
      </c>
      <c r="AK54" s="94"/>
      <c r="AL54" s="94"/>
      <c r="AM54" s="94"/>
      <c r="AN54" s="94">
        <f t="shared" si="3"/>
        <v>0</v>
      </c>
      <c r="AO54" s="94"/>
      <c r="AP54" s="94"/>
      <c r="AQ54" s="94"/>
      <c r="AR54" s="94">
        <f t="shared" si="4"/>
        <v>0</v>
      </c>
      <c r="AS54" s="94"/>
      <c r="AT54" s="94"/>
      <c r="AU54" s="94"/>
    </row>
    <row r="55" spans="1:47" ht="171.6" customHeight="1" thickTop="1" thickBot="1">
      <c r="A55" s="162" t="s">
        <v>454</v>
      </c>
      <c r="B55" s="162"/>
      <c r="C55" s="299" t="s">
        <v>455</v>
      </c>
      <c r="D55" s="164">
        <v>1</v>
      </c>
      <c r="E55" s="38" t="s">
        <v>456</v>
      </c>
      <c r="F55" s="166">
        <v>0.03</v>
      </c>
      <c r="G55" s="40" t="s">
        <v>85</v>
      </c>
      <c r="H55" s="41" t="s">
        <v>99</v>
      </c>
      <c r="I55" s="300">
        <v>0.08</v>
      </c>
      <c r="J55" s="121">
        <f>AG55</f>
        <v>0.05</v>
      </c>
      <c r="K55" s="44">
        <f>IF(ISERROR(J55/I55),"",(J55/I55))</f>
        <v>0.625</v>
      </c>
      <c r="L55" s="301">
        <v>0.12</v>
      </c>
      <c r="M55" s="123">
        <f>AK55</f>
        <v>0.14586572005630699</v>
      </c>
      <c r="N55" s="47">
        <f>IF(ISERROR(M55/L55),"",(M55/L55))</f>
        <v>1.2155476671358916</v>
      </c>
      <c r="O55" s="300">
        <v>0.18</v>
      </c>
      <c r="P55" s="121">
        <f>AO55</f>
        <v>0.19748760634065732</v>
      </c>
      <c r="Q55" s="44">
        <f>IF(ISERROR(P55/O55),"",(P55/O55))</f>
        <v>1.0971533685592074</v>
      </c>
      <c r="R55" s="301">
        <v>0.25</v>
      </c>
      <c r="S55" s="123">
        <f>AS55</f>
        <v>0.22706407980904583</v>
      </c>
      <c r="T55" s="47">
        <f>IF(ISERROR(S55/R55),"",(S55/R55))</f>
        <v>0.90825631923618333</v>
      </c>
      <c r="U55" s="125">
        <f>R55</f>
        <v>0.25</v>
      </c>
      <c r="V55" s="180">
        <f>S55</f>
        <v>0.22706407980904583</v>
      </c>
      <c r="W55" s="50">
        <f>IF((IF(ISERROR(V55/U55),0,(V55/U55)))&gt;1,1,(IF(ISERROR(V55/U55),0,(V55/U55))))</f>
        <v>0.90825631923618333</v>
      </c>
      <c r="X55" s="50">
        <f>F55*W55</f>
        <v>2.7247689577085499E-2</v>
      </c>
      <c r="Y55" s="40" t="s">
        <v>457</v>
      </c>
      <c r="Z55" s="40" t="s">
        <v>458</v>
      </c>
      <c r="AA55" s="41" t="s">
        <v>459</v>
      </c>
      <c r="AB55" s="302"/>
      <c r="AC55" s="303" t="s">
        <v>55</v>
      </c>
      <c r="AD55" s="54" t="s">
        <v>460</v>
      </c>
      <c r="AE55" s="54" t="s">
        <v>461</v>
      </c>
      <c r="AF55" s="110">
        <f t="shared" si="1"/>
        <v>0.08</v>
      </c>
      <c r="AG55" s="110">
        <v>0.05</v>
      </c>
      <c r="AH55" s="111" t="s">
        <v>462</v>
      </c>
      <c r="AI55" s="111" t="s">
        <v>463</v>
      </c>
      <c r="AJ55" s="135">
        <f t="shared" si="2"/>
        <v>0.12</v>
      </c>
      <c r="AK55" s="135">
        <f>+(12801*0.25/16339)-0.05</f>
        <v>0.14586572005630699</v>
      </c>
      <c r="AL55" s="59" t="s">
        <v>464</v>
      </c>
      <c r="AM55" s="60" t="s">
        <v>463</v>
      </c>
      <c r="AN55" s="110">
        <f t="shared" si="3"/>
        <v>0.18</v>
      </c>
      <c r="AO55" s="110">
        <f>+(12907*0.25/16339)</f>
        <v>0.19748760634065732</v>
      </c>
      <c r="AP55" s="175" t="s">
        <v>465</v>
      </c>
      <c r="AQ55" s="175" t="s">
        <v>463</v>
      </c>
      <c r="AR55" s="112">
        <f t="shared" si="4"/>
        <v>0.25</v>
      </c>
      <c r="AS55" s="304">
        <f>3710/16339</f>
        <v>0.22706407980904583</v>
      </c>
      <c r="AT55" s="148" t="s">
        <v>466</v>
      </c>
      <c r="AU55" s="305" t="s">
        <v>463</v>
      </c>
    </row>
    <row r="56" spans="1:47" ht="151.15" customHeight="1" thickTop="1" thickBot="1">
      <c r="A56" s="162"/>
      <c r="B56" s="162"/>
      <c r="C56" s="299"/>
      <c r="D56" s="306">
        <v>2</v>
      </c>
      <c r="E56" s="38" t="s">
        <v>467</v>
      </c>
      <c r="F56" s="166">
        <v>0.01</v>
      </c>
      <c r="G56" s="40" t="s">
        <v>85</v>
      </c>
      <c r="H56" s="41" t="s">
        <v>50</v>
      </c>
      <c r="I56" s="307">
        <v>0.9</v>
      </c>
      <c r="J56" s="308">
        <f>AG56</f>
        <v>0.92307692307692313</v>
      </c>
      <c r="K56" s="232">
        <f>IF(ISERROR(J56/I56),"",(J56/I56))</f>
        <v>1.0256410256410258</v>
      </c>
      <c r="L56" s="309">
        <v>0</v>
      </c>
      <c r="M56" s="310">
        <f>AK56</f>
        <v>0</v>
      </c>
      <c r="N56" s="233" t="str">
        <f>IF(ISERROR(M56/L56),"",(M56/L56))</f>
        <v/>
      </c>
      <c r="O56" s="307">
        <v>0</v>
      </c>
      <c r="P56" s="308">
        <f>AO56</f>
        <v>0</v>
      </c>
      <c r="Q56" s="232" t="str">
        <f>IF(ISERROR(P56/O56),"",(P56/O56))</f>
        <v/>
      </c>
      <c r="R56" s="309">
        <v>0</v>
      </c>
      <c r="S56" s="310">
        <f>AS56</f>
        <v>0</v>
      </c>
      <c r="T56" s="47" t="str">
        <f>IF(ISERROR(S56/R56),"",(S56/R56))</f>
        <v/>
      </c>
      <c r="U56" s="311">
        <f t="shared" ref="U56:V58" si="38">SUM(I56,L56,O56,R56)</f>
        <v>0.9</v>
      </c>
      <c r="V56" s="312">
        <f t="shared" si="38"/>
        <v>0.92307692307692313</v>
      </c>
      <c r="W56" s="50">
        <f>IF((IF(ISERROR(V56/U56),0,(V56/U56)))&gt;1,1,(IF(ISERROR(V56/U56),0,(V56/U56))))</f>
        <v>1</v>
      </c>
      <c r="X56" s="50">
        <f>F56*W56</f>
        <v>0.01</v>
      </c>
      <c r="Y56" s="67" t="s">
        <v>468</v>
      </c>
      <c r="Z56" s="67" t="s">
        <v>469</v>
      </c>
      <c r="AA56" s="68" t="s">
        <v>470</v>
      </c>
      <c r="AB56" s="313" t="s">
        <v>471</v>
      </c>
      <c r="AC56" s="303" t="s">
        <v>55</v>
      </c>
      <c r="AD56" s="55" t="s">
        <v>472</v>
      </c>
      <c r="AE56" s="73"/>
      <c r="AF56" s="109">
        <f t="shared" si="1"/>
        <v>0.9</v>
      </c>
      <c r="AG56" s="109">
        <f>12/13</f>
        <v>0.92307692307692313</v>
      </c>
      <c r="AH56" s="57" t="s">
        <v>473</v>
      </c>
      <c r="AI56" s="57" t="s">
        <v>474</v>
      </c>
      <c r="AJ56" s="112">
        <f t="shared" si="2"/>
        <v>0</v>
      </c>
      <c r="AK56" s="112">
        <v>0</v>
      </c>
      <c r="AL56" s="192" t="s">
        <v>57</v>
      </c>
      <c r="AM56" s="141" t="s">
        <v>57</v>
      </c>
      <c r="AN56" s="109">
        <f t="shared" si="3"/>
        <v>0</v>
      </c>
      <c r="AO56" s="115">
        <v>0</v>
      </c>
      <c r="AP56" s="62" t="s">
        <v>57</v>
      </c>
      <c r="AQ56" s="193" t="s">
        <v>57</v>
      </c>
      <c r="AR56" s="112">
        <f t="shared" si="4"/>
        <v>0</v>
      </c>
      <c r="AS56" s="314">
        <v>0</v>
      </c>
      <c r="AT56" s="148" t="s">
        <v>475</v>
      </c>
      <c r="AU56" s="148" t="s">
        <v>57</v>
      </c>
    </row>
    <row r="57" spans="1:47" ht="119.45" customHeight="1" thickTop="1" thickBot="1">
      <c r="A57" s="162"/>
      <c r="B57" s="162"/>
      <c r="C57" s="299"/>
      <c r="D57" s="306">
        <v>3</v>
      </c>
      <c r="E57" s="38" t="s">
        <v>476</v>
      </c>
      <c r="F57" s="315">
        <v>0</v>
      </c>
      <c r="G57" s="67" t="s">
        <v>85</v>
      </c>
      <c r="H57" s="68" t="s">
        <v>99</v>
      </c>
      <c r="I57" s="307">
        <v>0</v>
      </c>
      <c r="J57" s="308">
        <f>AG57</f>
        <v>0</v>
      </c>
      <c r="K57" s="232" t="str">
        <f>IF(ISERROR(J57/I57),"",(J57/I57))</f>
        <v/>
      </c>
      <c r="L57" s="309">
        <v>0</v>
      </c>
      <c r="M57" s="310">
        <f>AK57</f>
        <v>0</v>
      </c>
      <c r="N57" s="233" t="str">
        <f>IF(ISERROR(M57/L57),"",(M57/L57))</f>
        <v/>
      </c>
      <c r="O57" s="307">
        <v>0</v>
      </c>
      <c r="P57" s="308">
        <f>AO57</f>
        <v>0</v>
      </c>
      <c r="Q57" s="232" t="str">
        <f>IF(ISERROR(P57/O57),"",(P57/O57))</f>
        <v/>
      </c>
      <c r="R57" s="309">
        <v>0</v>
      </c>
      <c r="S57" s="310">
        <f>AS57</f>
        <v>0</v>
      </c>
      <c r="T57" s="47" t="str">
        <f>IF(ISERROR(S57/R57),"",(S57/R57))</f>
        <v/>
      </c>
      <c r="U57" s="311">
        <f t="shared" si="38"/>
        <v>0</v>
      </c>
      <c r="V57" s="312">
        <f t="shared" si="38"/>
        <v>0</v>
      </c>
      <c r="W57" s="50">
        <f>IF((IF(ISERROR(V57/U57),0,(V57/U57)))&gt;1,1,(IF(ISERROR(V57/U57),0,(V57/U57))))</f>
        <v>0</v>
      </c>
      <c r="X57" s="50">
        <f>F57*W57</f>
        <v>0</v>
      </c>
      <c r="Y57" s="67" t="s">
        <v>477</v>
      </c>
      <c r="Z57" s="67" t="s">
        <v>478</v>
      </c>
      <c r="AA57" s="68" t="s">
        <v>479</v>
      </c>
      <c r="AB57" s="68" t="s">
        <v>480</v>
      </c>
      <c r="AC57" s="303" t="s">
        <v>304</v>
      </c>
      <c r="AD57" s="73"/>
      <c r="AE57" s="55" t="s">
        <v>481</v>
      </c>
      <c r="AF57" s="109">
        <f t="shared" si="1"/>
        <v>0</v>
      </c>
      <c r="AG57" s="109">
        <v>0</v>
      </c>
      <c r="AH57" s="57" t="s">
        <v>57</v>
      </c>
      <c r="AI57" s="57" t="s">
        <v>57</v>
      </c>
      <c r="AJ57" s="112">
        <f t="shared" si="2"/>
        <v>0</v>
      </c>
      <c r="AK57" s="112">
        <v>0</v>
      </c>
      <c r="AL57" s="192" t="s">
        <v>57</v>
      </c>
      <c r="AM57" s="141" t="s">
        <v>57</v>
      </c>
      <c r="AN57" s="109">
        <f t="shared" si="3"/>
        <v>0</v>
      </c>
      <c r="AO57" s="115">
        <v>0</v>
      </c>
      <c r="AP57" s="62" t="s">
        <v>57</v>
      </c>
      <c r="AQ57" s="193" t="s">
        <v>57</v>
      </c>
      <c r="AR57" s="112">
        <f t="shared" si="4"/>
        <v>0</v>
      </c>
      <c r="AS57" s="314">
        <v>0</v>
      </c>
      <c r="AT57" s="148" t="s">
        <v>57</v>
      </c>
      <c r="AU57" s="148" t="s">
        <v>57</v>
      </c>
    </row>
    <row r="58" spans="1:47" ht="99.95" customHeight="1" thickTop="1" thickBot="1">
      <c r="A58" s="162"/>
      <c r="B58" s="162"/>
      <c r="C58" s="299"/>
      <c r="D58" s="164"/>
      <c r="E58" s="38" t="s">
        <v>482</v>
      </c>
      <c r="F58" s="315">
        <v>0</v>
      </c>
      <c r="G58" s="67"/>
      <c r="H58" s="68"/>
      <c r="I58" s="283">
        <v>0</v>
      </c>
      <c r="J58" s="43">
        <f>AG58</f>
        <v>0</v>
      </c>
      <c r="K58" s="44" t="str">
        <f>IF(ISERROR(J58/I58),"",(J58/I58))</f>
        <v/>
      </c>
      <c r="L58" s="316">
        <v>0</v>
      </c>
      <c r="M58" s="46">
        <f>AK58</f>
        <v>0</v>
      </c>
      <c r="N58" s="47" t="str">
        <f>IF(ISERROR(M58/L58),"",(M58/L58))</f>
        <v/>
      </c>
      <c r="O58" s="283">
        <v>0</v>
      </c>
      <c r="P58" s="43">
        <f>AO58</f>
        <v>0</v>
      </c>
      <c r="Q58" s="44" t="str">
        <f>IF(ISERROR(P58/O58),"",(P58/O58))</f>
        <v/>
      </c>
      <c r="R58" s="316">
        <v>0</v>
      </c>
      <c r="S58" s="46">
        <f>AS58</f>
        <v>0</v>
      </c>
      <c r="T58" s="47" t="str">
        <f>IF(ISERROR(S58/R58),"",(S58/R58))</f>
        <v/>
      </c>
      <c r="U58" s="48">
        <f t="shared" si="38"/>
        <v>0</v>
      </c>
      <c r="V58" s="285">
        <f t="shared" si="38"/>
        <v>0</v>
      </c>
      <c r="W58" s="50">
        <f>IF((IF(ISERROR(V58/U58),0,(V58/U58)))&gt;1,1,(IF(ISERROR(V58/U58),0,(V58/U58))))</f>
        <v>0</v>
      </c>
      <c r="X58" s="50">
        <f>F58*W58</f>
        <v>0</v>
      </c>
      <c r="Y58" s="317"/>
      <c r="Z58" s="317"/>
      <c r="AA58" s="318"/>
      <c r="AB58" s="319"/>
      <c r="AC58" s="131"/>
      <c r="AD58" s="73"/>
      <c r="AE58" s="320" t="s">
        <v>483</v>
      </c>
      <c r="AF58" s="200">
        <f t="shared" si="1"/>
        <v>0</v>
      </c>
      <c r="AG58" s="200">
        <v>0</v>
      </c>
      <c r="AH58" s="134" t="s">
        <v>57</v>
      </c>
      <c r="AI58" s="134" t="s">
        <v>57</v>
      </c>
      <c r="AJ58" s="201">
        <f t="shared" si="2"/>
        <v>0</v>
      </c>
      <c r="AK58" s="201">
        <v>0</v>
      </c>
      <c r="AL58" s="192" t="s">
        <v>57</v>
      </c>
      <c r="AM58" s="141" t="s">
        <v>57</v>
      </c>
      <c r="AN58" s="200">
        <f t="shared" si="3"/>
        <v>0</v>
      </c>
      <c r="AO58" s="204">
        <v>0</v>
      </c>
      <c r="AP58" s="62" t="s">
        <v>57</v>
      </c>
      <c r="AQ58" s="193" t="s">
        <v>57</v>
      </c>
      <c r="AR58" s="201">
        <f t="shared" si="4"/>
        <v>0</v>
      </c>
      <c r="AS58" s="321">
        <v>0</v>
      </c>
      <c r="AT58" s="147" t="s">
        <v>57</v>
      </c>
      <c r="AU58" s="147" t="s">
        <v>57</v>
      </c>
    </row>
    <row r="59" spans="1:47" ht="77.45" customHeight="1" thickBot="1">
      <c r="A59" s="297"/>
      <c r="B59" s="297"/>
      <c r="C59" s="242" t="s">
        <v>163</v>
      </c>
      <c r="D59" s="94"/>
      <c r="E59" s="94"/>
      <c r="F59" s="94"/>
      <c r="G59" s="94"/>
      <c r="H59" s="94"/>
      <c r="I59" s="94"/>
      <c r="J59" s="94"/>
      <c r="K59" s="94"/>
      <c r="L59" s="94"/>
      <c r="M59" s="94"/>
      <c r="N59" s="94"/>
      <c r="O59" s="94"/>
      <c r="P59" s="94"/>
      <c r="Q59" s="94"/>
      <c r="R59" s="94"/>
      <c r="S59" s="94"/>
      <c r="T59" s="94"/>
      <c r="U59" s="94"/>
      <c r="V59" s="94"/>
      <c r="W59" s="94"/>
      <c r="X59" s="94"/>
      <c r="Y59" s="94"/>
      <c r="Z59" s="94"/>
      <c r="AA59" s="94"/>
      <c r="AB59" s="94"/>
      <c r="AC59" s="94"/>
      <c r="AD59" s="94"/>
      <c r="AE59" s="94"/>
      <c r="AF59" s="94">
        <f t="shared" si="1"/>
        <v>0</v>
      </c>
      <c r="AG59" s="94"/>
      <c r="AH59" s="94"/>
      <c r="AI59" s="94"/>
      <c r="AJ59" s="94">
        <f t="shared" si="2"/>
        <v>0</v>
      </c>
      <c r="AK59" s="94"/>
      <c r="AL59" s="94"/>
      <c r="AM59" s="94"/>
      <c r="AN59" s="94">
        <f t="shared" si="3"/>
        <v>0</v>
      </c>
      <c r="AO59" s="94"/>
      <c r="AP59" s="94"/>
      <c r="AQ59" s="94"/>
      <c r="AR59" s="94">
        <f t="shared" si="4"/>
        <v>0</v>
      </c>
      <c r="AS59" s="94"/>
      <c r="AT59" s="94"/>
      <c r="AU59" s="94"/>
    </row>
    <row r="60" spans="1:47" ht="191.1" customHeight="1" thickBot="1">
      <c r="A60" s="322" t="s">
        <v>454</v>
      </c>
      <c r="B60" s="322" t="s">
        <v>484</v>
      </c>
      <c r="C60" s="323" t="s">
        <v>485</v>
      </c>
      <c r="D60" s="164">
        <v>2</v>
      </c>
      <c r="E60" s="324" t="s">
        <v>486</v>
      </c>
      <c r="F60" s="325">
        <v>0.03</v>
      </c>
      <c r="G60" s="40" t="s">
        <v>85</v>
      </c>
      <c r="H60" s="41" t="s">
        <v>50</v>
      </c>
      <c r="I60" s="326">
        <v>0.1</v>
      </c>
      <c r="J60" s="101">
        <f>AG60</f>
        <v>0.14285714285714285</v>
      </c>
      <c r="K60" s="44">
        <f>IF(ISERROR(J60/I60),"",(J60/I60))</f>
        <v>1.4285714285714284</v>
      </c>
      <c r="L60" s="327">
        <v>0.15</v>
      </c>
      <c r="M60" s="103">
        <f>AK60</f>
        <v>0.1142857142857143</v>
      </c>
      <c r="N60" s="47">
        <f>IF(ISERROR(M60/L60),"",(M60/L60))</f>
        <v>0.76190476190476197</v>
      </c>
      <c r="O60" s="326">
        <v>0.15</v>
      </c>
      <c r="P60" s="101">
        <f>AO60</f>
        <v>1</v>
      </c>
      <c r="Q60" s="44">
        <f>IF(ISERROR(P60/O60),"",(P60/O60))</f>
        <v>6.666666666666667</v>
      </c>
      <c r="R60" s="327">
        <v>0.2</v>
      </c>
      <c r="S60" s="103">
        <f>AS60</f>
        <v>0</v>
      </c>
      <c r="T60" s="47">
        <f>IF(ISERROR(S60/R60),"",(S60/R60))</f>
        <v>0</v>
      </c>
      <c r="U60" s="328">
        <f>SUM(I60,L60,O60,R60)</f>
        <v>0.60000000000000009</v>
      </c>
      <c r="V60" s="329">
        <f>SUM(J60,M60,P60,S60)</f>
        <v>1.2571428571428571</v>
      </c>
      <c r="W60" s="50">
        <f>IF((IF(ISERROR(V60/U60),0,(V60/U60)))&gt;1,1,(IF(ISERROR(V60/U60),0,(V60/U60))))</f>
        <v>1</v>
      </c>
      <c r="X60" s="50">
        <f>F60*W60</f>
        <v>0.03</v>
      </c>
      <c r="Y60" s="330" t="s">
        <v>487</v>
      </c>
      <c r="Z60" s="330" t="s">
        <v>488</v>
      </c>
      <c r="AA60" s="331" t="s">
        <v>489</v>
      </c>
      <c r="AB60" s="331" t="s">
        <v>490</v>
      </c>
      <c r="AC60" s="303" t="s">
        <v>55</v>
      </c>
      <c r="AD60" s="332" t="s">
        <v>491</v>
      </c>
      <c r="AE60" s="54"/>
      <c r="AF60" s="109">
        <f t="shared" si="1"/>
        <v>0.1</v>
      </c>
      <c r="AG60" s="110">
        <f>1/7</f>
        <v>0.14285714285714285</v>
      </c>
      <c r="AH60" s="134" t="s">
        <v>492</v>
      </c>
      <c r="AI60" s="134" t="s">
        <v>493</v>
      </c>
      <c r="AJ60" s="112">
        <f t="shared" si="2"/>
        <v>0.15</v>
      </c>
      <c r="AK60" s="112">
        <f>0.8/7</f>
        <v>0.1142857142857143</v>
      </c>
      <c r="AL60" s="333" t="s">
        <v>494</v>
      </c>
      <c r="AM60" s="334" t="s">
        <v>495</v>
      </c>
      <c r="AN60" s="109">
        <f t="shared" si="3"/>
        <v>0.15</v>
      </c>
      <c r="AO60" s="115">
        <f>5/5</f>
        <v>1</v>
      </c>
      <c r="AP60" s="142" t="s">
        <v>496</v>
      </c>
      <c r="AQ60" s="134" t="s">
        <v>497</v>
      </c>
      <c r="AR60" s="112">
        <f t="shared" si="4"/>
        <v>0.2</v>
      </c>
      <c r="AS60" s="293"/>
      <c r="AT60" s="192"/>
      <c r="AU60" s="192"/>
    </row>
    <row r="61" spans="1:47" ht="12.75" customHeight="1" thickTop="1">
      <c r="F61" s="335">
        <f>SUM(F12:F60)</f>
        <v>1.0000000000000002</v>
      </c>
    </row>
  </sheetData>
  <sheetProtection password="EEC9" sheet="1" objects="1" scenarios="1" selectLockedCells="1" selectUnlockedCells="1"/>
  <mergeCells count="79">
    <mergeCell ref="A54:B54"/>
    <mergeCell ref="D54:AU54"/>
    <mergeCell ref="A55:A58"/>
    <mergeCell ref="B55:B58"/>
    <mergeCell ref="C55:C58"/>
    <mergeCell ref="A59:B59"/>
    <mergeCell ref="D59:AU59"/>
    <mergeCell ref="A24:A42"/>
    <mergeCell ref="B24:B42"/>
    <mergeCell ref="C24:C42"/>
    <mergeCell ref="D43:AU43"/>
    <mergeCell ref="A44:A53"/>
    <mergeCell ref="B44:B53"/>
    <mergeCell ref="C44:C53"/>
    <mergeCell ref="A15:B15"/>
    <mergeCell ref="D15:AU15"/>
    <mergeCell ref="A16:A22"/>
    <mergeCell ref="B16:B22"/>
    <mergeCell ref="C16:C22"/>
    <mergeCell ref="A23:B23"/>
    <mergeCell ref="E23:AU23"/>
    <mergeCell ref="AB10:AB11"/>
    <mergeCell ref="AF10:AI10"/>
    <mergeCell ref="AJ10:AM10"/>
    <mergeCell ref="AN10:AQ10"/>
    <mergeCell ref="AR10:AU10"/>
    <mergeCell ref="A12:A14"/>
    <mergeCell ref="B12:B14"/>
    <mergeCell ref="C12:C14"/>
    <mergeCell ref="T10:T11"/>
    <mergeCell ref="U10:U11"/>
    <mergeCell ref="V10:V11"/>
    <mergeCell ref="W10:W11"/>
    <mergeCell ref="X10:X11"/>
    <mergeCell ref="AA10:AA11"/>
    <mergeCell ref="N10:N11"/>
    <mergeCell ref="O10:O11"/>
    <mergeCell ref="P10:P11"/>
    <mergeCell ref="Q10:Q11"/>
    <mergeCell ref="R10:R11"/>
    <mergeCell ref="S10:S11"/>
    <mergeCell ref="Z9:Z11"/>
    <mergeCell ref="AA9:AB9"/>
    <mergeCell ref="AC9:AC11"/>
    <mergeCell ref="AD9:AD11"/>
    <mergeCell ref="AE9:AE11"/>
    <mergeCell ref="I10:I11"/>
    <mergeCell ref="J10:J11"/>
    <mergeCell ref="K10:K11"/>
    <mergeCell ref="L10:L11"/>
    <mergeCell ref="M10:M11"/>
    <mergeCell ref="G8:G11"/>
    <mergeCell ref="H8:H11"/>
    <mergeCell ref="I8:X8"/>
    <mergeCell ref="Y8:AE8"/>
    <mergeCell ref="I9:K9"/>
    <mergeCell ref="L9:N9"/>
    <mergeCell ref="O9:Q9"/>
    <mergeCell ref="R9:T9"/>
    <mergeCell ref="U9:W9"/>
    <mergeCell ref="Y9:Y11"/>
    <mergeCell ref="A8:A11"/>
    <mergeCell ref="B8:B11"/>
    <mergeCell ref="C8:C10"/>
    <mergeCell ref="D8:D11"/>
    <mergeCell ref="E8:E11"/>
    <mergeCell ref="F8:F11"/>
    <mergeCell ref="A5:E5"/>
    <mergeCell ref="F5:AC5"/>
    <mergeCell ref="A6:E6"/>
    <mergeCell ref="F6:AC6"/>
    <mergeCell ref="A7:E7"/>
    <mergeCell ref="F7:AC7"/>
    <mergeCell ref="A1:E3"/>
    <mergeCell ref="F1:AC1"/>
    <mergeCell ref="F2:AC2"/>
    <mergeCell ref="F3:AC3"/>
    <mergeCell ref="A4:E4"/>
    <mergeCell ref="F4:AC4"/>
  </mergeCells>
  <conditionalFormatting sqref="K13:K23 K43:K51 K53:K60">
    <cfRule type="cellIs" dxfId="218" priority="217" stopIfTrue="1" operator="between">
      <formula>0.9</formula>
      <formula>1.05</formula>
    </cfRule>
    <cfRule type="cellIs" dxfId="217" priority="218" stopIfTrue="1" operator="between">
      <formula>0.7</formula>
      <formula>0.8999</formula>
    </cfRule>
    <cfRule type="cellIs" dxfId="216" priority="219" stopIfTrue="1" operator="between">
      <formula>0</formula>
      <formula>0.6999</formula>
    </cfRule>
  </conditionalFormatting>
  <conditionalFormatting sqref="K41:K42 K25:K29 K33:K39">
    <cfRule type="cellIs" dxfId="215" priority="214" stopIfTrue="1" operator="between">
      <formula>0.9</formula>
      <formula>1.05</formula>
    </cfRule>
    <cfRule type="cellIs" dxfId="214" priority="215" stopIfTrue="1" operator="between">
      <formula>0.7</formula>
      <formula>0.8999</formula>
    </cfRule>
    <cfRule type="cellIs" dxfId="213" priority="216" stopIfTrue="1" operator="between">
      <formula>0</formula>
      <formula>0.6999</formula>
    </cfRule>
  </conditionalFormatting>
  <conditionalFormatting sqref="K13:K29 K33:K39 K41:K51 K53:K60">
    <cfRule type="cellIs" dxfId="212" priority="210" stopIfTrue="1" operator="between">
      <formula>0.9</formula>
      <formula>1.05</formula>
    </cfRule>
    <cfRule type="cellIs" dxfId="211" priority="211" stopIfTrue="1" operator="between">
      <formula>0.7</formula>
      <formula>0.8999</formula>
    </cfRule>
    <cfRule type="cellIs" dxfId="210" priority="212" stopIfTrue="1" operator="between">
      <formula>0</formula>
      <formula>0.6999</formula>
    </cfRule>
    <cfRule type="cellIs" dxfId="209" priority="213" stopIfTrue="1" operator="greaterThan">
      <formula>1.05</formula>
    </cfRule>
  </conditionalFormatting>
  <conditionalFormatting sqref="N13:N29 N33:N39 N41:N51 N53:N60">
    <cfRule type="cellIs" dxfId="208" priority="206" stopIfTrue="1" operator="between">
      <formula>0.9</formula>
      <formula>1.05</formula>
    </cfRule>
    <cfRule type="cellIs" dxfId="207" priority="207" stopIfTrue="1" operator="between">
      <formula>0.7</formula>
      <formula>0.899</formula>
    </cfRule>
    <cfRule type="cellIs" dxfId="206" priority="208" stopIfTrue="1" operator="between">
      <formula>0</formula>
      <formula>0.6999</formula>
    </cfRule>
    <cfRule type="cellIs" dxfId="205" priority="209" stopIfTrue="1" operator="greaterThan">
      <formula>1.05</formula>
    </cfRule>
  </conditionalFormatting>
  <conditionalFormatting sqref="W58:W60 W13:W23 W41:W46 W34:W39 W50 W53:W56">
    <cfRule type="cellIs" dxfId="204" priority="203" stopIfTrue="1" operator="between">
      <formula>0.9</formula>
      <formula>1</formula>
    </cfRule>
    <cfRule type="cellIs" dxfId="203" priority="204" stopIfTrue="1" operator="between">
      <formula>0.7</formula>
      <formula>0.8999</formula>
    </cfRule>
    <cfRule type="cellIs" dxfId="202" priority="205" stopIfTrue="1" operator="between">
      <formula>0</formula>
      <formula>0.6999</formula>
    </cfRule>
  </conditionalFormatting>
  <conditionalFormatting sqref="Q13:Q22">
    <cfRule type="cellIs" dxfId="201" priority="200" stopIfTrue="1" operator="between">
      <formula>0.9</formula>
      <formula>1.05</formula>
    </cfRule>
    <cfRule type="cellIs" dxfId="200" priority="201" stopIfTrue="1" operator="between">
      <formula>0.7</formula>
      <formula>0.8999</formula>
    </cfRule>
    <cfRule type="cellIs" dxfId="199" priority="202" stopIfTrue="1" operator="between">
      <formula>0</formula>
      <formula>0.6999</formula>
    </cfRule>
  </conditionalFormatting>
  <conditionalFormatting sqref="Q13:Q22">
    <cfRule type="cellIs" dxfId="198" priority="196" stopIfTrue="1" operator="between">
      <formula>0.9</formula>
      <formula>1.05</formula>
    </cfRule>
    <cfRule type="cellIs" dxfId="197" priority="197" stopIfTrue="1" operator="between">
      <formula>0.7</formula>
      <formula>0.8999</formula>
    </cfRule>
    <cfRule type="cellIs" dxfId="196" priority="198" stopIfTrue="1" operator="between">
      <formula>0</formula>
      <formula>0.6999</formula>
    </cfRule>
    <cfRule type="cellIs" dxfId="195" priority="199" stopIfTrue="1" operator="greaterThan">
      <formula>1.05</formula>
    </cfRule>
  </conditionalFormatting>
  <conditionalFormatting sqref="Q41:Q42 Q25:Q29 Q33:Q39">
    <cfRule type="cellIs" dxfId="194" priority="193" stopIfTrue="1" operator="between">
      <formula>0.9</formula>
      <formula>1.05</formula>
    </cfRule>
    <cfRule type="cellIs" dxfId="193" priority="194" stopIfTrue="1" operator="between">
      <formula>0.7</formula>
      <formula>0.8999</formula>
    </cfRule>
    <cfRule type="cellIs" dxfId="192" priority="195" stopIfTrue="1" operator="between">
      <formula>0</formula>
      <formula>0.6999</formula>
    </cfRule>
  </conditionalFormatting>
  <conditionalFormatting sqref="Q41:Q42 Q24:Q29 Q33:Q39">
    <cfRule type="cellIs" dxfId="191" priority="189" stopIfTrue="1" operator="between">
      <formula>0.9</formula>
      <formula>1.05</formula>
    </cfRule>
    <cfRule type="cellIs" dxfId="190" priority="190" stopIfTrue="1" operator="between">
      <formula>0.7</formula>
      <formula>0.8999</formula>
    </cfRule>
    <cfRule type="cellIs" dxfId="189" priority="191" stopIfTrue="1" operator="between">
      <formula>0</formula>
      <formula>0.6999</formula>
    </cfRule>
    <cfRule type="cellIs" dxfId="188" priority="192" stopIfTrue="1" operator="greaterThan">
      <formula>1.05</formula>
    </cfRule>
  </conditionalFormatting>
  <conditionalFormatting sqref="Q53 Q44:Q51">
    <cfRule type="cellIs" dxfId="187" priority="186" stopIfTrue="1" operator="between">
      <formula>0.9</formula>
      <formula>1.05</formula>
    </cfRule>
    <cfRule type="cellIs" dxfId="186" priority="187" stopIfTrue="1" operator="between">
      <formula>0.7</formula>
      <formula>0.8999</formula>
    </cfRule>
    <cfRule type="cellIs" dxfId="185" priority="188" stopIfTrue="1" operator="between">
      <formula>0</formula>
      <formula>0.6999</formula>
    </cfRule>
  </conditionalFormatting>
  <conditionalFormatting sqref="Q53 Q44:Q51">
    <cfRule type="cellIs" dxfId="184" priority="182" stopIfTrue="1" operator="between">
      <formula>0.9</formula>
      <formula>1.05</formula>
    </cfRule>
    <cfRule type="cellIs" dxfId="183" priority="183" stopIfTrue="1" operator="between">
      <formula>0.7</formula>
      <formula>0.8999</formula>
    </cfRule>
    <cfRule type="cellIs" dxfId="182" priority="184" stopIfTrue="1" operator="between">
      <formula>0</formula>
      <formula>0.6999</formula>
    </cfRule>
    <cfRule type="cellIs" dxfId="181" priority="185" stopIfTrue="1" operator="greaterThan">
      <formula>1.05</formula>
    </cfRule>
  </conditionalFormatting>
  <conditionalFormatting sqref="Q55:Q58">
    <cfRule type="cellIs" dxfId="180" priority="179" stopIfTrue="1" operator="between">
      <formula>0.9</formula>
      <formula>1.05</formula>
    </cfRule>
    <cfRule type="cellIs" dxfId="179" priority="180" stopIfTrue="1" operator="between">
      <formula>0.7</formula>
      <formula>0.8999</formula>
    </cfRule>
    <cfRule type="cellIs" dxfId="178" priority="181" stopIfTrue="1" operator="between">
      <formula>0</formula>
      <formula>0.6999</formula>
    </cfRule>
  </conditionalFormatting>
  <conditionalFormatting sqref="Q55:Q58">
    <cfRule type="cellIs" dxfId="177" priority="175" stopIfTrue="1" operator="between">
      <formula>0.9</formula>
      <formula>1.05</formula>
    </cfRule>
    <cfRule type="cellIs" dxfId="176" priority="176" stopIfTrue="1" operator="between">
      <formula>0.7</formula>
      <formula>0.8999</formula>
    </cfRule>
    <cfRule type="cellIs" dxfId="175" priority="177" stopIfTrue="1" operator="between">
      <formula>0</formula>
      <formula>0.6999</formula>
    </cfRule>
    <cfRule type="cellIs" dxfId="174" priority="178" stopIfTrue="1" operator="greaterThan">
      <formula>1.05</formula>
    </cfRule>
  </conditionalFormatting>
  <conditionalFormatting sqref="Q60">
    <cfRule type="cellIs" dxfId="173" priority="172" stopIfTrue="1" operator="between">
      <formula>0.9</formula>
      <formula>1.05</formula>
    </cfRule>
    <cfRule type="cellIs" dxfId="172" priority="173" stopIfTrue="1" operator="between">
      <formula>0.7</formula>
      <formula>0.8999</formula>
    </cfRule>
    <cfRule type="cellIs" dxfId="171" priority="174" stopIfTrue="1" operator="between">
      <formula>0</formula>
      <formula>0.6999</formula>
    </cfRule>
  </conditionalFormatting>
  <conditionalFormatting sqref="Q60">
    <cfRule type="cellIs" dxfId="170" priority="168" stopIfTrue="1" operator="between">
      <formula>0.9</formula>
      <formula>1.05</formula>
    </cfRule>
    <cfRule type="cellIs" dxfId="169" priority="169" stopIfTrue="1" operator="between">
      <formula>0.7</formula>
      <formula>0.8999</formula>
    </cfRule>
    <cfRule type="cellIs" dxfId="168" priority="170" stopIfTrue="1" operator="between">
      <formula>0</formula>
      <formula>0.6999</formula>
    </cfRule>
    <cfRule type="cellIs" dxfId="167" priority="171" stopIfTrue="1" operator="greaterThan">
      <formula>1.05</formula>
    </cfRule>
  </conditionalFormatting>
  <conditionalFormatting sqref="T13:T29 T33:T39 T41:T51 T53:T60">
    <cfRule type="cellIs" dxfId="166" priority="164" stopIfTrue="1" operator="between">
      <formula>0.9</formula>
      <formula>1.05</formula>
    </cfRule>
    <cfRule type="cellIs" dxfId="165" priority="165" stopIfTrue="1" operator="between">
      <formula>0.7</formula>
      <formula>0.899</formula>
    </cfRule>
    <cfRule type="cellIs" dxfId="164" priority="166" stopIfTrue="1" operator="between">
      <formula>0</formula>
      <formula>0.6999</formula>
    </cfRule>
    <cfRule type="cellIs" dxfId="163" priority="167" stopIfTrue="1" operator="greaterThan">
      <formula>1.05</formula>
    </cfRule>
  </conditionalFormatting>
  <conditionalFormatting sqref="W24">
    <cfRule type="cellIs" dxfId="162" priority="161" stopIfTrue="1" operator="between">
      <formula>0.9</formula>
      <formula>1</formula>
    </cfRule>
    <cfRule type="cellIs" dxfId="161" priority="162" stopIfTrue="1" operator="between">
      <formula>0.7</formula>
      <formula>0.8999</formula>
    </cfRule>
    <cfRule type="cellIs" dxfId="160" priority="163" stopIfTrue="1" operator="between">
      <formula>0</formula>
      <formula>0.6999</formula>
    </cfRule>
  </conditionalFormatting>
  <conditionalFormatting sqref="W28">
    <cfRule type="cellIs" dxfId="159" priority="158" stopIfTrue="1" operator="between">
      <formula>0.9</formula>
      <formula>1</formula>
    </cfRule>
    <cfRule type="cellIs" dxfId="158" priority="159" stopIfTrue="1" operator="between">
      <formula>0.7</formula>
      <formula>0.8999</formula>
    </cfRule>
    <cfRule type="cellIs" dxfId="157" priority="160" stopIfTrue="1" operator="between">
      <formula>0</formula>
      <formula>0.6999</formula>
    </cfRule>
  </conditionalFormatting>
  <conditionalFormatting sqref="W29">
    <cfRule type="cellIs" dxfId="156" priority="155" stopIfTrue="1" operator="between">
      <formula>0.9</formula>
      <formula>1</formula>
    </cfRule>
    <cfRule type="cellIs" dxfId="155" priority="156" stopIfTrue="1" operator="between">
      <formula>0.7</formula>
      <formula>0.8999</formula>
    </cfRule>
    <cfRule type="cellIs" dxfId="154" priority="157" stopIfTrue="1" operator="between">
      <formula>0</formula>
      <formula>0.6999</formula>
    </cfRule>
  </conditionalFormatting>
  <conditionalFormatting sqref="W33">
    <cfRule type="cellIs" dxfId="153" priority="152" stopIfTrue="1" operator="between">
      <formula>0.9</formula>
      <formula>1</formula>
    </cfRule>
    <cfRule type="cellIs" dxfId="152" priority="153" stopIfTrue="1" operator="between">
      <formula>0.7</formula>
      <formula>0.8999</formula>
    </cfRule>
    <cfRule type="cellIs" dxfId="151" priority="154" stopIfTrue="1" operator="between">
      <formula>0</formula>
      <formula>0.6999</formula>
    </cfRule>
  </conditionalFormatting>
  <conditionalFormatting sqref="W30">
    <cfRule type="cellIs" dxfId="150" priority="149" stopIfTrue="1" operator="between">
      <formula>0.9</formula>
      <formula>1</formula>
    </cfRule>
    <cfRule type="cellIs" dxfId="149" priority="150" stopIfTrue="1" operator="between">
      <formula>0.7</formula>
      <formula>0.8999</formula>
    </cfRule>
    <cfRule type="cellIs" dxfId="148" priority="151" stopIfTrue="1" operator="between">
      <formula>0</formula>
      <formula>0.6999</formula>
    </cfRule>
  </conditionalFormatting>
  <conditionalFormatting sqref="N30">
    <cfRule type="cellIs" dxfId="147" priority="145" stopIfTrue="1" operator="between">
      <formula>0.9</formula>
      <formula>1.05</formula>
    </cfRule>
    <cfRule type="cellIs" dxfId="146" priority="146" stopIfTrue="1" operator="between">
      <formula>0.7</formula>
      <formula>0.899</formula>
    </cfRule>
    <cfRule type="cellIs" dxfId="145" priority="147" stopIfTrue="1" operator="between">
      <formula>0</formula>
      <formula>0.6999</formula>
    </cfRule>
    <cfRule type="cellIs" dxfId="144" priority="148" stopIfTrue="1" operator="greaterThan">
      <formula>1.05</formula>
    </cfRule>
  </conditionalFormatting>
  <conditionalFormatting sqref="K30">
    <cfRule type="cellIs" dxfId="143" priority="142" stopIfTrue="1" operator="between">
      <formula>0.9</formula>
      <formula>1.05</formula>
    </cfRule>
    <cfRule type="cellIs" dxfId="142" priority="143" stopIfTrue="1" operator="between">
      <formula>0.7</formula>
      <formula>0.8999</formula>
    </cfRule>
    <cfRule type="cellIs" dxfId="141" priority="144" stopIfTrue="1" operator="between">
      <formula>0</formula>
      <formula>0.6999</formula>
    </cfRule>
  </conditionalFormatting>
  <conditionalFormatting sqref="K30">
    <cfRule type="cellIs" dxfId="140" priority="138" stopIfTrue="1" operator="between">
      <formula>0.9</formula>
      <formula>1.05</formula>
    </cfRule>
    <cfRule type="cellIs" dxfId="139" priority="139" stopIfTrue="1" operator="between">
      <formula>0.7</formula>
      <formula>0.8999</formula>
    </cfRule>
    <cfRule type="cellIs" dxfId="138" priority="140" stopIfTrue="1" operator="between">
      <formula>0</formula>
      <formula>0.6999</formula>
    </cfRule>
    <cfRule type="cellIs" dxfId="137" priority="141" stopIfTrue="1" operator="greaterThan">
      <formula>1.05</formula>
    </cfRule>
  </conditionalFormatting>
  <conditionalFormatting sqref="Q30">
    <cfRule type="cellIs" dxfId="136" priority="135" stopIfTrue="1" operator="between">
      <formula>0.9</formula>
      <formula>1.05</formula>
    </cfRule>
    <cfRule type="cellIs" dxfId="135" priority="136" stopIfTrue="1" operator="between">
      <formula>0.7</formula>
      <formula>0.8999</formula>
    </cfRule>
    <cfRule type="cellIs" dxfId="134" priority="137" stopIfTrue="1" operator="between">
      <formula>0</formula>
      <formula>0.6999</formula>
    </cfRule>
  </conditionalFormatting>
  <conditionalFormatting sqref="Q30">
    <cfRule type="cellIs" dxfId="133" priority="131" stopIfTrue="1" operator="between">
      <formula>0.9</formula>
      <formula>1.05</formula>
    </cfRule>
    <cfRule type="cellIs" dxfId="132" priority="132" stopIfTrue="1" operator="between">
      <formula>0.7</formula>
      <formula>0.8999</formula>
    </cfRule>
    <cfRule type="cellIs" dxfId="131" priority="133" stopIfTrue="1" operator="between">
      <formula>0</formula>
      <formula>0.6999</formula>
    </cfRule>
    <cfRule type="cellIs" dxfId="130" priority="134" stopIfTrue="1" operator="greaterThan">
      <formula>1.05</formula>
    </cfRule>
  </conditionalFormatting>
  <conditionalFormatting sqref="T30">
    <cfRule type="cellIs" dxfId="129" priority="127" stopIfTrue="1" operator="between">
      <formula>0.9</formula>
      <formula>1.05</formula>
    </cfRule>
    <cfRule type="cellIs" dxfId="128" priority="128" stopIfTrue="1" operator="between">
      <formula>0.7</formula>
      <formula>0.899</formula>
    </cfRule>
    <cfRule type="cellIs" dxfId="127" priority="129" stopIfTrue="1" operator="between">
      <formula>0</formula>
      <formula>0.6999</formula>
    </cfRule>
    <cfRule type="cellIs" dxfId="126" priority="130" stopIfTrue="1" operator="greaterThan">
      <formula>1.05</formula>
    </cfRule>
  </conditionalFormatting>
  <conditionalFormatting sqref="K31">
    <cfRule type="cellIs" dxfId="125" priority="124" stopIfTrue="1" operator="between">
      <formula>0.9</formula>
      <formula>1.05</formula>
    </cfRule>
    <cfRule type="cellIs" dxfId="124" priority="125" stopIfTrue="1" operator="between">
      <formula>0.7</formula>
      <formula>0.8999</formula>
    </cfRule>
    <cfRule type="cellIs" dxfId="123" priority="126" stopIfTrue="1" operator="between">
      <formula>0</formula>
      <formula>0.6999</formula>
    </cfRule>
  </conditionalFormatting>
  <conditionalFormatting sqref="K31">
    <cfRule type="cellIs" dxfId="122" priority="120" stopIfTrue="1" operator="between">
      <formula>0.9</formula>
      <formula>1.05</formula>
    </cfRule>
    <cfRule type="cellIs" dxfId="121" priority="121" stopIfTrue="1" operator="between">
      <formula>0.7</formula>
      <formula>0.8999</formula>
    </cfRule>
    <cfRule type="cellIs" dxfId="120" priority="122" stopIfTrue="1" operator="between">
      <formula>0</formula>
      <formula>0.6999</formula>
    </cfRule>
    <cfRule type="cellIs" dxfId="119" priority="123" stopIfTrue="1" operator="greaterThan">
      <formula>1.05</formula>
    </cfRule>
  </conditionalFormatting>
  <conditionalFormatting sqref="N31">
    <cfRule type="cellIs" dxfId="118" priority="116" stopIfTrue="1" operator="between">
      <formula>0.9</formula>
      <formula>1.05</formula>
    </cfRule>
    <cfRule type="cellIs" dxfId="117" priority="117" stopIfTrue="1" operator="between">
      <formula>0.7</formula>
      <formula>0.899</formula>
    </cfRule>
    <cfRule type="cellIs" dxfId="116" priority="118" stopIfTrue="1" operator="between">
      <formula>0</formula>
      <formula>0.6999</formula>
    </cfRule>
    <cfRule type="cellIs" dxfId="115" priority="119" stopIfTrue="1" operator="greaterThan">
      <formula>1.05</formula>
    </cfRule>
  </conditionalFormatting>
  <conditionalFormatting sqref="Q31">
    <cfRule type="cellIs" dxfId="114" priority="113" stopIfTrue="1" operator="between">
      <formula>0.9</formula>
      <formula>1.05</formula>
    </cfRule>
    <cfRule type="cellIs" dxfId="113" priority="114" stopIfTrue="1" operator="between">
      <formula>0.7</formula>
      <formula>0.8999</formula>
    </cfRule>
    <cfRule type="cellIs" dxfId="112" priority="115" stopIfTrue="1" operator="between">
      <formula>0</formula>
      <formula>0.6999</formula>
    </cfRule>
  </conditionalFormatting>
  <conditionalFormatting sqref="Q31">
    <cfRule type="cellIs" dxfId="111" priority="109" stopIfTrue="1" operator="between">
      <formula>0.9</formula>
      <formula>1.05</formula>
    </cfRule>
    <cfRule type="cellIs" dxfId="110" priority="110" stopIfTrue="1" operator="between">
      <formula>0.7</formula>
      <formula>0.8999</formula>
    </cfRule>
    <cfRule type="cellIs" dxfId="109" priority="111" stopIfTrue="1" operator="between">
      <formula>0</formula>
      <formula>0.6999</formula>
    </cfRule>
    <cfRule type="cellIs" dxfId="108" priority="112" stopIfTrue="1" operator="greaterThan">
      <formula>1.05</formula>
    </cfRule>
  </conditionalFormatting>
  <conditionalFormatting sqref="T31">
    <cfRule type="cellIs" dxfId="107" priority="105" stopIfTrue="1" operator="between">
      <formula>0.9</formula>
      <formula>1.05</formula>
    </cfRule>
    <cfRule type="cellIs" dxfId="106" priority="106" stopIfTrue="1" operator="between">
      <formula>0.7</formula>
      <formula>0.899</formula>
    </cfRule>
    <cfRule type="cellIs" dxfId="105" priority="107" stopIfTrue="1" operator="between">
      <formula>0</formula>
      <formula>0.6999</formula>
    </cfRule>
    <cfRule type="cellIs" dxfId="104" priority="108" stopIfTrue="1" operator="greaterThan">
      <formula>1.05</formula>
    </cfRule>
  </conditionalFormatting>
  <conditionalFormatting sqref="K32">
    <cfRule type="cellIs" dxfId="103" priority="102" stopIfTrue="1" operator="between">
      <formula>0.9</formula>
      <formula>1.05</formula>
    </cfRule>
    <cfRule type="cellIs" dxfId="102" priority="103" stopIfTrue="1" operator="between">
      <formula>0.7</formula>
      <formula>0.8999</formula>
    </cfRule>
    <cfRule type="cellIs" dxfId="101" priority="104" stopIfTrue="1" operator="between">
      <formula>0</formula>
      <formula>0.6999</formula>
    </cfRule>
  </conditionalFormatting>
  <conditionalFormatting sqref="K32">
    <cfRule type="cellIs" dxfId="100" priority="98" stopIfTrue="1" operator="between">
      <formula>0.9</formula>
      <formula>1.05</formula>
    </cfRule>
    <cfRule type="cellIs" dxfId="99" priority="99" stopIfTrue="1" operator="between">
      <formula>0.7</formula>
      <formula>0.8999</formula>
    </cfRule>
    <cfRule type="cellIs" dxfId="98" priority="100" stopIfTrue="1" operator="between">
      <formula>0</formula>
      <formula>0.6999</formula>
    </cfRule>
    <cfRule type="cellIs" dxfId="97" priority="101" stopIfTrue="1" operator="greaterThan">
      <formula>1.05</formula>
    </cfRule>
  </conditionalFormatting>
  <conditionalFormatting sqref="N32">
    <cfRule type="cellIs" dxfId="96" priority="94" stopIfTrue="1" operator="between">
      <formula>0.9</formula>
      <formula>1.05</formula>
    </cfRule>
    <cfRule type="cellIs" dxfId="95" priority="95" stopIfTrue="1" operator="between">
      <formula>0.7</formula>
      <formula>0.899</formula>
    </cfRule>
    <cfRule type="cellIs" dxfId="94" priority="96" stopIfTrue="1" operator="between">
      <formula>0</formula>
      <formula>0.6999</formula>
    </cfRule>
    <cfRule type="cellIs" dxfId="93" priority="97" stopIfTrue="1" operator="greaterThan">
      <formula>1.05</formula>
    </cfRule>
  </conditionalFormatting>
  <conditionalFormatting sqref="Q32">
    <cfRule type="cellIs" dxfId="92" priority="91" stopIfTrue="1" operator="between">
      <formula>0.9</formula>
      <formula>1.05</formula>
    </cfRule>
    <cfRule type="cellIs" dxfId="91" priority="92" stopIfTrue="1" operator="between">
      <formula>0.7</formula>
      <formula>0.8999</formula>
    </cfRule>
    <cfRule type="cellIs" dxfId="90" priority="93" stopIfTrue="1" operator="between">
      <formula>0</formula>
      <formula>0.6999</formula>
    </cfRule>
  </conditionalFormatting>
  <conditionalFormatting sqref="Q32">
    <cfRule type="cellIs" dxfId="89" priority="87" stopIfTrue="1" operator="between">
      <formula>0.9</formula>
      <formula>1.05</formula>
    </cfRule>
    <cfRule type="cellIs" dxfId="88" priority="88" stopIfTrue="1" operator="between">
      <formula>0.7</formula>
      <formula>0.8999</formula>
    </cfRule>
    <cfRule type="cellIs" dxfId="87" priority="89" stopIfTrue="1" operator="between">
      <formula>0</formula>
      <formula>0.6999</formula>
    </cfRule>
    <cfRule type="cellIs" dxfId="86" priority="90" stopIfTrue="1" operator="greaterThan">
      <formula>1.05</formula>
    </cfRule>
  </conditionalFormatting>
  <conditionalFormatting sqref="T32">
    <cfRule type="cellIs" dxfId="85" priority="83" stopIfTrue="1" operator="between">
      <formula>0.9</formula>
      <formula>1.05</formula>
    </cfRule>
    <cfRule type="cellIs" dxfId="84" priority="84" stopIfTrue="1" operator="between">
      <formula>0.7</formula>
      <formula>0.899</formula>
    </cfRule>
    <cfRule type="cellIs" dxfId="83" priority="85" stopIfTrue="1" operator="between">
      <formula>0</formula>
      <formula>0.6999</formula>
    </cfRule>
    <cfRule type="cellIs" dxfId="82" priority="86" stopIfTrue="1" operator="greaterThan">
      <formula>1.05</formula>
    </cfRule>
  </conditionalFormatting>
  <conditionalFormatting sqref="W32">
    <cfRule type="cellIs" dxfId="81" priority="80" stopIfTrue="1" operator="between">
      <formula>0.9</formula>
      <formula>1</formula>
    </cfRule>
    <cfRule type="cellIs" dxfId="80" priority="81" stopIfTrue="1" operator="between">
      <formula>0.7</formula>
      <formula>0.8999</formula>
    </cfRule>
    <cfRule type="cellIs" dxfId="79" priority="82" stopIfTrue="1" operator="between">
      <formula>0</formula>
      <formula>0.6999</formula>
    </cfRule>
  </conditionalFormatting>
  <conditionalFormatting sqref="K40">
    <cfRule type="cellIs" dxfId="78" priority="77" stopIfTrue="1" operator="between">
      <formula>0.9</formula>
      <formula>1.05</formula>
    </cfRule>
    <cfRule type="cellIs" dxfId="77" priority="78" stopIfTrue="1" operator="between">
      <formula>0.7</formula>
      <formula>0.8999</formula>
    </cfRule>
    <cfRule type="cellIs" dxfId="76" priority="79" stopIfTrue="1" operator="between">
      <formula>0</formula>
      <formula>0.6999</formula>
    </cfRule>
  </conditionalFormatting>
  <conditionalFormatting sqref="K40">
    <cfRule type="cellIs" dxfId="75" priority="73" stopIfTrue="1" operator="between">
      <formula>0.9</formula>
      <formula>1.05</formula>
    </cfRule>
    <cfRule type="cellIs" dxfId="74" priority="74" stopIfTrue="1" operator="between">
      <formula>0.7</formula>
      <formula>0.8999</formula>
    </cfRule>
    <cfRule type="cellIs" dxfId="73" priority="75" stopIfTrue="1" operator="between">
      <formula>0</formula>
      <formula>0.6999</formula>
    </cfRule>
    <cfRule type="cellIs" dxfId="72" priority="76" stopIfTrue="1" operator="greaterThan">
      <formula>1.05</formula>
    </cfRule>
  </conditionalFormatting>
  <conditionalFormatting sqref="N40">
    <cfRule type="cellIs" dxfId="71" priority="69" stopIfTrue="1" operator="between">
      <formula>0.9</formula>
      <formula>1.05</formula>
    </cfRule>
    <cfRule type="cellIs" dxfId="70" priority="70" stopIfTrue="1" operator="between">
      <formula>0.7</formula>
      <formula>0.899</formula>
    </cfRule>
    <cfRule type="cellIs" dxfId="69" priority="71" stopIfTrue="1" operator="between">
      <formula>0</formula>
      <formula>0.6999</formula>
    </cfRule>
    <cfRule type="cellIs" dxfId="68" priority="72" stopIfTrue="1" operator="greaterThan">
      <formula>1.05</formula>
    </cfRule>
  </conditionalFormatting>
  <conditionalFormatting sqref="W40">
    <cfRule type="cellIs" dxfId="67" priority="66" stopIfTrue="1" operator="between">
      <formula>0.9</formula>
      <formula>1</formula>
    </cfRule>
    <cfRule type="cellIs" dxfId="66" priority="67" stopIfTrue="1" operator="between">
      <formula>0.7</formula>
      <formula>0.8999</formula>
    </cfRule>
    <cfRule type="cellIs" dxfId="65" priority="68" stopIfTrue="1" operator="between">
      <formula>0</formula>
      <formula>0.6999</formula>
    </cfRule>
  </conditionalFormatting>
  <conditionalFormatting sqref="Q40">
    <cfRule type="cellIs" dxfId="64" priority="63" stopIfTrue="1" operator="between">
      <formula>0.9</formula>
      <formula>1.05</formula>
    </cfRule>
    <cfRule type="cellIs" dxfId="63" priority="64" stopIfTrue="1" operator="between">
      <formula>0.7</formula>
      <formula>0.8999</formula>
    </cfRule>
    <cfRule type="cellIs" dxfId="62" priority="65" stopIfTrue="1" operator="between">
      <formula>0</formula>
      <formula>0.6999</formula>
    </cfRule>
  </conditionalFormatting>
  <conditionalFormatting sqref="Q40">
    <cfRule type="cellIs" dxfId="61" priority="59" stopIfTrue="1" operator="between">
      <formula>0.9</formula>
      <formula>1.05</formula>
    </cfRule>
    <cfRule type="cellIs" dxfId="60" priority="60" stopIfTrue="1" operator="between">
      <formula>0.7</formula>
      <formula>0.8999</formula>
    </cfRule>
    <cfRule type="cellIs" dxfId="59" priority="61" stopIfTrue="1" operator="between">
      <formula>0</formula>
      <formula>0.6999</formula>
    </cfRule>
    <cfRule type="cellIs" dxfId="58" priority="62" stopIfTrue="1" operator="greaterThan">
      <formula>1.05</formula>
    </cfRule>
  </conditionalFormatting>
  <conditionalFormatting sqref="T40">
    <cfRule type="cellIs" dxfId="57" priority="55" stopIfTrue="1" operator="between">
      <formula>0.9</formula>
      <formula>1.05</formula>
    </cfRule>
    <cfRule type="cellIs" dxfId="56" priority="56" stopIfTrue="1" operator="between">
      <formula>0.7</formula>
      <formula>0.899</formula>
    </cfRule>
    <cfRule type="cellIs" dxfId="55" priority="57" stopIfTrue="1" operator="between">
      <formula>0</formula>
      <formula>0.6999</formula>
    </cfRule>
    <cfRule type="cellIs" dxfId="54" priority="58" stopIfTrue="1" operator="greaterThan">
      <formula>1.05</formula>
    </cfRule>
  </conditionalFormatting>
  <conditionalFormatting sqref="K52">
    <cfRule type="cellIs" dxfId="53" priority="52" stopIfTrue="1" operator="between">
      <formula>0.9</formula>
      <formula>1.05</formula>
    </cfRule>
    <cfRule type="cellIs" dxfId="52" priority="53" stopIfTrue="1" operator="between">
      <formula>0.7</formula>
      <formula>0.8999</formula>
    </cfRule>
    <cfRule type="cellIs" dxfId="51" priority="54" stopIfTrue="1" operator="between">
      <formula>0</formula>
      <formula>0.6999</formula>
    </cfRule>
  </conditionalFormatting>
  <conditionalFormatting sqref="K52">
    <cfRule type="cellIs" dxfId="50" priority="48" stopIfTrue="1" operator="between">
      <formula>0.9</formula>
      <formula>1.05</formula>
    </cfRule>
    <cfRule type="cellIs" dxfId="49" priority="49" stopIfTrue="1" operator="between">
      <formula>0.7</formula>
      <formula>0.8999</formula>
    </cfRule>
    <cfRule type="cellIs" dxfId="48" priority="50" stopIfTrue="1" operator="between">
      <formula>0</formula>
      <formula>0.6999</formula>
    </cfRule>
    <cfRule type="cellIs" dxfId="47" priority="51" stopIfTrue="1" operator="greaterThan">
      <formula>1.05</formula>
    </cfRule>
  </conditionalFormatting>
  <conditionalFormatting sqref="N52">
    <cfRule type="cellIs" dxfId="46" priority="44" stopIfTrue="1" operator="between">
      <formula>0.9</formula>
      <formula>1.05</formula>
    </cfRule>
    <cfRule type="cellIs" dxfId="45" priority="45" stopIfTrue="1" operator="between">
      <formula>0.7</formula>
      <formula>0.899</formula>
    </cfRule>
    <cfRule type="cellIs" dxfId="44" priority="46" stopIfTrue="1" operator="between">
      <formula>0</formula>
      <formula>0.6999</formula>
    </cfRule>
    <cfRule type="cellIs" dxfId="43" priority="47" stopIfTrue="1" operator="greaterThan">
      <formula>1.05</formula>
    </cfRule>
  </conditionalFormatting>
  <conditionalFormatting sqref="Q52">
    <cfRule type="cellIs" dxfId="42" priority="41" stopIfTrue="1" operator="between">
      <formula>0.9</formula>
      <formula>1.05</formula>
    </cfRule>
    <cfRule type="cellIs" dxfId="41" priority="42" stopIfTrue="1" operator="between">
      <formula>0.7</formula>
      <formula>0.8999</formula>
    </cfRule>
    <cfRule type="cellIs" dxfId="40" priority="43" stopIfTrue="1" operator="between">
      <formula>0</formula>
      <formula>0.6999</formula>
    </cfRule>
  </conditionalFormatting>
  <conditionalFormatting sqref="Q52">
    <cfRule type="cellIs" dxfId="39" priority="37" stopIfTrue="1" operator="between">
      <formula>0.9</formula>
      <formula>1.05</formula>
    </cfRule>
    <cfRule type="cellIs" dxfId="38" priority="38" stopIfTrue="1" operator="between">
      <formula>0.7</formula>
      <formula>0.8999</formula>
    </cfRule>
    <cfRule type="cellIs" dxfId="37" priority="39" stopIfTrue="1" operator="between">
      <formula>0</formula>
      <formula>0.6999</formula>
    </cfRule>
    <cfRule type="cellIs" dxfId="36" priority="40" stopIfTrue="1" operator="greaterThan">
      <formula>1.05</formula>
    </cfRule>
  </conditionalFormatting>
  <conditionalFormatting sqref="T52">
    <cfRule type="cellIs" dxfId="35" priority="33" stopIfTrue="1" operator="between">
      <formula>0.9</formula>
      <formula>1.05</formula>
    </cfRule>
    <cfRule type="cellIs" dxfId="34" priority="34" stopIfTrue="1" operator="between">
      <formula>0.7</formula>
      <formula>0.899</formula>
    </cfRule>
    <cfRule type="cellIs" dxfId="33" priority="35" stopIfTrue="1" operator="between">
      <formula>0</formula>
      <formula>0.6999</formula>
    </cfRule>
    <cfRule type="cellIs" dxfId="32" priority="36" stopIfTrue="1" operator="greaterThan">
      <formula>1.05</formula>
    </cfRule>
  </conditionalFormatting>
  <conditionalFormatting sqref="K13:K19">
    <cfRule type="cellIs" dxfId="31" priority="30" stopIfTrue="1" operator="between">
      <formula>0.9</formula>
      <formula>1.05</formula>
    </cfRule>
    <cfRule type="cellIs" dxfId="30" priority="31" stopIfTrue="1" operator="between">
      <formula>0.7</formula>
      <formula>0.8999</formula>
    </cfRule>
    <cfRule type="cellIs" dxfId="29" priority="32" stopIfTrue="1" operator="between">
      <formula>0</formula>
      <formula>0.6999</formula>
    </cfRule>
  </conditionalFormatting>
  <conditionalFormatting sqref="K12:K19">
    <cfRule type="cellIs" dxfId="28" priority="26" stopIfTrue="1" operator="between">
      <formula>0.9</formula>
      <formula>1.05</formula>
    </cfRule>
    <cfRule type="cellIs" dxfId="27" priority="27" stopIfTrue="1" operator="between">
      <formula>0.7</formula>
      <formula>0.8999</formula>
    </cfRule>
    <cfRule type="cellIs" dxfId="26" priority="28" stopIfTrue="1" operator="between">
      <formula>0</formula>
      <formula>0.6999</formula>
    </cfRule>
    <cfRule type="cellIs" dxfId="25" priority="29" stopIfTrue="1" operator="greaterThan">
      <formula>1.05</formula>
    </cfRule>
  </conditionalFormatting>
  <conditionalFormatting sqref="N12:N19">
    <cfRule type="cellIs" dxfId="24" priority="22" stopIfTrue="1" operator="between">
      <formula>0.9</formula>
      <formula>1.05</formula>
    </cfRule>
    <cfRule type="cellIs" dxfId="23" priority="23" stopIfTrue="1" operator="between">
      <formula>0.7</formula>
      <formula>0.899</formula>
    </cfRule>
    <cfRule type="cellIs" dxfId="22" priority="24" stopIfTrue="1" operator="between">
      <formula>0</formula>
      <formula>0.6999</formula>
    </cfRule>
    <cfRule type="cellIs" dxfId="21" priority="25" stopIfTrue="1" operator="greaterThan">
      <formula>1.05</formula>
    </cfRule>
  </conditionalFormatting>
  <conditionalFormatting sqref="W12:W19">
    <cfRule type="cellIs" dxfId="20" priority="19" stopIfTrue="1" operator="between">
      <formula>0.9</formula>
      <formula>1</formula>
    </cfRule>
    <cfRule type="cellIs" dxfId="19" priority="20" stopIfTrue="1" operator="between">
      <formula>0.7</formula>
      <formula>0.8999</formula>
    </cfRule>
    <cfRule type="cellIs" dxfId="18" priority="21" stopIfTrue="1" operator="between">
      <formula>0</formula>
      <formula>0.6999</formula>
    </cfRule>
  </conditionalFormatting>
  <conditionalFormatting sqref="Q13:Q14">
    <cfRule type="cellIs" dxfId="17" priority="16" stopIfTrue="1" operator="between">
      <formula>0.9</formula>
      <formula>1.05</formula>
    </cfRule>
    <cfRule type="cellIs" dxfId="16" priority="17" stopIfTrue="1" operator="between">
      <formula>0.7</formula>
      <formula>0.8999</formula>
    </cfRule>
    <cfRule type="cellIs" dxfId="15" priority="18" stopIfTrue="1" operator="between">
      <formula>0</formula>
      <formula>0.6999</formula>
    </cfRule>
  </conditionalFormatting>
  <conditionalFormatting sqref="Q12:Q14">
    <cfRule type="cellIs" dxfId="14" priority="12" stopIfTrue="1" operator="between">
      <formula>0.9</formula>
      <formula>1.05</formula>
    </cfRule>
    <cfRule type="cellIs" dxfId="13" priority="13" stopIfTrue="1" operator="between">
      <formula>0.7</formula>
      <formula>0.8999</formula>
    </cfRule>
    <cfRule type="cellIs" dxfId="12" priority="14" stopIfTrue="1" operator="between">
      <formula>0</formula>
      <formula>0.6999</formula>
    </cfRule>
    <cfRule type="cellIs" dxfId="11" priority="15" stopIfTrue="1" operator="greaterThan">
      <formula>1.05</formula>
    </cfRule>
  </conditionalFormatting>
  <conditionalFormatting sqref="Q16:Q19">
    <cfRule type="cellIs" dxfId="10" priority="9" stopIfTrue="1" operator="between">
      <formula>0.9</formula>
      <formula>1.05</formula>
    </cfRule>
    <cfRule type="cellIs" dxfId="9" priority="10" stopIfTrue="1" operator="between">
      <formula>0.7</formula>
      <formula>0.8999</formula>
    </cfRule>
    <cfRule type="cellIs" dxfId="8" priority="11" stopIfTrue="1" operator="between">
      <formula>0</formula>
      <formula>0.6999</formula>
    </cfRule>
  </conditionalFormatting>
  <conditionalFormatting sqref="Q16:Q19">
    <cfRule type="cellIs" dxfId="7" priority="5" stopIfTrue="1" operator="between">
      <formula>0.9</formula>
      <formula>1.05</formula>
    </cfRule>
    <cfRule type="cellIs" dxfId="6" priority="6" stopIfTrue="1" operator="between">
      <formula>0.7</formula>
      <formula>0.8999</formula>
    </cfRule>
    <cfRule type="cellIs" dxfId="5" priority="7" stopIfTrue="1" operator="between">
      <formula>0</formula>
      <formula>0.6999</formula>
    </cfRule>
    <cfRule type="cellIs" dxfId="4" priority="8" stopIfTrue="1" operator="greaterThan">
      <formula>1.05</formula>
    </cfRule>
  </conditionalFormatting>
  <conditionalFormatting sqref="T12:T19">
    <cfRule type="cellIs" dxfId="3" priority="1" stopIfTrue="1" operator="between">
      <formula>0.9</formula>
      <formula>1.05</formula>
    </cfRule>
    <cfRule type="cellIs" dxfId="2" priority="2" stopIfTrue="1" operator="between">
      <formula>0.7</formula>
      <formula>0.899</formula>
    </cfRule>
    <cfRule type="cellIs" dxfId="1" priority="3" stopIfTrue="1" operator="between">
      <formula>0</formula>
      <formula>0.6999</formula>
    </cfRule>
    <cfRule type="cellIs" dxfId="0" priority="4" stopIfTrue="1" operator="greaterThan">
      <formula>1.05</formula>
    </cfRule>
  </conditionalFormatting>
  <pageMargins left="0.78749999999999998" right="0.59027777777777779" top="1.0527777777777778" bottom="1.0527777777777778" header="0.78749999999999998" footer="0.78749999999999998"/>
  <pageSetup scale="43" orientation="landscape" useFirstPageNumber="1" horizontalDpi="300" verticalDpi="300"/>
  <headerFooter alignWithMargins="0">
    <oddHeader>&amp;C&amp;"Times New Roman,Normal"&amp;12&amp;A</oddHeader>
    <oddFooter>&amp;C&amp;"Times New Roman,Normal"&amp;12Página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Plan Gestion 2015</vt:lpstr>
      <vt:lpstr>'Plan Gestion 2015'!Área_de_impresión</vt:lpstr>
      <vt:lpstr>'Plan Gestion 2015'!Títulos_a_imprimir</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Apolo</dc:creator>
  <cp:lastModifiedBy>Apolo</cp:lastModifiedBy>
  <dcterms:created xsi:type="dcterms:W3CDTF">2017-03-30T00:12:09Z</dcterms:created>
  <dcterms:modified xsi:type="dcterms:W3CDTF">2017-03-30T00:12:53Z</dcterms:modified>
</cp:coreProperties>
</file>