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35" windowWidth="20055" windowHeight="7170" firstSheet="1" activeTab="5"/>
  </bookViews>
  <sheets>
    <sheet name="Plan Gestion 2016" sheetId="13" r:id="rId1"/>
    <sheet name="resumen 2012-2015" sheetId="12" r:id="rId2"/>
    <sheet name="Plan Gestion 2015" sheetId="10" r:id="rId3"/>
    <sheet name="Plan Gestion 2014" sheetId="8" r:id="rId4"/>
    <sheet name="Plan Gestion 2013" sheetId="7" r:id="rId5"/>
    <sheet name="Plan Gestion 2012" sheetId="6" r:id="rId6"/>
    <sheet name="Control Interno" sheetId="5" r:id="rId7"/>
    <sheet name="Contraloría" sheetId="4" r:id="rId8"/>
  </sheets>
  <definedNames>
    <definedName name="___xlfn_IFERROR">#N/A</definedName>
    <definedName name="__xlfn_IFERROR">NA()</definedName>
    <definedName name="_xlnm._FilterDatabase" localSheetId="6" hidden="1">'Control Interno'!$A$1:$I$172</definedName>
    <definedName name="_xlnm.Print_Area" localSheetId="2">'Plan Gestion 2015'!$D$12:$AE$62</definedName>
    <definedName name="_xlnm.Print_Area" localSheetId="0">'Plan Gestion 2016'!$D$12:$AD$64</definedName>
    <definedName name="SHARED_FORMULA_10_15_10_15_0" localSheetId="2">IF(ISERROR(#REF!/#REF!),"",(#REF!/#REF!))</definedName>
    <definedName name="SHARED_FORMULA_10_15_10_15_0">IF(ISERROR(#REF!/#REF!),"",(#REF!/#REF!))</definedName>
    <definedName name="SHARED_FORMULA_10_26_10_26_0" localSheetId="2">IF(ISERROR(#REF!/#REF!),"",(#REF!/#REF!))</definedName>
    <definedName name="SHARED_FORMULA_10_26_10_26_0">IF(ISERROR(#REF!/#REF!),"",(#REF!/#REF!))</definedName>
    <definedName name="SHARED_FORMULA_10_43_10_43_0" localSheetId="2">IF(ISERROR(#REF!/#REF!),"",(#REF!/#REF!))</definedName>
    <definedName name="SHARED_FORMULA_10_43_10_43_0">IF(ISERROR(#REF!/#REF!),"",(#REF!/#REF!))</definedName>
    <definedName name="SHARED_FORMULA_12_26_12_26_0" localSheetId="2">#REF!</definedName>
    <definedName name="SHARED_FORMULA_12_26_12_26_0">#REF!</definedName>
    <definedName name="SHARED_FORMULA_12_43_12_43_0" localSheetId="2">#REF!</definedName>
    <definedName name="SHARED_FORMULA_12_43_12_43_0">#REF!</definedName>
    <definedName name="SHARED_FORMULA_13_15_13_15_0" localSheetId="2">IF(ISERROR(#REF!/#REF!),"",(#REF!/#REF!))</definedName>
    <definedName name="SHARED_FORMULA_13_15_13_15_0">IF(ISERROR(#REF!/#REF!),"",(#REF!/#REF!))</definedName>
    <definedName name="SHARED_FORMULA_13_26_13_26_0" localSheetId="2">IF(ISERROR(#REF!/#REF!),"",(#REF!/#REF!))</definedName>
    <definedName name="SHARED_FORMULA_13_26_13_26_0">IF(ISERROR(#REF!/#REF!),"",(#REF!/#REF!))</definedName>
    <definedName name="SHARED_FORMULA_13_43_13_43_0" localSheetId="2">IF(ISERROR(#REF!/#REF!),"",(#REF!/#REF!))</definedName>
    <definedName name="SHARED_FORMULA_13_43_13_43_0">IF(ISERROR(#REF!/#REF!),"",(#REF!/#REF!))</definedName>
    <definedName name="SHARED_FORMULA_15_26_15_26_0" localSheetId="2">#REF!</definedName>
    <definedName name="SHARED_FORMULA_15_26_15_26_0">#REF!</definedName>
    <definedName name="SHARED_FORMULA_15_43_15_43_0" localSheetId="2">#REF!</definedName>
    <definedName name="SHARED_FORMULA_15_43_15_43_0">#REF!</definedName>
    <definedName name="SHARED_FORMULA_16_15_16_15_0" localSheetId="2">IF(ISERROR(#REF!/#REF!),"",(#REF!/#REF!))</definedName>
    <definedName name="SHARED_FORMULA_16_15_16_15_0">IF(ISERROR(#REF!/#REF!),"",(#REF!/#REF!))</definedName>
    <definedName name="SHARED_FORMULA_16_26_16_26_0" localSheetId="2">IF(ISERROR(#REF!/#REF!),"",(#REF!/#REF!))</definedName>
    <definedName name="SHARED_FORMULA_16_26_16_26_0">IF(ISERROR(#REF!/#REF!),"",(#REF!/#REF!))</definedName>
    <definedName name="SHARED_FORMULA_16_43_16_43_0" localSheetId="2">IF(ISERROR(#REF!/#REF!),"",(#REF!/#REF!))</definedName>
    <definedName name="SHARED_FORMULA_16_43_16_43_0">IF(ISERROR(#REF!/#REF!),"",(#REF!/#REF!))</definedName>
    <definedName name="SHARED_FORMULA_18_26_18_26_0" localSheetId="2">#REF!</definedName>
    <definedName name="SHARED_FORMULA_18_26_18_26_0">#REF!</definedName>
    <definedName name="SHARED_FORMULA_18_43_18_43_0" localSheetId="2">#REF!</definedName>
    <definedName name="SHARED_FORMULA_18_43_18_43_0">#REF!</definedName>
    <definedName name="SHARED_FORMULA_19_15_19_15_0" localSheetId="2">IF(ISERROR(#REF!/#REF!),"",(#REF!/#REF!))</definedName>
    <definedName name="SHARED_FORMULA_19_15_19_15_0">IF(ISERROR(#REF!/#REF!),"",(#REF!/#REF!))</definedName>
    <definedName name="SHARED_FORMULA_19_26_19_26_0" localSheetId="2">IF(ISERROR(#REF!/#REF!),"",(#REF!/#REF!))</definedName>
    <definedName name="SHARED_FORMULA_19_26_19_26_0">IF(ISERROR(#REF!/#REF!),"",(#REF!/#REF!))</definedName>
    <definedName name="SHARED_FORMULA_19_43_19_43_0" localSheetId="2">IF(ISERROR(#REF!/#REF!),"",(#REF!/#REF!))</definedName>
    <definedName name="SHARED_FORMULA_19_43_19_43_0">IF(ISERROR(#REF!/#REF!),"",(#REF!/#REF!))</definedName>
    <definedName name="SHARED_FORMULA_20_11_20_11_0" localSheetId="2">SUM(#REF!,#REF!,#REF!,#REF!)</definedName>
    <definedName name="SHARED_FORMULA_20_11_20_11_0">SUM(#REF!,#REF!,#REF!,#REF!)</definedName>
    <definedName name="SHARED_FORMULA_20_17_20_17_0" localSheetId="2">SUM(#REF!,#REF!,#REF!,#REF!)</definedName>
    <definedName name="SHARED_FORMULA_20_17_20_17_0">SUM(#REF!,#REF!,#REF!,#REF!)</definedName>
    <definedName name="SHARED_FORMULA_20_21_20_21_0" localSheetId="2">SUM(#REF!,#REF!,#REF!,#REF!)</definedName>
    <definedName name="SHARED_FORMULA_20_21_20_21_0">SUM(#REF!,#REF!,#REF!,#REF!)</definedName>
    <definedName name="SHARED_FORMULA_20_29_20_29_0" localSheetId="2">SUM(#REF!,#REF!,#REF!,#REF!)</definedName>
    <definedName name="SHARED_FORMULA_20_29_20_29_0">SUM(#REF!,#REF!,#REF!,#REF!)</definedName>
    <definedName name="SHARED_FORMULA_20_46_20_46_0" localSheetId="2">SUM(#REF!,#REF!,#REF!,#REF!)</definedName>
    <definedName name="SHARED_FORMULA_20_46_20_46_0">SUM(#REF!,#REF!,#REF!,#REF!)</definedName>
    <definedName name="SHARED_FORMULA_20_54_20_54_0" localSheetId="2">SUM(#REF!,#REF!,#REF!,#REF!)</definedName>
    <definedName name="SHARED_FORMULA_20_54_20_54_0">SUM(#REF!,#REF!,#REF!,#REF!)</definedName>
    <definedName name="SHARED_FORMULA_20_58_20_58_0" localSheetId="2">SUM(#REF!,#REF!,#REF!,#REF!)</definedName>
    <definedName name="SHARED_FORMULA_20_58_20_58_0">SUM(#REF!,#REF!,#REF!,#REF!)</definedName>
    <definedName name="SHARED_FORMULA_21_29_21_29_0" localSheetId="2">SUM(#REF!,#REF!,#REF!,#REF!)</definedName>
    <definedName name="SHARED_FORMULA_21_29_21_29_0">SUM(#REF!,#REF!,#REF!,#REF!)</definedName>
    <definedName name="SHARED_FORMULA_22_15_22_15_0" localSheetId="2">IF((IF(ISERROR(#REF!/#REF!),0,(#REF!/#REF!)))&gt;1,1,(IF(ISERROR(#REF!/#REF!),0,(#REF!/#REF!))))</definedName>
    <definedName name="SHARED_FORMULA_22_15_22_15_0">IF((IF(ISERROR(#REF!/#REF!),0,(#REF!/#REF!)))&gt;1,1,(IF(ISERROR(#REF!/#REF!),0,(#REF!/#REF!))))</definedName>
    <definedName name="SHARED_FORMULA_22_26_22_26_0" localSheetId="2">IF((IF(ISERROR(#REF!/#REF!),0,(#REF!/#REF!)))&gt;1,1,(IF(ISERROR(#REF!/#REF!),0,(#REF!/#REF!))))</definedName>
    <definedName name="SHARED_FORMULA_22_26_22_26_0">IF((IF(ISERROR(#REF!/#REF!),0,(#REF!/#REF!)))&gt;1,1,(IF(ISERROR(#REF!/#REF!),0,(#REF!/#REF!))))</definedName>
    <definedName name="SHARED_FORMULA_22_43_22_43_0" localSheetId="2">IF((IF(ISERROR(#REF!/#REF!),0,(#REF!/#REF!)))&gt;1,1,(IF(ISERROR(#REF!/#REF!),0,(#REF!/#REF!))))</definedName>
    <definedName name="SHARED_FORMULA_22_43_22_43_0">IF((IF(ISERROR(#REF!/#REF!),0,(#REF!/#REF!)))&gt;1,1,(IF(ISERROR(#REF!/#REF!),0,(#REF!/#REF!))))</definedName>
    <definedName name="SHARED_FORMULA_23_15_23_15_0" localSheetId="2">#REF!*#REF!</definedName>
    <definedName name="SHARED_FORMULA_23_15_23_15_0">#REF!*#REF!</definedName>
    <definedName name="SHARED_FORMULA_23_26_23_26_0" localSheetId="2">#REF!*#REF!</definedName>
    <definedName name="SHARED_FORMULA_23_26_23_26_0">#REF!*#REF!</definedName>
    <definedName name="SHARED_FORMULA_23_43_23_43_0" localSheetId="2">#REF!*#REF!</definedName>
    <definedName name="SHARED_FORMULA_23_43_23_43_0">#REF!*#REF!</definedName>
    <definedName name="SHARED_FORMULA_30_11_30_11_0" localSheetId="2">#REF!</definedName>
    <definedName name="SHARED_FORMULA_30_11_30_11_0">#REF!</definedName>
    <definedName name="SHARED_FORMULA_30_29_30_29_0" localSheetId="2">#REF!</definedName>
    <definedName name="SHARED_FORMULA_30_29_30_29_0">#REF!</definedName>
    <definedName name="SHARED_FORMULA_34_12_34_12_0" localSheetId="2">#REF!</definedName>
    <definedName name="SHARED_FORMULA_34_12_34_12_0">#REF!</definedName>
    <definedName name="SHARED_FORMULA_34_44_34_44_0" localSheetId="2">#REF!</definedName>
    <definedName name="SHARED_FORMULA_34_44_34_44_0">#REF!</definedName>
    <definedName name="SHARED_FORMULA_38_11_38_11_0" localSheetId="2">#REF!</definedName>
    <definedName name="SHARED_FORMULA_38_11_38_11_0">#REF!</definedName>
    <definedName name="SHARED_FORMULA_38_43_38_43_0" localSheetId="2">#REF!</definedName>
    <definedName name="SHARED_FORMULA_38_43_38_43_0">#REF!</definedName>
    <definedName name="SHARED_FORMULA_42_11_42_11_0" localSheetId="2">#REF!</definedName>
    <definedName name="SHARED_FORMULA_42_11_42_11_0">#REF!</definedName>
    <definedName name="SHARED_FORMULA_42_43_42_43_0" localSheetId="2">#REF!</definedName>
    <definedName name="SHARED_FORMULA_42_43_42_43_0">#REF!</definedName>
    <definedName name="SHARED_FORMULA_9_15_9_15_0" localSheetId="2">#REF!</definedName>
    <definedName name="SHARED_FORMULA_9_15_9_15_0">#REF!</definedName>
    <definedName name="SHARED_FORMULA_9_26_9_26_0" localSheetId="2">#REF!</definedName>
    <definedName name="SHARED_FORMULA_9_26_9_26_0">#REF!</definedName>
    <definedName name="SHARED_FORMULA_9_43_9_43_0" localSheetId="2">#REF!</definedName>
    <definedName name="SHARED_FORMULA_9_43_9_43_0">#REF!</definedName>
    <definedName name="_xlnm.Print_Titles" localSheetId="2">'Plan Gestion 2015'!$A$8:$IV$9</definedName>
    <definedName name="_xlnm.Print_Titles" localSheetId="0">'Plan Gestion 2016'!$A$8:$IV$9</definedName>
  </definedNames>
  <calcPr calcId="145621"/>
</workbook>
</file>

<file path=xl/calcChain.xml><?xml version="1.0" encoding="utf-8"?>
<calcChain xmlns="http://schemas.openxmlformats.org/spreadsheetml/2006/main">
  <c r="F62" i="13" l="1"/>
  <c r="AR61" i="13"/>
  <c r="AN61" i="13"/>
  <c r="AJ61" i="13"/>
  <c r="AF61" i="13"/>
  <c r="U61" i="13"/>
  <c r="S61" i="13"/>
  <c r="T61" i="13" s="1"/>
  <c r="Q61" i="13"/>
  <c r="P61" i="13"/>
  <c r="V61" i="13" s="1"/>
  <c r="W61" i="13" s="1"/>
  <c r="X61" i="13" s="1"/>
  <c r="M61" i="13"/>
  <c r="N61" i="13" s="1"/>
  <c r="J61" i="13"/>
  <c r="K61" i="13" s="1"/>
  <c r="AR60" i="13"/>
  <c r="AN60" i="13"/>
  <c r="AJ60" i="13"/>
  <c r="AF60" i="13"/>
  <c r="AR59" i="13"/>
  <c r="AN59" i="13"/>
  <c r="AJ59" i="13"/>
  <c r="AF59" i="13"/>
  <c r="U59" i="13"/>
  <c r="S59" i="13"/>
  <c r="T59" i="13" s="1"/>
  <c r="P59" i="13"/>
  <c r="Q59" i="13" s="1"/>
  <c r="M59" i="13"/>
  <c r="N59" i="13" s="1"/>
  <c r="J59" i="13"/>
  <c r="K59" i="13" s="1"/>
  <c r="AJ58" i="13"/>
  <c r="AF58" i="13"/>
  <c r="U58" i="13"/>
  <c r="S58" i="13"/>
  <c r="T58" i="13" s="1"/>
  <c r="P58" i="13"/>
  <c r="Q58" i="13" s="1"/>
  <c r="N58" i="13"/>
  <c r="M58" i="13"/>
  <c r="J58" i="13"/>
  <c r="V58" i="13" s="1"/>
  <c r="W58" i="13" s="1"/>
  <c r="X58" i="13" s="1"/>
  <c r="AR57" i="13"/>
  <c r="AN57" i="13"/>
  <c r="AJ57" i="13"/>
  <c r="AF57" i="13"/>
  <c r="U57" i="13"/>
  <c r="T57" i="13"/>
  <c r="S57" i="13"/>
  <c r="P57" i="13"/>
  <c r="Q57" i="13" s="1"/>
  <c r="M57" i="13"/>
  <c r="N57" i="13" s="1"/>
  <c r="J57" i="13"/>
  <c r="AR56" i="13"/>
  <c r="AN56" i="13"/>
  <c r="AJ56" i="13"/>
  <c r="AF56" i="13"/>
  <c r="U56" i="13"/>
  <c r="S56" i="13"/>
  <c r="T56" i="13" s="1"/>
  <c r="P56" i="13"/>
  <c r="V56" i="13" s="1"/>
  <c r="N56" i="13"/>
  <c r="M56" i="13"/>
  <c r="J56" i="13"/>
  <c r="K56" i="13" s="1"/>
  <c r="AR55" i="13"/>
  <c r="AN55" i="13"/>
  <c r="AJ55" i="13"/>
  <c r="AF55" i="13"/>
  <c r="AR54" i="13"/>
  <c r="AN54" i="13"/>
  <c r="AJ54" i="13"/>
  <c r="AF54" i="13"/>
  <c r="U54" i="13"/>
  <c r="T54" i="13"/>
  <c r="S54" i="13"/>
  <c r="P54" i="13"/>
  <c r="Q54" i="13" s="1"/>
  <c r="M54" i="13"/>
  <c r="N54" i="13" s="1"/>
  <c r="J54" i="13"/>
  <c r="V54" i="13" s="1"/>
  <c r="AR53" i="13"/>
  <c r="AN53" i="13"/>
  <c r="AJ53" i="13"/>
  <c r="AF53" i="13"/>
  <c r="U53" i="13"/>
  <c r="S53" i="13"/>
  <c r="T53" i="13" s="1"/>
  <c r="P53" i="13"/>
  <c r="Q53" i="13" s="1"/>
  <c r="N53" i="13"/>
  <c r="M53" i="13"/>
  <c r="J53" i="13"/>
  <c r="V53" i="13" s="1"/>
  <c r="W53" i="13" s="1"/>
  <c r="X53" i="13" s="1"/>
  <c r="AR52" i="13"/>
  <c r="AN52" i="13"/>
  <c r="AJ52" i="13"/>
  <c r="AF52" i="13"/>
  <c r="U52" i="13"/>
  <c r="T52" i="13"/>
  <c r="S52" i="13"/>
  <c r="P52" i="13"/>
  <c r="Q52" i="13" s="1"/>
  <c r="M52" i="13"/>
  <c r="N52" i="13" s="1"/>
  <c r="J52" i="13"/>
  <c r="AR51" i="13"/>
  <c r="AN51" i="13"/>
  <c r="AJ51" i="13"/>
  <c r="AF51" i="13"/>
  <c r="U51" i="13"/>
  <c r="S51" i="13"/>
  <c r="T51" i="13" s="1"/>
  <c r="P51" i="13"/>
  <c r="Q51" i="13" s="1"/>
  <c r="N51" i="13"/>
  <c r="M51" i="13"/>
  <c r="J51" i="13"/>
  <c r="V51" i="13" s="1"/>
  <c r="AR50" i="13"/>
  <c r="AN50" i="13"/>
  <c r="AJ50" i="13"/>
  <c r="AF50" i="13"/>
  <c r="U50" i="13"/>
  <c r="T50" i="13"/>
  <c r="S50" i="13"/>
  <c r="P50" i="13"/>
  <c r="Q50" i="13" s="1"/>
  <c r="M50" i="13"/>
  <c r="N50" i="13" s="1"/>
  <c r="J50" i="13"/>
  <c r="AR49" i="13"/>
  <c r="AN49" i="13"/>
  <c r="AJ49" i="13"/>
  <c r="AF49" i="13"/>
  <c r="U49" i="13"/>
  <c r="S49" i="13"/>
  <c r="T49" i="13" s="1"/>
  <c r="P49" i="13"/>
  <c r="Q49" i="13" s="1"/>
  <c r="M49" i="13"/>
  <c r="N49" i="13" s="1"/>
  <c r="J49" i="13"/>
  <c r="V49" i="13" s="1"/>
  <c r="W49" i="13" s="1"/>
  <c r="X49" i="13" s="1"/>
  <c r="AR48" i="13"/>
  <c r="AN48" i="13"/>
  <c r="AJ48" i="13"/>
  <c r="AF48" i="13"/>
  <c r="U48" i="13"/>
  <c r="S48" i="13"/>
  <c r="T48" i="13" s="1"/>
  <c r="P48" i="13"/>
  <c r="Q48" i="13" s="1"/>
  <c r="M48" i="13"/>
  <c r="N48" i="13" s="1"/>
  <c r="J48" i="13"/>
  <c r="AR47" i="13"/>
  <c r="AN47" i="13"/>
  <c r="AJ47" i="13"/>
  <c r="AF47" i="13"/>
  <c r="U47" i="13"/>
  <c r="S47" i="13"/>
  <c r="T47" i="13" s="1"/>
  <c r="P47" i="13"/>
  <c r="Q47" i="13" s="1"/>
  <c r="N47" i="13"/>
  <c r="M47" i="13"/>
  <c r="J47" i="13"/>
  <c r="V47" i="13" s="1"/>
  <c r="AR46" i="13"/>
  <c r="AN46" i="13"/>
  <c r="AJ46" i="13"/>
  <c r="AF46" i="13"/>
  <c r="U46" i="13"/>
  <c r="T46" i="13"/>
  <c r="S46" i="13"/>
  <c r="P46" i="13"/>
  <c r="Q46" i="13" s="1"/>
  <c r="M46" i="13"/>
  <c r="N46" i="13" s="1"/>
  <c r="J46" i="13"/>
  <c r="AR45" i="13"/>
  <c r="AN45" i="13"/>
  <c r="AJ45" i="13"/>
  <c r="AF45" i="13"/>
  <c r="U45" i="13"/>
  <c r="S45" i="13"/>
  <c r="T45" i="13" s="1"/>
  <c r="P45" i="13"/>
  <c r="Q45" i="13" s="1"/>
  <c r="N45" i="13"/>
  <c r="M45" i="13"/>
  <c r="J45" i="13"/>
  <c r="V45" i="13" s="1"/>
  <c r="W45" i="13" s="1"/>
  <c r="X45" i="13" s="1"/>
  <c r="AR44" i="13"/>
  <c r="AN44" i="13"/>
  <c r="AJ44" i="13"/>
  <c r="AF44" i="13"/>
  <c r="AR43" i="13"/>
  <c r="AN43" i="13"/>
  <c r="AJ43" i="13"/>
  <c r="AF43" i="13"/>
  <c r="U43" i="13"/>
  <c r="T43" i="13"/>
  <c r="S43" i="13"/>
  <c r="P43" i="13"/>
  <c r="Q43" i="13" s="1"/>
  <c r="M43" i="13"/>
  <c r="N43" i="13" s="1"/>
  <c r="J43" i="13"/>
  <c r="AR42" i="13"/>
  <c r="AN42" i="13"/>
  <c r="AJ42" i="13"/>
  <c r="AF42" i="13"/>
  <c r="U42" i="13"/>
  <c r="S42" i="13"/>
  <c r="T42" i="13" s="1"/>
  <c r="P42" i="13"/>
  <c r="Q42" i="13" s="1"/>
  <c r="N42" i="13"/>
  <c r="M42" i="13"/>
  <c r="J42" i="13"/>
  <c r="V42" i="13" s="1"/>
  <c r="AR41" i="13"/>
  <c r="AN41" i="13"/>
  <c r="AJ41" i="13"/>
  <c r="AF41" i="13"/>
  <c r="U41" i="13"/>
  <c r="T41" i="13"/>
  <c r="S41" i="13"/>
  <c r="P41" i="13"/>
  <c r="Q41" i="13" s="1"/>
  <c r="M41" i="13"/>
  <c r="N41" i="13" s="1"/>
  <c r="J41" i="13"/>
  <c r="AR40" i="13"/>
  <c r="AN40" i="13"/>
  <c r="AJ40" i="13"/>
  <c r="AF40" i="13"/>
  <c r="U40" i="13"/>
  <c r="S40" i="13"/>
  <c r="T40" i="13" s="1"/>
  <c r="P40" i="13"/>
  <c r="V40" i="13" s="1"/>
  <c r="N40" i="13"/>
  <c r="M40" i="13"/>
  <c r="J40" i="13"/>
  <c r="K40" i="13" s="1"/>
  <c r="AR39" i="13"/>
  <c r="AN39" i="13"/>
  <c r="AJ39" i="13"/>
  <c r="AF39" i="13"/>
  <c r="U39" i="13"/>
  <c r="T39" i="13"/>
  <c r="S39" i="13"/>
  <c r="P39" i="13"/>
  <c r="Q39" i="13" s="1"/>
  <c r="M39" i="13"/>
  <c r="N39" i="13" s="1"/>
  <c r="J39" i="13"/>
  <c r="AR38" i="13"/>
  <c r="AN38" i="13"/>
  <c r="AJ38" i="13"/>
  <c r="AF38" i="13"/>
  <c r="U38" i="13"/>
  <c r="S38" i="13"/>
  <c r="T38" i="13" s="1"/>
  <c r="P38" i="13"/>
  <c r="V38" i="13" s="1"/>
  <c r="N38" i="13"/>
  <c r="M38" i="13"/>
  <c r="J38" i="13"/>
  <c r="K38" i="13" s="1"/>
  <c r="AR37" i="13"/>
  <c r="AN37" i="13"/>
  <c r="AJ37" i="13"/>
  <c r="AF37" i="13"/>
  <c r="U37" i="13"/>
  <c r="T37" i="13"/>
  <c r="S37" i="13"/>
  <c r="P37" i="13"/>
  <c r="Q37" i="13" s="1"/>
  <c r="M37" i="13"/>
  <c r="N37" i="13" s="1"/>
  <c r="J37" i="13"/>
  <c r="AR36" i="13"/>
  <c r="AN36" i="13"/>
  <c r="AJ36" i="13"/>
  <c r="AF36" i="13"/>
  <c r="U36" i="13"/>
  <c r="S36" i="13"/>
  <c r="T36" i="13" s="1"/>
  <c r="P36" i="13"/>
  <c r="Q36" i="13" s="1"/>
  <c r="N36" i="13"/>
  <c r="M36" i="13"/>
  <c r="J36" i="13"/>
  <c r="V36" i="13" s="1"/>
  <c r="W36" i="13" s="1"/>
  <c r="X36" i="13" s="1"/>
  <c r="AR35" i="13"/>
  <c r="AN35" i="13"/>
  <c r="AJ35" i="13"/>
  <c r="AF35" i="13"/>
  <c r="U35" i="13"/>
  <c r="T35" i="13"/>
  <c r="S35" i="13"/>
  <c r="P35" i="13"/>
  <c r="Q35" i="13" s="1"/>
  <c r="M35" i="13"/>
  <c r="N35" i="13" s="1"/>
  <c r="J35" i="13"/>
  <c r="AR34" i="13"/>
  <c r="AN34" i="13"/>
  <c r="AJ34" i="13"/>
  <c r="AF34" i="13"/>
  <c r="U34" i="13"/>
  <c r="S34" i="13"/>
  <c r="T34" i="13" s="1"/>
  <c r="P34" i="13"/>
  <c r="Q34" i="13" s="1"/>
  <c r="N34" i="13"/>
  <c r="M34" i="13"/>
  <c r="J34" i="13"/>
  <c r="V34" i="13" s="1"/>
  <c r="AR33" i="13"/>
  <c r="AN33" i="13"/>
  <c r="AJ33" i="13"/>
  <c r="AF33" i="13"/>
  <c r="U33" i="13"/>
  <c r="T33" i="13"/>
  <c r="S33" i="13"/>
  <c r="P33" i="13"/>
  <c r="Q33" i="13" s="1"/>
  <c r="M33" i="13"/>
  <c r="N33" i="13" s="1"/>
  <c r="J33" i="13"/>
  <c r="AR32" i="13"/>
  <c r="AN32" i="13"/>
  <c r="AJ32" i="13"/>
  <c r="AF32" i="13"/>
  <c r="U32" i="13"/>
  <c r="S32" i="13"/>
  <c r="T32" i="13" s="1"/>
  <c r="P32" i="13"/>
  <c r="Q32" i="13" s="1"/>
  <c r="N32" i="13"/>
  <c r="M32" i="13"/>
  <c r="J32" i="13"/>
  <c r="V32" i="13" s="1"/>
  <c r="W32" i="13" s="1"/>
  <c r="X32" i="13" s="1"/>
  <c r="AR31" i="13"/>
  <c r="AN31" i="13"/>
  <c r="AJ31" i="13"/>
  <c r="AF31" i="13"/>
  <c r="U31" i="13"/>
  <c r="T31" i="13"/>
  <c r="S31" i="13"/>
  <c r="P31" i="13"/>
  <c r="Q31" i="13" s="1"/>
  <c r="M31" i="13"/>
  <c r="N31" i="13" s="1"/>
  <c r="J31" i="13"/>
  <c r="AR30" i="13"/>
  <c r="AN30" i="13"/>
  <c r="AJ30" i="13"/>
  <c r="AF30" i="13"/>
  <c r="U30" i="13"/>
  <c r="S30" i="13"/>
  <c r="T30" i="13" s="1"/>
  <c r="P30" i="13"/>
  <c r="Q30" i="13" s="1"/>
  <c r="N30" i="13"/>
  <c r="M30" i="13"/>
  <c r="J30" i="13"/>
  <c r="V30" i="13" s="1"/>
  <c r="AR29" i="13"/>
  <c r="AN29" i="13"/>
  <c r="AJ29" i="13"/>
  <c r="AF29" i="13"/>
  <c r="U29" i="13"/>
  <c r="T29" i="13"/>
  <c r="S29" i="13"/>
  <c r="P29" i="13"/>
  <c r="Q29" i="13" s="1"/>
  <c r="M29" i="13"/>
  <c r="N29" i="13" s="1"/>
  <c r="J29" i="13"/>
  <c r="AR28" i="13"/>
  <c r="AN28" i="13"/>
  <c r="AJ28" i="13"/>
  <c r="AF28" i="13"/>
  <c r="U28" i="13"/>
  <c r="S28" i="13"/>
  <c r="T28" i="13" s="1"/>
  <c r="P28" i="13"/>
  <c r="Q28" i="13" s="1"/>
  <c r="N28" i="13"/>
  <c r="M28" i="13"/>
  <c r="J28" i="13"/>
  <c r="V28" i="13" s="1"/>
  <c r="W28" i="13" s="1"/>
  <c r="X28" i="13" s="1"/>
  <c r="AR27" i="13"/>
  <c r="AN27" i="13"/>
  <c r="AJ27" i="13"/>
  <c r="AF27" i="13"/>
  <c r="U27" i="13"/>
  <c r="T27" i="13"/>
  <c r="S27" i="13"/>
  <c r="P27" i="13"/>
  <c r="Q27" i="13" s="1"/>
  <c r="M27" i="13"/>
  <c r="N27" i="13" s="1"/>
  <c r="J27" i="13"/>
  <c r="AR26" i="13"/>
  <c r="AN26" i="13"/>
  <c r="AJ26" i="13"/>
  <c r="AF26" i="13"/>
  <c r="U26" i="13"/>
  <c r="S26" i="13"/>
  <c r="T26" i="13" s="1"/>
  <c r="P26" i="13"/>
  <c r="Q26" i="13" s="1"/>
  <c r="N26" i="13"/>
  <c r="M26" i="13"/>
  <c r="J26" i="13"/>
  <c r="V26" i="13" s="1"/>
  <c r="AR25" i="13"/>
  <c r="AN25" i="13"/>
  <c r="AJ25" i="13"/>
  <c r="AF25" i="13"/>
  <c r="U25" i="13"/>
  <c r="T25" i="13"/>
  <c r="S25" i="13"/>
  <c r="P25" i="13"/>
  <c r="Q25" i="13" s="1"/>
  <c r="M25" i="13"/>
  <c r="N25" i="13" s="1"/>
  <c r="J25" i="13"/>
  <c r="AR24" i="13"/>
  <c r="AN24" i="13"/>
  <c r="AJ24" i="13"/>
  <c r="AF24" i="13"/>
  <c r="U24" i="13"/>
  <c r="S24" i="13"/>
  <c r="T24" i="13" s="1"/>
  <c r="P24" i="13"/>
  <c r="Q24" i="13" s="1"/>
  <c r="N24" i="13"/>
  <c r="M24" i="13"/>
  <c r="J24" i="13"/>
  <c r="V24" i="13" s="1"/>
  <c r="W24" i="13" s="1"/>
  <c r="X24" i="13" s="1"/>
  <c r="AR23" i="13"/>
  <c r="AN23" i="13"/>
  <c r="AJ23" i="13"/>
  <c r="AF23" i="13"/>
  <c r="AR22" i="13"/>
  <c r="AN22" i="13"/>
  <c r="AJ22" i="13"/>
  <c r="AF22" i="13"/>
  <c r="U22" i="13"/>
  <c r="T22" i="13"/>
  <c r="S22" i="13"/>
  <c r="P22" i="13"/>
  <c r="V22" i="13" s="1"/>
  <c r="W22" i="13" s="1"/>
  <c r="X22" i="13" s="1"/>
  <c r="M22" i="13"/>
  <c r="N22" i="13" s="1"/>
  <c r="J22" i="13"/>
  <c r="K22" i="13" s="1"/>
  <c r="AR21" i="13"/>
  <c r="AN21" i="13"/>
  <c r="AJ21" i="13"/>
  <c r="AF21" i="13"/>
  <c r="U21" i="13"/>
  <c r="S21" i="13"/>
  <c r="T21" i="13" s="1"/>
  <c r="P21" i="13"/>
  <c r="Q21" i="13" s="1"/>
  <c r="N21" i="13"/>
  <c r="M21" i="13"/>
  <c r="J21" i="13"/>
  <c r="V21" i="13" s="1"/>
  <c r="AR20" i="13"/>
  <c r="AN20" i="13"/>
  <c r="AJ20" i="13"/>
  <c r="AF20" i="13"/>
  <c r="U20" i="13"/>
  <c r="T20" i="13"/>
  <c r="S20" i="13"/>
  <c r="P20" i="13"/>
  <c r="Q20" i="13" s="1"/>
  <c r="M20" i="13"/>
  <c r="N20" i="13" s="1"/>
  <c r="J20" i="13"/>
  <c r="AR19" i="13"/>
  <c r="AN19" i="13"/>
  <c r="AJ19" i="13"/>
  <c r="AF19" i="13"/>
  <c r="U19" i="13"/>
  <c r="S19" i="13"/>
  <c r="T19" i="13" s="1"/>
  <c r="P19" i="13"/>
  <c r="V19" i="13" s="1"/>
  <c r="N19" i="13"/>
  <c r="M19" i="13"/>
  <c r="J19" i="13"/>
  <c r="K19" i="13" s="1"/>
  <c r="AR18" i="13"/>
  <c r="AN18" i="13"/>
  <c r="AJ18" i="13"/>
  <c r="AF18" i="13"/>
  <c r="U18" i="13"/>
  <c r="T18" i="13"/>
  <c r="S18" i="13"/>
  <c r="P18" i="13"/>
  <c r="V18" i="13" s="1"/>
  <c r="W18" i="13" s="1"/>
  <c r="X18" i="13" s="1"/>
  <c r="M18" i="13"/>
  <c r="N18" i="13" s="1"/>
  <c r="J18" i="13"/>
  <c r="K18" i="13" s="1"/>
  <c r="AR17" i="13"/>
  <c r="AN17" i="13"/>
  <c r="AJ17" i="13"/>
  <c r="AF17" i="13"/>
  <c r="U17" i="13"/>
  <c r="S17" i="13"/>
  <c r="T17" i="13" s="1"/>
  <c r="P17" i="13"/>
  <c r="V17" i="13" s="1"/>
  <c r="N17" i="13"/>
  <c r="M17" i="13"/>
  <c r="J17" i="13"/>
  <c r="K17" i="13" s="1"/>
  <c r="AR16" i="13"/>
  <c r="AN16" i="13"/>
  <c r="AJ16" i="13"/>
  <c r="AF16" i="13"/>
  <c r="U16" i="13"/>
  <c r="T16" i="13"/>
  <c r="S16" i="13"/>
  <c r="P16" i="13"/>
  <c r="Q16" i="13" s="1"/>
  <c r="M16" i="13"/>
  <c r="N16" i="13" s="1"/>
  <c r="J16" i="13"/>
  <c r="AR15" i="13"/>
  <c r="AN15" i="13"/>
  <c r="AJ15" i="13"/>
  <c r="AF15" i="13"/>
  <c r="AR14" i="13"/>
  <c r="AN14" i="13"/>
  <c r="AJ14" i="13"/>
  <c r="AF14" i="13"/>
  <c r="U14" i="13"/>
  <c r="S14" i="13"/>
  <c r="T14" i="13" s="1"/>
  <c r="P14" i="13"/>
  <c r="Q14" i="13" s="1"/>
  <c r="N14" i="13"/>
  <c r="M14" i="13"/>
  <c r="J14" i="13"/>
  <c r="V14" i="13" s="1"/>
  <c r="W14" i="13" s="1"/>
  <c r="X14" i="13" s="1"/>
  <c r="AR13" i="13"/>
  <c r="AN13" i="13"/>
  <c r="AJ13" i="13"/>
  <c r="AF13" i="13"/>
  <c r="U13" i="13"/>
  <c r="T13" i="13"/>
  <c r="S13" i="13"/>
  <c r="P13" i="13"/>
  <c r="Q13" i="13" s="1"/>
  <c r="M13" i="13"/>
  <c r="N13" i="13" s="1"/>
  <c r="J13" i="13"/>
  <c r="AR12" i="13"/>
  <c r="AN12" i="13"/>
  <c r="AJ12" i="13"/>
  <c r="AF12" i="13"/>
  <c r="U12" i="13"/>
  <c r="S12" i="13"/>
  <c r="T12" i="13" s="1"/>
  <c r="P12" i="13"/>
  <c r="Q12" i="13" s="1"/>
  <c r="N12" i="13"/>
  <c r="M12" i="13"/>
  <c r="J12" i="13"/>
  <c r="V12" i="13" s="1"/>
  <c r="W12" i="13" l="1"/>
  <c r="X12" i="13" s="1"/>
  <c r="W21" i="13"/>
  <c r="X21" i="13" s="1"/>
  <c r="W26" i="13"/>
  <c r="X26" i="13" s="1"/>
  <c r="W30" i="13"/>
  <c r="X30" i="13" s="1"/>
  <c r="W34" i="13"/>
  <c r="X34" i="13" s="1"/>
  <c r="W42" i="13"/>
  <c r="X42" i="13" s="1"/>
  <c r="W47" i="13"/>
  <c r="X47" i="13" s="1"/>
  <c r="W51" i="13"/>
  <c r="X51" i="13" s="1"/>
  <c r="V16" i="13"/>
  <c r="W16" i="13" s="1"/>
  <c r="X16" i="13" s="1"/>
  <c r="W19" i="13"/>
  <c r="X19" i="13" s="1"/>
  <c r="V20" i="13"/>
  <c r="W20" i="13" s="1"/>
  <c r="X20" i="13" s="1"/>
  <c r="V25" i="13"/>
  <c r="W25" i="13" s="1"/>
  <c r="X25" i="13" s="1"/>
  <c r="V29" i="13"/>
  <c r="W29" i="13" s="1"/>
  <c r="X29" i="13" s="1"/>
  <c r="V33" i="13"/>
  <c r="W33" i="13" s="1"/>
  <c r="X33" i="13" s="1"/>
  <c r="V37" i="13"/>
  <c r="W37" i="13" s="1"/>
  <c r="X37" i="13" s="1"/>
  <c r="W40" i="13"/>
  <c r="X40" i="13" s="1"/>
  <c r="V41" i="13"/>
  <c r="V46" i="13"/>
  <c r="W46" i="13" s="1"/>
  <c r="X46" i="13" s="1"/>
  <c r="V50" i="13"/>
  <c r="W50" i="13" s="1"/>
  <c r="X50" i="13" s="1"/>
  <c r="W54" i="13"/>
  <c r="X54" i="13" s="1"/>
  <c r="V13" i="13"/>
  <c r="W13" i="13" s="1"/>
  <c r="X13" i="13" s="1"/>
  <c r="W17" i="13"/>
  <c r="X17" i="13" s="1"/>
  <c r="V27" i="13"/>
  <c r="W27" i="13" s="1"/>
  <c r="X27" i="13" s="1"/>
  <c r="X10" i="13" s="1"/>
  <c r="V31" i="13"/>
  <c r="W31" i="13" s="1"/>
  <c r="X31" i="13" s="1"/>
  <c r="V35" i="13"/>
  <c r="W35" i="13" s="1"/>
  <c r="X35" i="13" s="1"/>
  <c r="W38" i="13"/>
  <c r="X38" i="13" s="1"/>
  <c r="V39" i="13"/>
  <c r="W39" i="13" s="1"/>
  <c r="X39" i="13" s="1"/>
  <c r="V43" i="13"/>
  <c r="W43" i="13" s="1"/>
  <c r="X43" i="13" s="1"/>
  <c r="V48" i="13"/>
  <c r="W48" i="13" s="1"/>
  <c r="X48" i="13" s="1"/>
  <c r="V52" i="13"/>
  <c r="W52" i="13" s="1"/>
  <c r="X52" i="13" s="1"/>
  <c r="W56" i="13"/>
  <c r="X56" i="13" s="1"/>
  <c r="V57" i="13"/>
  <c r="W57" i="13" s="1"/>
  <c r="X57" i="13" s="1"/>
  <c r="V59" i="13"/>
  <c r="W59" i="13" s="1"/>
  <c r="X59" i="13" s="1"/>
  <c r="K12" i="13"/>
  <c r="K13" i="13"/>
  <c r="K14" i="13"/>
  <c r="K16" i="13"/>
  <c r="Q17" i="13"/>
  <c r="Q18" i="13"/>
  <c r="Q19" i="13"/>
  <c r="K20" i="13"/>
  <c r="K21" i="13"/>
  <c r="Q22" i="13"/>
  <c r="K24" i="13"/>
  <c r="K25" i="13"/>
  <c r="K26" i="13"/>
  <c r="K27" i="13"/>
  <c r="K28" i="13"/>
  <c r="K29" i="13"/>
  <c r="K30" i="13"/>
  <c r="K31" i="13"/>
  <c r="K32" i="13"/>
  <c r="K33" i="13"/>
  <c r="K34" i="13"/>
  <c r="K35" i="13"/>
  <c r="K36" i="13"/>
  <c r="K37" i="13"/>
  <c r="Q38" i="13"/>
  <c r="K39" i="13"/>
  <c r="Q40" i="13"/>
  <c r="K41" i="13"/>
  <c r="W41" i="13" s="1"/>
  <c r="X41" i="13" s="1"/>
  <c r="K42" i="13"/>
  <c r="K43" i="13"/>
  <c r="K45" i="13"/>
  <c r="K46" i="13"/>
  <c r="K47" i="13"/>
  <c r="K48" i="13"/>
  <c r="K49" i="13"/>
  <c r="K50" i="13"/>
  <c r="K51" i="13"/>
  <c r="K52" i="13"/>
  <c r="K53" i="13"/>
  <c r="K54" i="13"/>
  <c r="Q56" i="13"/>
  <c r="K57" i="13"/>
  <c r="K58" i="13"/>
  <c r="J11" i="12"/>
  <c r="I11" i="12"/>
  <c r="H11" i="12"/>
  <c r="G11" i="12"/>
  <c r="F11" i="12"/>
  <c r="E11" i="12"/>
  <c r="D11" i="12"/>
  <c r="C11" i="12"/>
  <c r="N10" i="12"/>
  <c r="M10" i="12"/>
  <c r="L10" i="12"/>
  <c r="K10" i="12"/>
  <c r="N9" i="12"/>
  <c r="M9" i="12"/>
  <c r="L9" i="12"/>
  <c r="K9" i="12"/>
  <c r="N8" i="12"/>
  <c r="M8" i="12"/>
  <c r="L8" i="12"/>
  <c r="K8" i="12"/>
  <c r="N7" i="12"/>
  <c r="M7" i="12"/>
  <c r="L7" i="12"/>
  <c r="K7" i="12"/>
  <c r="N6" i="12"/>
  <c r="M6" i="12"/>
  <c r="L6" i="12"/>
  <c r="K6" i="12"/>
  <c r="N5" i="12"/>
  <c r="N11" i="12" s="1"/>
  <c r="M5" i="12"/>
  <c r="M11" i="12" s="1"/>
  <c r="L5" i="12"/>
  <c r="L11" i="12" s="1"/>
  <c r="K5" i="12"/>
  <c r="K11" i="12" s="1"/>
  <c r="K4" i="12"/>
  <c r="K3" i="12"/>
  <c r="F61" i="10" l="1"/>
  <c r="AR60" i="10"/>
  <c r="AO60" i="10"/>
  <c r="P60" i="10" s="1"/>
  <c r="Q60" i="10" s="1"/>
  <c r="AN60" i="10"/>
  <c r="AK60" i="10"/>
  <c r="AJ60" i="10"/>
  <c r="AG60" i="10"/>
  <c r="J60" i="10" s="1"/>
  <c r="AF60" i="10"/>
  <c r="U60" i="10"/>
  <c r="S60" i="10"/>
  <c r="T60" i="10" s="1"/>
  <c r="M60" i="10"/>
  <c r="N60" i="10" s="1"/>
  <c r="AR59" i="10"/>
  <c r="AN59" i="10"/>
  <c r="AJ59" i="10"/>
  <c r="AF59" i="10"/>
  <c r="AR58" i="10"/>
  <c r="AN58" i="10"/>
  <c r="AJ58" i="10"/>
  <c r="AF58" i="10"/>
  <c r="U58" i="10"/>
  <c r="S58" i="10"/>
  <c r="T58" i="10" s="1"/>
  <c r="P58" i="10"/>
  <c r="Q58" i="10" s="1"/>
  <c r="M58" i="10"/>
  <c r="N58" i="10" s="1"/>
  <c r="J58" i="10"/>
  <c r="K58" i="10" s="1"/>
  <c r="AR57" i="10"/>
  <c r="AN57" i="10"/>
  <c r="AJ57" i="10"/>
  <c r="AF57" i="10"/>
  <c r="U57" i="10"/>
  <c r="S57" i="10"/>
  <c r="T57" i="10" s="1"/>
  <c r="P57" i="10"/>
  <c r="Q57" i="10" s="1"/>
  <c r="M57" i="10"/>
  <c r="N57" i="10" s="1"/>
  <c r="J57" i="10"/>
  <c r="K57" i="10" s="1"/>
  <c r="AR56" i="10"/>
  <c r="AN56" i="10"/>
  <c r="AJ56" i="10"/>
  <c r="AG56" i="10"/>
  <c r="J56" i="10" s="1"/>
  <c r="AF56" i="10"/>
  <c r="U56" i="10"/>
  <c r="S56" i="10"/>
  <c r="T56" i="10" s="1"/>
  <c r="P56" i="10"/>
  <c r="Q56" i="10" s="1"/>
  <c r="M56" i="10"/>
  <c r="N56" i="10" s="1"/>
  <c r="AS55" i="10"/>
  <c r="S55" i="10" s="1"/>
  <c r="AR55" i="10"/>
  <c r="AO55" i="10"/>
  <c r="P55" i="10" s="1"/>
  <c r="Q55" i="10" s="1"/>
  <c r="AN55" i="10"/>
  <c r="AK55" i="10"/>
  <c r="M55" i="10" s="1"/>
  <c r="N55" i="10" s="1"/>
  <c r="AJ55" i="10"/>
  <c r="AF55" i="10"/>
  <c r="U55" i="10"/>
  <c r="J55" i="10"/>
  <c r="K55" i="10" s="1"/>
  <c r="AR54" i="10"/>
  <c r="AN54" i="10"/>
  <c r="AJ54" i="10"/>
  <c r="AF54" i="10"/>
  <c r="AS53" i="10"/>
  <c r="AR53" i="10"/>
  <c r="AO53" i="10"/>
  <c r="AN53" i="10"/>
  <c r="AK53" i="10"/>
  <c r="AJ53" i="10"/>
  <c r="AF53" i="10"/>
  <c r="U53" i="10"/>
  <c r="S53" i="10"/>
  <c r="T53" i="10" s="1"/>
  <c r="P53" i="10"/>
  <c r="Q53" i="10" s="1"/>
  <c r="M53" i="10"/>
  <c r="N53" i="10" s="1"/>
  <c r="J53" i="10"/>
  <c r="AR52" i="10"/>
  <c r="AN52" i="10"/>
  <c r="AJ52" i="10"/>
  <c r="AF52" i="10"/>
  <c r="U52" i="10"/>
  <c r="S52" i="10"/>
  <c r="T52" i="10" s="1"/>
  <c r="P52" i="10"/>
  <c r="Q52" i="10" s="1"/>
  <c r="M52" i="10"/>
  <c r="N52" i="10" s="1"/>
  <c r="J52" i="10"/>
  <c r="AR51" i="10"/>
  <c r="AN51" i="10"/>
  <c r="AJ51" i="10"/>
  <c r="AF51" i="10"/>
  <c r="U51" i="10"/>
  <c r="S51" i="10"/>
  <c r="T51" i="10" s="1"/>
  <c r="P51" i="10"/>
  <c r="Q51" i="10" s="1"/>
  <c r="M51" i="10"/>
  <c r="N51" i="10" s="1"/>
  <c r="J51" i="10"/>
  <c r="AR50" i="10"/>
  <c r="AN50" i="10"/>
  <c r="AJ50" i="10"/>
  <c r="AF50" i="10"/>
  <c r="U50" i="10"/>
  <c r="S50" i="10"/>
  <c r="T50" i="10" s="1"/>
  <c r="P50" i="10"/>
  <c r="Q50" i="10" s="1"/>
  <c r="M50" i="10"/>
  <c r="N50" i="10" s="1"/>
  <c r="J50" i="10"/>
  <c r="AR49" i="10"/>
  <c r="AN49" i="10"/>
  <c r="AJ49" i="10"/>
  <c r="AF49" i="10"/>
  <c r="U49" i="10"/>
  <c r="S49" i="10"/>
  <c r="T49" i="10" s="1"/>
  <c r="P49" i="10"/>
  <c r="Q49" i="10" s="1"/>
  <c r="M49" i="10"/>
  <c r="N49" i="10" s="1"/>
  <c r="J49" i="10"/>
  <c r="AR48" i="10"/>
  <c r="AN48" i="10"/>
  <c r="AJ48" i="10"/>
  <c r="AF48" i="10"/>
  <c r="U48" i="10"/>
  <c r="S48" i="10"/>
  <c r="T48" i="10" s="1"/>
  <c r="P48" i="10"/>
  <c r="Q48" i="10" s="1"/>
  <c r="M48" i="10"/>
  <c r="N48" i="10" s="1"/>
  <c r="J48" i="10"/>
  <c r="AR47" i="10"/>
  <c r="AN47" i="10"/>
  <c r="AJ47" i="10"/>
  <c r="AF47" i="10"/>
  <c r="U47" i="10"/>
  <c r="S47" i="10"/>
  <c r="T47" i="10" s="1"/>
  <c r="P47" i="10"/>
  <c r="Q47" i="10" s="1"/>
  <c r="M47" i="10"/>
  <c r="N47" i="10" s="1"/>
  <c r="J47" i="10"/>
  <c r="AR46" i="10"/>
  <c r="AO46" i="10"/>
  <c r="P46" i="10" s="1"/>
  <c r="Q46" i="10" s="1"/>
  <c r="AN46" i="10"/>
  <c r="AK46" i="10"/>
  <c r="M46" i="10" s="1"/>
  <c r="N46" i="10" s="1"/>
  <c r="AJ46" i="10"/>
  <c r="AG46" i="10"/>
  <c r="AF46" i="10"/>
  <c r="U46" i="10"/>
  <c r="S46" i="10"/>
  <c r="T46" i="10" s="1"/>
  <c r="J46" i="10"/>
  <c r="AR45" i="10"/>
  <c r="AN45" i="10"/>
  <c r="AJ45" i="10"/>
  <c r="AF45" i="10"/>
  <c r="U45" i="10"/>
  <c r="T45" i="10"/>
  <c r="S45" i="10"/>
  <c r="P45" i="10"/>
  <c r="Q45" i="10" s="1"/>
  <c r="M45" i="10"/>
  <c r="N45" i="10" s="1"/>
  <c r="J45" i="10"/>
  <c r="AR44" i="10"/>
  <c r="AN44" i="10"/>
  <c r="AJ44" i="10"/>
  <c r="AF44" i="10"/>
  <c r="U44" i="10"/>
  <c r="S44" i="10"/>
  <c r="T44" i="10" s="1"/>
  <c r="P44" i="10"/>
  <c r="Q44" i="10" s="1"/>
  <c r="N44" i="10"/>
  <c r="M44" i="10"/>
  <c r="J44" i="10"/>
  <c r="AR43" i="10"/>
  <c r="AN43" i="10"/>
  <c r="AJ43" i="10"/>
  <c r="AF43" i="10"/>
  <c r="AS42" i="10"/>
  <c r="S42" i="10" s="1"/>
  <c r="T42" i="10" s="1"/>
  <c r="AR42" i="10"/>
  <c r="AO42" i="10"/>
  <c r="AN42" i="10"/>
  <c r="AK42" i="10"/>
  <c r="M42" i="10" s="1"/>
  <c r="N42" i="10" s="1"/>
  <c r="AJ42" i="10"/>
  <c r="AG42" i="10"/>
  <c r="AF42" i="10"/>
  <c r="U42" i="10"/>
  <c r="P42" i="10"/>
  <c r="Q42" i="10" s="1"/>
  <c r="J42" i="10"/>
  <c r="AS41" i="10"/>
  <c r="S41" i="10" s="1"/>
  <c r="AR41" i="10"/>
  <c r="AO41" i="10"/>
  <c r="P41" i="10" s="1"/>
  <c r="Q41" i="10" s="1"/>
  <c r="AN41" i="10"/>
  <c r="AJ41" i="10"/>
  <c r="AF41" i="10"/>
  <c r="U41" i="10"/>
  <c r="M41" i="10"/>
  <c r="N41" i="10" s="1"/>
  <c r="J41" i="10"/>
  <c r="K41" i="10" s="1"/>
  <c r="AS40" i="10"/>
  <c r="S40" i="10" s="1"/>
  <c r="T40" i="10" s="1"/>
  <c r="AR40" i="10"/>
  <c r="AO40" i="10"/>
  <c r="P40" i="10" s="1"/>
  <c r="Q40" i="10" s="1"/>
  <c r="AN40" i="10"/>
  <c r="AK40" i="10"/>
  <c r="M40" i="10" s="1"/>
  <c r="N40" i="10" s="1"/>
  <c r="AJ40" i="10"/>
  <c r="AG40" i="10"/>
  <c r="J40" i="10" s="1"/>
  <c r="K40" i="10" s="1"/>
  <c r="AF40" i="10"/>
  <c r="U40" i="10"/>
  <c r="AS39" i="10"/>
  <c r="S39" i="10" s="1"/>
  <c r="T39" i="10" s="1"/>
  <c r="AR39" i="10"/>
  <c r="AO39" i="10"/>
  <c r="P39" i="10" s="1"/>
  <c r="Q39" i="10" s="1"/>
  <c r="AN39" i="10"/>
  <c r="AK39" i="10"/>
  <c r="M39" i="10" s="1"/>
  <c r="N39" i="10" s="1"/>
  <c r="AJ39" i="10"/>
  <c r="AG39" i="10"/>
  <c r="J39" i="10" s="1"/>
  <c r="AF39" i="10"/>
  <c r="U39" i="10"/>
  <c r="AR38" i="10"/>
  <c r="AO38" i="10"/>
  <c r="P38" i="10" s="1"/>
  <c r="Q38" i="10" s="1"/>
  <c r="AN38" i="10"/>
  <c r="AJ38" i="10"/>
  <c r="AF38" i="10"/>
  <c r="U38" i="10"/>
  <c r="S38" i="10"/>
  <c r="T38" i="10" s="1"/>
  <c r="M38" i="10"/>
  <c r="N38" i="10" s="1"/>
  <c r="J38" i="10"/>
  <c r="K38" i="10" s="1"/>
  <c r="AR37" i="10"/>
  <c r="AO37" i="10"/>
  <c r="P37" i="10" s="1"/>
  <c r="Q37" i="10" s="1"/>
  <c r="AN37" i="10"/>
  <c r="AJ37" i="10"/>
  <c r="AF37" i="10"/>
  <c r="U37" i="10"/>
  <c r="S37" i="10"/>
  <c r="T37" i="10" s="1"/>
  <c r="M37" i="10"/>
  <c r="N37" i="10" s="1"/>
  <c r="J37" i="10"/>
  <c r="AR36" i="10"/>
  <c r="AN36" i="10"/>
  <c r="AJ36" i="10"/>
  <c r="AF36" i="10"/>
  <c r="U36" i="10"/>
  <c r="S36" i="10"/>
  <c r="T36" i="10" s="1"/>
  <c r="P36" i="10"/>
  <c r="Q36" i="10" s="1"/>
  <c r="N36" i="10"/>
  <c r="M36" i="10"/>
  <c r="J36" i="10"/>
  <c r="V36" i="10" s="1"/>
  <c r="W36" i="10" s="1"/>
  <c r="X36" i="10" s="1"/>
  <c r="AR35" i="10"/>
  <c r="AN35" i="10"/>
  <c r="AJ35" i="10"/>
  <c r="AF35" i="10"/>
  <c r="U35" i="10"/>
  <c r="T35" i="10"/>
  <c r="S35" i="10"/>
  <c r="Q35" i="10"/>
  <c r="P35" i="10"/>
  <c r="N35" i="10"/>
  <c r="M35" i="10"/>
  <c r="K35" i="10"/>
  <c r="J35" i="10"/>
  <c r="V35" i="10" s="1"/>
  <c r="W35" i="10" s="1"/>
  <c r="X35" i="10" s="1"/>
  <c r="AR34" i="10"/>
  <c r="AN34" i="10"/>
  <c r="AJ34" i="10"/>
  <c r="AF34" i="10"/>
  <c r="U34" i="10"/>
  <c r="S34" i="10"/>
  <c r="T34" i="10" s="1"/>
  <c r="P34" i="10"/>
  <c r="Q34" i="10" s="1"/>
  <c r="M34" i="10"/>
  <c r="J34" i="10"/>
  <c r="K34" i="10" s="1"/>
  <c r="AR33" i="10"/>
  <c r="AO33" i="10"/>
  <c r="P33" i="10" s="1"/>
  <c r="Q33" i="10" s="1"/>
  <c r="AN33" i="10"/>
  <c r="AJ33" i="10"/>
  <c r="AF33" i="10"/>
  <c r="U33" i="10"/>
  <c r="S33" i="10"/>
  <c r="T33" i="10" s="1"/>
  <c r="N33" i="10"/>
  <c r="M33" i="10"/>
  <c r="J33" i="10"/>
  <c r="V33" i="10" s="1"/>
  <c r="W33" i="10" s="1"/>
  <c r="X33" i="10" s="1"/>
  <c r="AS32" i="10"/>
  <c r="AR32" i="10"/>
  <c r="AO32" i="10"/>
  <c r="AN32" i="10"/>
  <c r="AK32" i="10"/>
  <c r="M32" i="10" s="1"/>
  <c r="AJ32" i="10"/>
  <c r="AF32" i="10"/>
  <c r="U32" i="10"/>
  <c r="S32" i="10"/>
  <c r="T32" i="10" s="1"/>
  <c r="P32" i="10"/>
  <c r="Q32" i="10" s="1"/>
  <c r="J32" i="10"/>
  <c r="K32" i="10" s="1"/>
  <c r="AR31" i="10"/>
  <c r="AN31" i="10"/>
  <c r="AJ31" i="10"/>
  <c r="AF31" i="10"/>
  <c r="U31" i="10"/>
  <c r="T31" i="10"/>
  <c r="S31" i="10"/>
  <c r="Q31" i="10"/>
  <c r="P31" i="10"/>
  <c r="N31" i="10"/>
  <c r="M31" i="10"/>
  <c r="K31" i="10"/>
  <c r="J31" i="10"/>
  <c r="AR30" i="10"/>
  <c r="AN30" i="10"/>
  <c r="AJ30" i="10"/>
  <c r="AF30" i="10"/>
  <c r="U30" i="10"/>
  <c r="S30" i="10"/>
  <c r="T30" i="10" s="1"/>
  <c r="P30" i="10"/>
  <c r="Q30" i="10" s="1"/>
  <c r="M30" i="10"/>
  <c r="J30" i="10"/>
  <c r="K30" i="10" s="1"/>
  <c r="AS29" i="10"/>
  <c r="AR29" i="10"/>
  <c r="AO29" i="10"/>
  <c r="AN29" i="10"/>
  <c r="AK29" i="10"/>
  <c r="AJ29" i="10"/>
  <c r="AF29" i="10"/>
  <c r="U29" i="10"/>
  <c r="S29" i="10"/>
  <c r="T29" i="10" s="1"/>
  <c r="Q29" i="10"/>
  <c r="P29" i="10"/>
  <c r="M29" i="10"/>
  <c r="N29" i="10" s="1"/>
  <c r="J29" i="10"/>
  <c r="K29" i="10" s="1"/>
  <c r="AS28" i="10"/>
  <c r="AR28" i="10"/>
  <c r="AO28" i="10"/>
  <c r="AN28" i="10"/>
  <c r="AJ28" i="10"/>
  <c r="AF28" i="10"/>
  <c r="U28" i="10"/>
  <c r="S28" i="10"/>
  <c r="T28" i="10" s="1"/>
  <c r="P28" i="10"/>
  <c r="Q28" i="10" s="1"/>
  <c r="M28" i="10"/>
  <c r="N28" i="10" s="1"/>
  <c r="J28" i="10"/>
  <c r="AR27" i="10"/>
  <c r="AN27" i="10"/>
  <c r="AJ27" i="10"/>
  <c r="AF27" i="10"/>
  <c r="U27" i="10"/>
  <c r="S27" i="10"/>
  <c r="T27" i="10" s="1"/>
  <c r="P27" i="10"/>
  <c r="Q27" i="10" s="1"/>
  <c r="M27" i="10"/>
  <c r="N27" i="10" s="1"/>
  <c r="J27" i="10"/>
  <c r="AR26" i="10"/>
  <c r="AN26" i="10"/>
  <c r="AJ26" i="10"/>
  <c r="AF26" i="10"/>
  <c r="U26" i="10"/>
  <c r="S26" i="10"/>
  <c r="T26" i="10" s="1"/>
  <c r="P26" i="10"/>
  <c r="Q26" i="10" s="1"/>
  <c r="M26" i="10"/>
  <c r="N26" i="10" s="1"/>
  <c r="J26" i="10"/>
  <c r="AR25" i="10"/>
  <c r="AN25" i="10"/>
  <c r="AJ25" i="10"/>
  <c r="AF25" i="10"/>
  <c r="U25" i="10"/>
  <c r="S25" i="10"/>
  <c r="T25" i="10" s="1"/>
  <c r="P25" i="10"/>
  <c r="Q25" i="10" s="1"/>
  <c r="M25" i="10"/>
  <c r="N25" i="10" s="1"/>
  <c r="J25" i="10"/>
  <c r="AS24" i="10"/>
  <c r="S24" i="10" s="1"/>
  <c r="T24" i="10" s="1"/>
  <c r="AR24" i="10"/>
  <c r="AO24" i="10"/>
  <c r="P24" i="10" s="1"/>
  <c r="Q24" i="10" s="1"/>
  <c r="AN24" i="10"/>
  <c r="AK24" i="10"/>
  <c r="M24" i="10" s="1"/>
  <c r="N24" i="10" s="1"/>
  <c r="AJ24" i="10"/>
  <c r="AG24" i="10"/>
  <c r="AF24" i="10"/>
  <c r="U24" i="10"/>
  <c r="J24" i="10"/>
  <c r="AR23" i="10"/>
  <c r="AN23" i="10"/>
  <c r="AJ23" i="10"/>
  <c r="AF23" i="10"/>
  <c r="AS22" i="10"/>
  <c r="S22" i="10" s="1"/>
  <c r="V22" i="10" s="1"/>
  <c r="AR22" i="10"/>
  <c r="AO22" i="10"/>
  <c r="P22" i="10" s="1"/>
  <c r="AN22" i="10"/>
  <c r="AK22" i="10"/>
  <c r="M22" i="10" s="1"/>
  <c r="N22" i="10" s="1"/>
  <c r="AJ22" i="10"/>
  <c r="AF22" i="10"/>
  <c r="U22" i="10"/>
  <c r="T22" i="10"/>
  <c r="Q22" i="10"/>
  <c r="K22" i="10"/>
  <c r="J22" i="10"/>
  <c r="AS21" i="10"/>
  <c r="AR21" i="10"/>
  <c r="AO21" i="10"/>
  <c r="P21" i="10" s="1"/>
  <c r="Q21" i="10" s="1"/>
  <c r="AN21" i="10"/>
  <c r="AK21" i="10"/>
  <c r="M21" i="10" s="1"/>
  <c r="N21" i="10" s="1"/>
  <c r="AJ21" i="10"/>
  <c r="AF21" i="10"/>
  <c r="U21" i="10"/>
  <c r="S21" i="10"/>
  <c r="T21" i="10" s="1"/>
  <c r="J21" i="10"/>
  <c r="K21" i="10" s="1"/>
  <c r="AS20" i="10"/>
  <c r="S20" i="10" s="1"/>
  <c r="T20" i="10" s="1"/>
  <c r="AR20" i="10"/>
  <c r="AO20" i="10"/>
  <c r="P20" i="10" s="1"/>
  <c r="Q20" i="10" s="1"/>
  <c r="AN20" i="10"/>
  <c r="AK20" i="10"/>
  <c r="M20" i="10" s="1"/>
  <c r="N20" i="10" s="1"/>
  <c r="AJ20" i="10"/>
  <c r="AG20" i="10"/>
  <c r="J20" i="10" s="1"/>
  <c r="AF20" i="10"/>
  <c r="U20" i="10"/>
  <c r="AS19" i="10"/>
  <c r="S19" i="10" s="1"/>
  <c r="T19" i="10" s="1"/>
  <c r="AR19" i="10"/>
  <c r="AO19" i="10"/>
  <c r="P19" i="10" s="1"/>
  <c r="Q19" i="10" s="1"/>
  <c r="AN19" i="10"/>
  <c r="AK19" i="10"/>
  <c r="AJ19" i="10"/>
  <c r="AG19" i="10"/>
  <c r="J19" i="10" s="1"/>
  <c r="K19" i="10" s="1"/>
  <c r="AF19" i="10"/>
  <c r="U19" i="10"/>
  <c r="M19" i="10"/>
  <c r="N19" i="10" s="1"/>
  <c r="AS18" i="10"/>
  <c r="S18" i="10" s="1"/>
  <c r="T18" i="10" s="1"/>
  <c r="AR18" i="10"/>
  <c r="AO18" i="10"/>
  <c r="P18" i="10" s="1"/>
  <c r="Q18" i="10" s="1"/>
  <c r="AN18" i="10"/>
  <c r="AK18" i="10"/>
  <c r="M18" i="10" s="1"/>
  <c r="N18" i="10" s="1"/>
  <c r="AJ18" i="10"/>
  <c r="AG18" i="10"/>
  <c r="J18" i="10" s="1"/>
  <c r="K18" i="10" s="1"/>
  <c r="AF18" i="10"/>
  <c r="U18" i="10"/>
  <c r="AS17" i="10"/>
  <c r="AR17" i="10"/>
  <c r="AO17" i="10"/>
  <c r="P17" i="10" s="1"/>
  <c r="Q17" i="10" s="1"/>
  <c r="AN17" i="10"/>
  <c r="AK17" i="10"/>
  <c r="AJ17" i="10"/>
  <c r="AG17" i="10"/>
  <c r="J17" i="10" s="1"/>
  <c r="K17" i="10" s="1"/>
  <c r="AF17" i="10"/>
  <c r="U17" i="10"/>
  <c r="S17" i="10"/>
  <c r="T17" i="10" s="1"/>
  <c r="M17" i="10"/>
  <c r="N17" i="10" s="1"/>
  <c r="AS16" i="10"/>
  <c r="S16" i="10" s="1"/>
  <c r="T16" i="10" s="1"/>
  <c r="AR16" i="10"/>
  <c r="AO16" i="10"/>
  <c r="P16" i="10" s="1"/>
  <c r="Q16" i="10" s="1"/>
  <c r="AN16" i="10"/>
  <c r="AK16" i="10"/>
  <c r="M16" i="10" s="1"/>
  <c r="N16" i="10" s="1"/>
  <c r="AJ16" i="10"/>
  <c r="AG16" i="10"/>
  <c r="J16" i="10" s="1"/>
  <c r="AF16" i="10"/>
  <c r="U16" i="10"/>
  <c r="AR15" i="10"/>
  <c r="AN15" i="10"/>
  <c r="AJ15" i="10"/>
  <c r="AF15" i="10"/>
  <c r="AR14" i="10"/>
  <c r="AN14" i="10"/>
  <c r="AJ14" i="10"/>
  <c r="AF14" i="10"/>
  <c r="U14" i="10"/>
  <c r="S14" i="10"/>
  <c r="T14" i="10" s="1"/>
  <c r="P14" i="10"/>
  <c r="Q14" i="10" s="1"/>
  <c r="M14" i="10"/>
  <c r="N14" i="10" s="1"/>
  <c r="J14" i="10"/>
  <c r="K14" i="10" s="1"/>
  <c r="AR13" i="10"/>
  <c r="AN13" i="10"/>
  <c r="AJ13" i="10"/>
  <c r="AF13" i="10"/>
  <c r="U13" i="10"/>
  <c r="S13" i="10"/>
  <c r="T13" i="10" s="1"/>
  <c r="P13" i="10"/>
  <c r="Q13" i="10" s="1"/>
  <c r="M13" i="10"/>
  <c r="N13" i="10" s="1"/>
  <c r="J13" i="10"/>
  <c r="K13" i="10" s="1"/>
  <c r="AR12" i="10"/>
  <c r="AN12" i="10"/>
  <c r="AJ12" i="10"/>
  <c r="AF12" i="10"/>
  <c r="U12" i="10"/>
  <c r="S12" i="10"/>
  <c r="T12" i="10" s="1"/>
  <c r="P12" i="10"/>
  <c r="Q12" i="10" s="1"/>
  <c r="M12" i="10"/>
  <c r="N12" i="10" s="1"/>
  <c r="J12" i="10"/>
  <c r="K12" i="10" s="1"/>
  <c r="F62" i="8"/>
  <c r="AQ61" i="8"/>
  <c r="AM61" i="8"/>
  <c r="AI61" i="8"/>
  <c r="AE61" i="8"/>
  <c r="U61" i="8"/>
  <c r="S61" i="8"/>
  <c r="T61" i="8" s="1"/>
  <c r="P61" i="8"/>
  <c r="Q61" i="8" s="1"/>
  <c r="M61" i="8"/>
  <c r="N61" i="8" s="1"/>
  <c r="J61" i="8"/>
  <c r="AQ60" i="8"/>
  <c r="AM60" i="8"/>
  <c r="AI60" i="8"/>
  <c r="AE60" i="8"/>
  <c r="U60" i="8"/>
  <c r="S60" i="8"/>
  <c r="T60" i="8" s="1"/>
  <c r="P60" i="8"/>
  <c r="Q60" i="8" s="1"/>
  <c r="M60" i="8"/>
  <c r="N60" i="8" s="1"/>
  <c r="J60" i="8"/>
  <c r="AQ59" i="8"/>
  <c r="AM59" i="8"/>
  <c r="AI59" i="8"/>
  <c r="AE59" i="8"/>
  <c r="U59" i="8"/>
  <c r="S59" i="8"/>
  <c r="T59" i="8" s="1"/>
  <c r="P59" i="8"/>
  <c r="Q59" i="8" s="1"/>
  <c r="M59" i="8"/>
  <c r="N59" i="8" s="1"/>
  <c r="J59" i="8"/>
  <c r="AQ58" i="8"/>
  <c r="AM58" i="8"/>
  <c r="AI58" i="8"/>
  <c r="AE58" i="8"/>
  <c r="AQ57" i="8"/>
  <c r="AM57" i="8"/>
  <c r="AI57" i="8"/>
  <c r="AE57" i="8"/>
  <c r="U57" i="8"/>
  <c r="S57" i="8"/>
  <c r="T57" i="8" s="1"/>
  <c r="P57" i="8"/>
  <c r="Q57" i="8" s="1"/>
  <c r="M57" i="8"/>
  <c r="N57" i="8" s="1"/>
  <c r="J57" i="8"/>
  <c r="AQ56" i="8"/>
  <c r="AM56" i="8"/>
  <c r="AI56" i="8"/>
  <c r="AE56" i="8"/>
  <c r="U56" i="8"/>
  <c r="S56" i="8"/>
  <c r="T56" i="8" s="1"/>
  <c r="P56" i="8"/>
  <c r="Q56" i="8" s="1"/>
  <c r="M56" i="8"/>
  <c r="N56" i="8" s="1"/>
  <c r="J56" i="8"/>
  <c r="AQ55" i="8"/>
  <c r="AM55" i="8"/>
  <c r="AI55" i="8"/>
  <c r="AE55" i="8"/>
  <c r="U55" i="8"/>
  <c r="S55" i="8"/>
  <c r="T55" i="8" s="1"/>
  <c r="P55" i="8"/>
  <c r="Q55" i="8" s="1"/>
  <c r="M55" i="8"/>
  <c r="N55" i="8" s="1"/>
  <c r="J55" i="8"/>
  <c r="AQ54" i="8"/>
  <c r="AM54" i="8"/>
  <c r="AI54" i="8"/>
  <c r="AE54" i="8"/>
  <c r="V54" i="8"/>
  <c r="AQ53" i="8"/>
  <c r="AM53" i="8"/>
  <c r="AI53" i="8"/>
  <c r="AE53" i="8"/>
  <c r="U53" i="8"/>
  <c r="S53" i="8"/>
  <c r="T53" i="8" s="1"/>
  <c r="P53" i="8"/>
  <c r="Q53" i="8" s="1"/>
  <c r="M53" i="8"/>
  <c r="N53" i="8" s="1"/>
  <c r="J53" i="8"/>
  <c r="K53" i="8" s="1"/>
  <c r="AQ52" i="8"/>
  <c r="AM52" i="8"/>
  <c r="AI52" i="8"/>
  <c r="AE52" i="8"/>
  <c r="U52" i="8"/>
  <c r="S52" i="8"/>
  <c r="T52" i="8" s="1"/>
  <c r="P52" i="8"/>
  <c r="Q52" i="8" s="1"/>
  <c r="M52" i="8"/>
  <c r="N52" i="8" s="1"/>
  <c r="K52" i="8"/>
  <c r="J52" i="8"/>
  <c r="AQ51" i="8"/>
  <c r="AM51" i="8"/>
  <c r="AI51" i="8"/>
  <c r="AE51" i="8"/>
  <c r="U51" i="8"/>
  <c r="S51" i="8"/>
  <c r="T51" i="8" s="1"/>
  <c r="P51" i="8"/>
  <c r="Q51" i="8" s="1"/>
  <c r="M51" i="8"/>
  <c r="N51" i="8" s="1"/>
  <c r="J51" i="8"/>
  <c r="K51" i="8" s="1"/>
  <c r="AQ50" i="8"/>
  <c r="AM50" i="8"/>
  <c r="AI50" i="8"/>
  <c r="AE50" i="8"/>
  <c r="U50" i="8"/>
  <c r="S50" i="8"/>
  <c r="T50" i="8" s="1"/>
  <c r="P50" i="8"/>
  <c r="Q50" i="8" s="1"/>
  <c r="M50" i="8"/>
  <c r="N50" i="8" s="1"/>
  <c r="K50" i="8"/>
  <c r="J50" i="8"/>
  <c r="AQ49" i="8"/>
  <c r="AM49" i="8"/>
  <c r="AI49" i="8"/>
  <c r="AE49" i="8"/>
  <c r="U49" i="8"/>
  <c r="S49" i="8"/>
  <c r="T49" i="8" s="1"/>
  <c r="P49" i="8"/>
  <c r="Q49" i="8" s="1"/>
  <c r="M49" i="8"/>
  <c r="N49" i="8" s="1"/>
  <c r="J49" i="8"/>
  <c r="K49" i="8" s="1"/>
  <c r="AQ48" i="8"/>
  <c r="AM48" i="8"/>
  <c r="AI48" i="8"/>
  <c r="AE48" i="8"/>
  <c r="U48" i="8"/>
  <c r="S48" i="8"/>
  <c r="T48" i="8" s="1"/>
  <c r="P48" i="8"/>
  <c r="Q48" i="8" s="1"/>
  <c r="M48" i="8"/>
  <c r="N48" i="8" s="1"/>
  <c r="K48" i="8"/>
  <c r="J48" i="8"/>
  <c r="AQ47" i="8"/>
  <c r="AM47" i="8"/>
  <c r="AI47" i="8"/>
  <c r="AE47" i="8"/>
  <c r="U47" i="8"/>
  <c r="S47" i="8"/>
  <c r="T47" i="8" s="1"/>
  <c r="P47" i="8"/>
  <c r="Q47" i="8" s="1"/>
  <c r="M47" i="8"/>
  <c r="N47" i="8" s="1"/>
  <c r="J47" i="8"/>
  <c r="K47" i="8" s="1"/>
  <c r="AQ46" i="8"/>
  <c r="AM46" i="8"/>
  <c r="AI46" i="8"/>
  <c r="AE46" i="8"/>
  <c r="U46" i="8"/>
  <c r="S46" i="8"/>
  <c r="T46" i="8" s="1"/>
  <c r="P46" i="8"/>
  <c r="Q46" i="8" s="1"/>
  <c r="M46" i="8"/>
  <c r="N46" i="8" s="1"/>
  <c r="J46" i="8"/>
  <c r="K46" i="8" s="1"/>
  <c r="AQ45" i="8"/>
  <c r="AM45" i="8"/>
  <c r="AI45" i="8"/>
  <c r="U45" i="8"/>
  <c r="S45" i="8"/>
  <c r="T45" i="8" s="1"/>
  <c r="P45" i="8"/>
  <c r="Q45" i="8" s="1"/>
  <c r="M45" i="8"/>
  <c r="N45" i="8" s="1"/>
  <c r="J45" i="8"/>
  <c r="AQ44" i="8"/>
  <c r="AM44" i="8"/>
  <c r="AI44" i="8"/>
  <c r="U44" i="8"/>
  <c r="S44" i="8"/>
  <c r="T44" i="8" s="1"/>
  <c r="P44" i="8"/>
  <c r="Q44" i="8" s="1"/>
  <c r="M44" i="8"/>
  <c r="N44" i="8" s="1"/>
  <c r="J44" i="8"/>
  <c r="AQ43" i="8"/>
  <c r="AM43" i="8"/>
  <c r="AI43" i="8"/>
  <c r="AE43" i="8"/>
  <c r="AQ42" i="8"/>
  <c r="AM42" i="8"/>
  <c r="AI42" i="8"/>
  <c r="AE42" i="8"/>
  <c r="U42" i="8"/>
  <c r="S42" i="8"/>
  <c r="T42" i="8" s="1"/>
  <c r="P42" i="8"/>
  <c r="Q42" i="8" s="1"/>
  <c r="M42" i="8"/>
  <c r="N42" i="8" s="1"/>
  <c r="J42" i="8"/>
  <c r="AQ41" i="8"/>
  <c r="AM41" i="8"/>
  <c r="AI41" i="8"/>
  <c r="AE41" i="8"/>
  <c r="U41" i="8"/>
  <c r="S41" i="8"/>
  <c r="T41" i="8" s="1"/>
  <c r="Q41" i="8"/>
  <c r="P41" i="8"/>
  <c r="M41" i="8"/>
  <c r="N41" i="8" s="1"/>
  <c r="J41" i="8"/>
  <c r="K41" i="8" s="1"/>
  <c r="AQ40" i="8"/>
  <c r="AM40" i="8"/>
  <c r="AI40" i="8"/>
  <c r="AE40" i="8"/>
  <c r="U40" i="8"/>
  <c r="S40" i="8"/>
  <c r="T40" i="8" s="1"/>
  <c r="P40" i="8"/>
  <c r="Q40" i="8" s="1"/>
  <c r="M40" i="8"/>
  <c r="N40" i="8" s="1"/>
  <c r="K40" i="8"/>
  <c r="J40" i="8"/>
  <c r="AQ39" i="8"/>
  <c r="AM39" i="8"/>
  <c r="AI39" i="8"/>
  <c r="AE39" i="8"/>
  <c r="U39" i="8"/>
  <c r="S39" i="8"/>
  <c r="T39" i="8" s="1"/>
  <c r="Q39" i="8"/>
  <c r="P39" i="8"/>
  <c r="M39" i="8"/>
  <c r="N39" i="8" s="1"/>
  <c r="J39" i="8"/>
  <c r="K39" i="8" s="1"/>
  <c r="AQ38" i="8"/>
  <c r="AM38" i="8"/>
  <c r="AE38" i="8"/>
  <c r="U38" i="8"/>
  <c r="S38" i="8"/>
  <c r="T38" i="8" s="1"/>
  <c r="P38" i="8"/>
  <c r="Q38" i="8" s="1"/>
  <c r="M38" i="8"/>
  <c r="N38" i="8" s="1"/>
  <c r="J38" i="8"/>
  <c r="K38" i="8" s="1"/>
  <c r="AQ37" i="8"/>
  <c r="AM37" i="8"/>
  <c r="AI37" i="8"/>
  <c r="AE37" i="8"/>
  <c r="U37" i="8"/>
  <c r="S37" i="8"/>
  <c r="T37" i="8" s="1"/>
  <c r="P37" i="8"/>
  <c r="Q37" i="8" s="1"/>
  <c r="M37" i="8"/>
  <c r="N37" i="8" s="1"/>
  <c r="J37" i="8"/>
  <c r="K37" i="8" s="1"/>
  <c r="AQ36" i="8"/>
  <c r="AM36" i="8"/>
  <c r="AI36" i="8"/>
  <c r="AE36" i="8"/>
  <c r="U36" i="8"/>
  <c r="S36" i="8"/>
  <c r="T36" i="8" s="1"/>
  <c r="P36" i="8"/>
  <c r="Q36" i="8" s="1"/>
  <c r="M36" i="8"/>
  <c r="N36" i="8" s="1"/>
  <c r="J36" i="8"/>
  <c r="K36" i="8" s="1"/>
  <c r="AQ35" i="8"/>
  <c r="AM35" i="8"/>
  <c r="AI35" i="8"/>
  <c r="AE35" i="8"/>
  <c r="U35" i="8"/>
  <c r="S35" i="8"/>
  <c r="T35" i="8" s="1"/>
  <c r="P35" i="8"/>
  <c r="Q35" i="8" s="1"/>
  <c r="M35" i="8"/>
  <c r="N35" i="8" s="1"/>
  <c r="J35" i="8"/>
  <c r="K35" i="8" s="1"/>
  <c r="AQ34" i="8"/>
  <c r="AM34" i="8"/>
  <c r="AI34" i="8"/>
  <c r="AE34" i="8"/>
  <c r="U34" i="8"/>
  <c r="S34" i="8"/>
  <c r="T34" i="8" s="1"/>
  <c r="P34" i="8"/>
  <c r="Q34" i="8" s="1"/>
  <c r="M34" i="8"/>
  <c r="N34" i="8" s="1"/>
  <c r="J34" i="8"/>
  <c r="K34" i="8" s="1"/>
  <c r="AQ33" i="8"/>
  <c r="AM33" i="8"/>
  <c r="AI33" i="8"/>
  <c r="AE33" i="8"/>
  <c r="U33" i="8"/>
  <c r="S33" i="8"/>
  <c r="T33" i="8" s="1"/>
  <c r="P33" i="8"/>
  <c r="Q33" i="8" s="1"/>
  <c r="M33" i="8"/>
  <c r="N33" i="8" s="1"/>
  <c r="J33" i="8"/>
  <c r="K33" i="8" s="1"/>
  <c r="AQ32" i="8"/>
  <c r="AM32" i="8"/>
  <c r="AI32" i="8"/>
  <c r="AE32" i="8"/>
  <c r="U32" i="8"/>
  <c r="S32" i="8"/>
  <c r="T32" i="8" s="1"/>
  <c r="P32" i="8"/>
  <c r="Q32" i="8" s="1"/>
  <c r="M32" i="8"/>
  <c r="N32" i="8" s="1"/>
  <c r="J32" i="8"/>
  <c r="K32" i="8" s="1"/>
  <c r="AQ31" i="8"/>
  <c r="AM31" i="8"/>
  <c r="AI31" i="8"/>
  <c r="AE31" i="8"/>
  <c r="U31" i="8"/>
  <c r="S31" i="8"/>
  <c r="T31" i="8" s="1"/>
  <c r="P31" i="8"/>
  <c r="Q31" i="8" s="1"/>
  <c r="M31" i="8"/>
  <c r="N31" i="8" s="1"/>
  <c r="J31" i="8"/>
  <c r="K31" i="8" s="1"/>
  <c r="AQ30" i="8"/>
  <c r="AM30" i="8"/>
  <c r="AI30" i="8"/>
  <c r="AE30" i="8"/>
  <c r="U30" i="8"/>
  <c r="S30" i="8"/>
  <c r="T30" i="8" s="1"/>
  <c r="P30" i="8"/>
  <c r="Q30" i="8" s="1"/>
  <c r="M30" i="8"/>
  <c r="N30" i="8" s="1"/>
  <c r="J30" i="8"/>
  <c r="K30" i="8" s="1"/>
  <c r="AQ29" i="8"/>
  <c r="AM29" i="8"/>
  <c r="AI29" i="8"/>
  <c r="AE29" i="8"/>
  <c r="U29" i="8"/>
  <c r="S29" i="8"/>
  <c r="T29" i="8" s="1"/>
  <c r="P29" i="8"/>
  <c r="Q29" i="8" s="1"/>
  <c r="M29" i="8"/>
  <c r="N29" i="8" s="1"/>
  <c r="J29" i="8"/>
  <c r="K29" i="8" s="1"/>
  <c r="AQ28" i="8"/>
  <c r="AM28" i="8"/>
  <c r="AI28" i="8"/>
  <c r="AE28" i="8"/>
  <c r="U28" i="8"/>
  <c r="S28" i="8"/>
  <c r="T28" i="8" s="1"/>
  <c r="P28" i="8"/>
  <c r="Q28" i="8" s="1"/>
  <c r="M28" i="8"/>
  <c r="N28" i="8" s="1"/>
  <c r="J28" i="8"/>
  <c r="K28" i="8" s="1"/>
  <c r="AQ27" i="8"/>
  <c r="AM27" i="8"/>
  <c r="AI27" i="8"/>
  <c r="AE27" i="8"/>
  <c r="U27" i="8"/>
  <c r="S27" i="8"/>
  <c r="T27" i="8" s="1"/>
  <c r="P27" i="8"/>
  <c r="Q27" i="8" s="1"/>
  <c r="M27" i="8"/>
  <c r="N27" i="8" s="1"/>
  <c r="J27" i="8"/>
  <c r="K27" i="8" s="1"/>
  <c r="AQ26" i="8"/>
  <c r="AM26" i="8"/>
  <c r="AI26" i="8"/>
  <c r="AE26" i="8"/>
  <c r="AQ25" i="8"/>
  <c r="AM25" i="8"/>
  <c r="AI25" i="8"/>
  <c r="AE25" i="8"/>
  <c r="U25" i="8"/>
  <c r="S25" i="8"/>
  <c r="T25" i="8" s="1"/>
  <c r="P25" i="8"/>
  <c r="Q25" i="8" s="1"/>
  <c r="M25" i="8"/>
  <c r="N25" i="8" s="1"/>
  <c r="J25" i="8"/>
  <c r="K25" i="8" s="1"/>
  <c r="AQ24" i="8"/>
  <c r="AM24" i="8"/>
  <c r="AI24" i="8"/>
  <c r="AE24" i="8"/>
  <c r="U24" i="8"/>
  <c r="S24" i="8"/>
  <c r="T24" i="8" s="1"/>
  <c r="P24" i="8"/>
  <c r="Q24" i="8" s="1"/>
  <c r="M24" i="8"/>
  <c r="N24" i="8" s="1"/>
  <c r="J24" i="8"/>
  <c r="K24" i="8" s="1"/>
  <c r="AQ23" i="8"/>
  <c r="AM23" i="8"/>
  <c r="AI23" i="8"/>
  <c r="AE23" i="8"/>
  <c r="U23" i="8"/>
  <c r="S23" i="8"/>
  <c r="T23" i="8" s="1"/>
  <c r="P23" i="8"/>
  <c r="Q23" i="8" s="1"/>
  <c r="M23" i="8"/>
  <c r="N23" i="8" s="1"/>
  <c r="J23" i="8"/>
  <c r="K23" i="8" s="1"/>
  <c r="AQ22" i="8"/>
  <c r="AM22" i="8"/>
  <c r="AI22" i="8"/>
  <c r="U22" i="8"/>
  <c r="S22" i="8"/>
  <c r="T22" i="8" s="1"/>
  <c r="P22" i="8"/>
  <c r="Q22" i="8" s="1"/>
  <c r="M22" i="8"/>
  <c r="N22" i="8" s="1"/>
  <c r="J22" i="8"/>
  <c r="AQ21" i="8"/>
  <c r="AM21" i="8"/>
  <c r="AI21" i="8"/>
  <c r="U21" i="8"/>
  <c r="T21" i="8"/>
  <c r="S21" i="8"/>
  <c r="P21" i="8"/>
  <c r="Q21" i="8" s="1"/>
  <c r="M21" i="8"/>
  <c r="N21" i="8" s="1"/>
  <c r="J21" i="8"/>
  <c r="AR20" i="8"/>
  <c r="S20" i="8" s="1"/>
  <c r="T20" i="8" s="1"/>
  <c r="AQ20" i="8"/>
  <c r="AM20" i="8"/>
  <c r="AI20" i="8"/>
  <c r="AE20" i="8"/>
  <c r="U20" i="8"/>
  <c r="P20" i="8"/>
  <c r="Q20" i="8" s="1"/>
  <c r="M20" i="8"/>
  <c r="N20" i="8" s="1"/>
  <c r="J20" i="8"/>
  <c r="AR19" i="8"/>
  <c r="S19" i="8" s="1"/>
  <c r="T19" i="8" s="1"/>
  <c r="AQ19" i="8"/>
  <c r="AM19" i="8"/>
  <c r="AI19" i="8"/>
  <c r="U19" i="8"/>
  <c r="P19" i="8"/>
  <c r="Q19" i="8" s="1"/>
  <c r="N19" i="8"/>
  <c r="M19" i="8"/>
  <c r="J19" i="8"/>
  <c r="AR18" i="8"/>
  <c r="S18" i="8" s="1"/>
  <c r="T18" i="8" s="1"/>
  <c r="AQ18" i="8"/>
  <c r="AM18" i="8"/>
  <c r="AI18" i="8"/>
  <c r="U18" i="8"/>
  <c r="P18" i="8"/>
  <c r="Q18" i="8" s="1"/>
  <c r="M18" i="8"/>
  <c r="N18" i="8" s="1"/>
  <c r="J18" i="8"/>
  <c r="AQ17" i="8"/>
  <c r="AM17" i="8"/>
  <c r="AI17" i="8"/>
  <c r="AE17" i="8"/>
  <c r="U17" i="8"/>
  <c r="S17" i="8"/>
  <c r="T17" i="8" s="1"/>
  <c r="P17" i="8"/>
  <c r="Q17" i="8" s="1"/>
  <c r="M17" i="8"/>
  <c r="N17" i="8" s="1"/>
  <c r="J17" i="8"/>
  <c r="V17" i="8" s="1"/>
  <c r="W17" i="8" s="1"/>
  <c r="X17" i="8" s="1"/>
  <c r="AQ16" i="8"/>
  <c r="AM16" i="8"/>
  <c r="AI16" i="8"/>
  <c r="AE16" i="8"/>
  <c r="U16" i="8"/>
  <c r="S16" i="8"/>
  <c r="T16" i="8" s="1"/>
  <c r="P16" i="8"/>
  <c r="Q16" i="8" s="1"/>
  <c r="M16" i="8"/>
  <c r="N16" i="8" s="1"/>
  <c r="J16" i="8"/>
  <c r="AQ15" i="8"/>
  <c r="AM15" i="8"/>
  <c r="AI15" i="8"/>
  <c r="AE15" i="8"/>
  <c r="U15" i="8"/>
  <c r="AQ14" i="8"/>
  <c r="AM14" i="8"/>
  <c r="AI14" i="8"/>
  <c r="AE14" i="8"/>
  <c r="U14" i="8"/>
  <c r="S14" i="8"/>
  <c r="T14" i="8" s="1"/>
  <c r="P14" i="8"/>
  <c r="Q14" i="8" s="1"/>
  <c r="M14" i="8"/>
  <c r="N14" i="8" s="1"/>
  <c r="J14" i="8"/>
  <c r="AQ13" i="8"/>
  <c r="AM13" i="8"/>
  <c r="AI13" i="8"/>
  <c r="AE13" i="8"/>
  <c r="U13" i="8"/>
  <c r="S13" i="8"/>
  <c r="T13" i="8" s="1"/>
  <c r="Q13" i="8"/>
  <c r="P13" i="8"/>
  <c r="M13" i="8"/>
  <c r="N13" i="8" s="1"/>
  <c r="J13" i="8"/>
  <c r="V13" i="8" s="1"/>
  <c r="W13" i="8" s="1"/>
  <c r="X13" i="8" s="1"/>
  <c r="AQ12" i="8"/>
  <c r="AM12" i="8"/>
  <c r="AI12" i="8"/>
  <c r="AE12" i="8"/>
  <c r="U12" i="8"/>
  <c r="S12" i="8"/>
  <c r="T12" i="8" s="1"/>
  <c r="P12" i="8"/>
  <c r="Q12" i="8" s="1"/>
  <c r="M12" i="8"/>
  <c r="N12" i="8" s="1"/>
  <c r="J12" i="8"/>
  <c r="V55" i="8" l="1"/>
  <c r="W55" i="8" s="1"/>
  <c r="X55" i="8" s="1"/>
  <c r="V57" i="8"/>
  <c r="W57" i="8" s="1"/>
  <c r="X57" i="8" s="1"/>
  <c r="V60" i="8"/>
  <c r="W60" i="8" s="1"/>
  <c r="X60" i="8" s="1"/>
  <c r="W22" i="10"/>
  <c r="X22" i="10" s="1"/>
  <c r="V25" i="10"/>
  <c r="V27" i="10"/>
  <c r="V47" i="10"/>
  <c r="W47" i="10" s="1"/>
  <c r="X47" i="10" s="1"/>
  <c r="V49" i="10"/>
  <c r="W49" i="10" s="1"/>
  <c r="X49" i="10" s="1"/>
  <c r="V51" i="10"/>
  <c r="W51" i="10" s="1"/>
  <c r="X51" i="10" s="1"/>
  <c r="V53" i="10"/>
  <c r="W53" i="10" s="1"/>
  <c r="X53" i="10" s="1"/>
  <c r="V19" i="8"/>
  <c r="W19" i="8" s="1"/>
  <c r="X19" i="8" s="1"/>
  <c r="V12" i="8"/>
  <c r="W12" i="8" s="1"/>
  <c r="X12" i="8" s="1"/>
  <c r="V14" i="8"/>
  <c r="W14" i="8" s="1"/>
  <c r="X14" i="8" s="1"/>
  <c r="W41" i="8"/>
  <c r="X41" i="8" s="1"/>
  <c r="V44" i="10"/>
  <c r="W44" i="10" s="1"/>
  <c r="X44" i="10" s="1"/>
  <c r="V46" i="10"/>
  <c r="W46" i="10" s="1"/>
  <c r="X46" i="10" s="1"/>
  <c r="V23" i="8"/>
  <c r="W23" i="8" s="1"/>
  <c r="X23" i="8" s="1"/>
  <c r="V24" i="8"/>
  <c r="W24" i="8" s="1"/>
  <c r="X24" i="8" s="1"/>
  <c r="V25" i="8"/>
  <c r="W25" i="8" s="1"/>
  <c r="X25" i="8" s="1"/>
  <c r="V27" i="8"/>
  <c r="W27" i="8" s="1"/>
  <c r="X27" i="8" s="1"/>
  <c r="V28" i="8"/>
  <c r="W28" i="8" s="1"/>
  <c r="X28" i="8" s="1"/>
  <c r="V29" i="8"/>
  <c r="W29" i="8" s="1"/>
  <c r="X29" i="8" s="1"/>
  <c r="V30" i="8"/>
  <c r="W30" i="8" s="1"/>
  <c r="X30" i="8" s="1"/>
  <c r="V31" i="8"/>
  <c r="W31" i="8" s="1"/>
  <c r="X31" i="8" s="1"/>
  <c r="V32" i="8"/>
  <c r="W32" i="8" s="1"/>
  <c r="X32" i="8" s="1"/>
  <c r="V33" i="8"/>
  <c r="W33" i="8" s="1"/>
  <c r="X33" i="8" s="1"/>
  <c r="V34" i="8"/>
  <c r="W34" i="8" s="1"/>
  <c r="X34" i="8" s="1"/>
  <c r="V35" i="8"/>
  <c r="W35" i="8" s="1"/>
  <c r="X35" i="8" s="1"/>
  <c r="V36" i="8"/>
  <c r="W36" i="8" s="1"/>
  <c r="X36" i="8" s="1"/>
  <c r="V37" i="8"/>
  <c r="W37" i="8" s="1"/>
  <c r="X37" i="8" s="1"/>
  <c r="V38" i="8"/>
  <c r="W38" i="8" s="1"/>
  <c r="X38" i="8" s="1"/>
  <c r="V47" i="8"/>
  <c r="W47" i="8" s="1"/>
  <c r="X47" i="8" s="1"/>
  <c r="V49" i="8"/>
  <c r="W49" i="8" s="1"/>
  <c r="X49" i="8" s="1"/>
  <c r="V51" i="8"/>
  <c r="W51" i="8" s="1"/>
  <c r="X51" i="8" s="1"/>
  <c r="V53" i="8"/>
  <c r="W53" i="8" s="1"/>
  <c r="X53" i="8" s="1"/>
  <c r="V58" i="10"/>
  <c r="W58" i="10" s="1"/>
  <c r="X58" i="10" s="1"/>
  <c r="K12" i="8"/>
  <c r="K13" i="8"/>
  <c r="K14" i="8"/>
  <c r="V16" i="8"/>
  <c r="W16" i="8" s="1"/>
  <c r="X16" i="8" s="1"/>
  <c r="V18" i="8"/>
  <c r="W18" i="8" s="1"/>
  <c r="X18" i="8" s="1"/>
  <c r="V20" i="8"/>
  <c r="W20" i="8" s="1"/>
  <c r="X20" i="8" s="1"/>
  <c r="V21" i="8"/>
  <c r="W21" i="8" s="1"/>
  <c r="X21" i="8" s="1"/>
  <c r="V22" i="8"/>
  <c r="W22" i="8" s="1"/>
  <c r="X22" i="8" s="1"/>
  <c r="V42" i="8"/>
  <c r="W42" i="8" s="1"/>
  <c r="X42" i="8" s="1"/>
  <c r="V46" i="8"/>
  <c r="W46" i="8" s="1"/>
  <c r="X46" i="8" s="1"/>
  <c r="V48" i="8"/>
  <c r="W48" i="8" s="1"/>
  <c r="X48" i="8" s="1"/>
  <c r="V50" i="8"/>
  <c r="W50" i="8" s="1"/>
  <c r="X50" i="8" s="1"/>
  <c r="V52" i="8"/>
  <c r="W52" i="8" s="1"/>
  <c r="X52" i="8" s="1"/>
  <c r="W25" i="10"/>
  <c r="X25" i="10" s="1"/>
  <c r="W27" i="10"/>
  <c r="X27" i="10" s="1"/>
  <c r="V30" i="10"/>
  <c r="W30" i="10" s="1"/>
  <c r="X30" i="10" s="1"/>
  <c r="N30" i="10"/>
  <c r="V32" i="10"/>
  <c r="W32" i="10" s="1"/>
  <c r="X32" i="10" s="1"/>
  <c r="N32" i="10"/>
  <c r="V34" i="10"/>
  <c r="W34" i="10" s="1"/>
  <c r="X34" i="10" s="1"/>
  <c r="N34" i="10"/>
  <c r="V40" i="10"/>
  <c r="W40" i="10" s="1"/>
  <c r="X40" i="10" s="1"/>
  <c r="T55" i="10"/>
  <c r="V55" i="10"/>
  <c r="W55" i="10" s="1"/>
  <c r="X55" i="10" s="1"/>
  <c r="V57" i="10"/>
  <c r="W57" i="10" s="1"/>
  <c r="X57" i="10" s="1"/>
  <c r="V44" i="8"/>
  <c r="W44" i="8" s="1"/>
  <c r="X44" i="8" s="1"/>
  <c r="V45" i="8"/>
  <c r="W45" i="8" s="1"/>
  <c r="X45" i="8" s="1"/>
  <c r="V56" i="8"/>
  <c r="W56" i="8" s="1"/>
  <c r="X56" i="8" s="1"/>
  <c r="V59" i="8"/>
  <c r="W59" i="8" s="1"/>
  <c r="X59" i="8" s="1"/>
  <c r="V61" i="8"/>
  <c r="W61" i="8" s="1"/>
  <c r="X61" i="8" s="1"/>
  <c r="V26" i="10"/>
  <c r="W26" i="10" s="1"/>
  <c r="X26" i="10" s="1"/>
  <c r="V28" i="10"/>
  <c r="W28" i="10" s="1"/>
  <c r="X28" i="10" s="1"/>
  <c r="V31" i="10"/>
  <c r="W31" i="10" s="1"/>
  <c r="X31" i="10" s="1"/>
  <c r="V45" i="10"/>
  <c r="W45" i="10" s="1"/>
  <c r="X45" i="10" s="1"/>
  <c r="V48" i="10"/>
  <c r="W48" i="10" s="1"/>
  <c r="X48" i="10" s="1"/>
  <c r="V50" i="10"/>
  <c r="W50" i="10" s="1"/>
  <c r="X50" i="10" s="1"/>
  <c r="V52" i="10"/>
  <c r="W52" i="10" s="1"/>
  <c r="X52" i="10" s="1"/>
  <c r="V16" i="10"/>
  <c r="W16" i="10" s="1"/>
  <c r="X16" i="10" s="1"/>
  <c r="K16" i="10"/>
  <c r="V41" i="10"/>
  <c r="T41" i="10"/>
  <c r="V56" i="10"/>
  <c r="W56" i="10" s="1"/>
  <c r="X56" i="10" s="1"/>
  <c r="K56" i="10"/>
  <c r="V39" i="10"/>
  <c r="W39" i="10" s="1"/>
  <c r="X39" i="10" s="1"/>
  <c r="K39" i="10"/>
  <c r="V37" i="10"/>
  <c r="W37" i="10" s="1"/>
  <c r="X37" i="10" s="1"/>
  <c r="V24" i="10"/>
  <c r="W24" i="10" s="1"/>
  <c r="X24" i="10" s="1"/>
  <c r="V42" i="10"/>
  <c r="W42" i="10" s="1"/>
  <c r="X42" i="10" s="1"/>
  <c r="V20" i="10"/>
  <c r="W20" i="10" s="1"/>
  <c r="X20" i="10" s="1"/>
  <c r="K20" i="10"/>
  <c r="V60" i="10"/>
  <c r="W60" i="10" s="1"/>
  <c r="X60" i="10" s="1"/>
  <c r="K60" i="10"/>
  <c r="W41" i="10"/>
  <c r="X41" i="10" s="1"/>
  <c r="V14" i="10"/>
  <c r="W14" i="10" s="1"/>
  <c r="X14" i="10" s="1"/>
  <c r="V29" i="10"/>
  <c r="W29" i="10" s="1"/>
  <c r="X29" i="10" s="1"/>
  <c r="V38" i="10"/>
  <c r="W38" i="10" s="1"/>
  <c r="X38" i="10" s="1"/>
  <c r="K36" i="10"/>
  <c r="K37" i="10"/>
  <c r="K42" i="10"/>
  <c r="K44" i="10"/>
  <c r="K45" i="10"/>
  <c r="K46" i="10"/>
  <c r="V12" i="10"/>
  <c r="W12" i="10" s="1"/>
  <c r="X12" i="10" s="1"/>
  <c r="V13" i="10"/>
  <c r="W13" i="10" s="1"/>
  <c r="X13" i="10" s="1"/>
  <c r="V17" i="10"/>
  <c r="W17" i="10" s="1"/>
  <c r="X17" i="10" s="1"/>
  <c r="V18" i="10"/>
  <c r="W18" i="10" s="1"/>
  <c r="X18" i="10" s="1"/>
  <c r="V19" i="10"/>
  <c r="W19" i="10" s="1"/>
  <c r="X19" i="10" s="1"/>
  <c r="V21" i="10"/>
  <c r="W21" i="10" s="1"/>
  <c r="X21" i="10" s="1"/>
  <c r="K24" i="10"/>
  <c r="K25" i="10"/>
  <c r="K26" i="10"/>
  <c r="K27" i="10"/>
  <c r="K28" i="10"/>
  <c r="K33" i="10"/>
  <c r="K47" i="10"/>
  <c r="K48" i="10"/>
  <c r="K49" i="10"/>
  <c r="K50" i="10"/>
  <c r="K51" i="10"/>
  <c r="K52" i="10"/>
  <c r="K53" i="10"/>
  <c r="V39" i="8"/>
  <c r="W39" i="8" s="1"/>
  <c r="X39" i="8" s="1"/>
  <c r="V40" i="8"/>
  <c r="W40" i="8" s="1"/>
  <c r="X40" i="8" s="1"/>
  <c r="X10" i="8" s="1"/>
  <c r="K21" i="8"/>
  <c r="K42" i="8"/>
  <c r="K44" i="8"/>
  <c r="K16" i="8"/>
  <c r="K17" i="8"/>
  <c r="K18" i="8"/>
  <c r="K19" i="8"/>
  <c r="K20" i="8"/>
  <c r="K22" i="8"/>
  <c r="K45" i="8"/>
  <c r="K55" i="8"/>
  <c r="K56" i="8"/>
  <c r="K57" i="8"/>
  <c r="K59" i="8"/>
  <c r="K60" i="8"/>
  <c r="K61" i="8"/>
  <c r="E66" i="7"/>
  <c r="AN65" i="7"/>
  <c r="AJ65" i="7"/>
  <c r="AF65" i="7"/>
  <c r="AB65" i="7"/>
  <c r="T65" i="7"/>
  <c r="R65" i="7"/>
  <c r="S65" i="7" s="1"/>
  <c r="O65" i="7"/>
  <c r="P65" i="7" s="1"/>
  <c r="M65" i="7"/>
  <c r="L65" i="7"/>
  <c r="I65" i="7"/>
  <c r="AN64" i="7"/>
  <c r="AJ64" i="7"/>
  <c r="AF64" i="7"/>
  <c r="AB64" i="7"/>
  <c r="T64" i="7"/>
  <c r="S64" i="7"/>
  <c r="R64" i="7"/>
  <c r="O64" i="7"/>
  <c r="P64" i="7" s="1"/>
  <c r="L64" i="7"/>
  <c r="M64" i="7" s="1"/>
  <c r="I64" i="7"/>
  <c r="AN63" i="7"/>
  <c r="AJ63" i="7"/>
  <c r="AF63" i="7"/>
  <c r="AB63" i="7"/>
  <c r="T63" i="7"/>
  <c r="R63" i="7"/>
  <c r="S63" i="7" s="1"/>
  <c r="O63" i="7"/>
  <c r="P63" i="7" s="1"/>
  <c r="M63" i="7"/>
  <c r="L63" i="7"/>
  <c r="I63" i="7"/>
  <c r="AN62" i="7"/>
  <c r="AJ62" i="7"/>
  <c r="AF62" i="7"/>
  <c r="AB62" i="7"/>
  <c r="T62" i="7"/>
  <c r="S62" i="7"/>
  <c r="R62" i="7"/>
  <c r="O62" i="7"/>
  <c r="P62" i="7" s="1"/>
  <c r="L62" i="7"/>
  <c r="M62" i="7" s="1"/>
  <c r="I62" i="7"/>
  <c r="AN60" i="7"/>
  <c r="AJ60" i="7"/>
  <c r="AF60" i="7"/>
  <c r="AB60" i="7"/>
  <c r="T60" i="7"/>
  <c r="R60" i="7"/>
  <c r="S60" i="7" s="1"/>
  <c r="O60" i="7"/>
  <c r="P60" i="7" s="1"/>
  <c r="M60" i="7"/>
  <c r="L60" i="7"/>
  <c r="I60" i="7"/>
  <c r="U60" i="7" s="1"/>
  <c r="V60" i="7" s="1"/>
  <c r="W60" i="7" s="1"/>
  <c r="AN59" i="7"/>
  <c r="AJ59" i="7"/>
  <c r="AF59" i="7"/>
  <c r="AB59" i="7"/>
  <c r="T59" i="7"/>
  <c r="S59" i="7"/>
  <c r="R59" i="7"/>
  <c r="O59" i="7"/>
  <c r="P59" i="7" s="1"/>
  <c r="L59" i="7"/>
  <c r="M59" i="7" s="1"/>
  <c r="I59" i="7"/>
  <c r="AN58" i="7"/>
  <c r="AJ58" i="7"/>
  <c r="AF58" i="7"/>
  <c r="AB58" i="7"/>
  <c r="T58" i="7"/>
  <c r="R58" i="7"/>
  <c r="S58" i="7" s="1"/>
  <c r="O58" i="7"/>
  <c r="P58" i="7" s="1"/>
  <c r="M58" i="7"/>
  <c r="L58" i="7"/>
  <c r="I58" i="7"/>
  <c r="U58" i="7" s="1"/>
  <c r="V58" i="7" s="1"/>
  <c r="W58" i="7" s="1"/>
  <c r="AN57" i="7"/>
  <c r="AJ57" i="7"/>
  <c r="AF57" i="7"/>
  <c r="AB57" i="7"/>
  <c r="T57" i="7"/>
  <c r="S57" i="7"/>
  <c r="R57" i="7"/>
  <c r="O57" i="7"/>
  <c r="P57" i="7" s="1"/>
  <c r="L57" i="7"/>
  <c r="M57" i="7" s="1"/>
  <c r="I57" i="7"/>
  <c r="AN56" i="7"/>
  <c r="AJ56" i="7"/>
  <c r="AF56" i="7"/>
  <c r="AB56" i="7"/>
  <c r="T56" i="7"/>
  <c r="R56" i="7"/>
  <c r="S56" i="7" s="1"/>
  <c r="O56" i="7"/>
  <c r="P56" i="7" s="1"/>
  <c r="M56" i="7"/>
  <c r="L56" i="7"/>
  <c r="I56" i="7"/>
  <c r="U56" i="7" s="1"/>
  <c r="V56" i="7" s="1"/>
  <c r="W56" i="7" s="1"/>
  <c r="AN54" i="7"/>
  <c r="AJ54" i="7"/>
  <c r="AF54" i="7"/>
  <c r="AB54" i="7"/>
  <c r="T54" i="7"/>
  <c r="S54" i="7"/>
  <c r="R54" i="7"/>
  <c r="O54" i="7"/>
  <c r="P54" i="7" s="1"/>
  <c r="L54" i="7"/>
  <c r="M54" i="7" s="1"/>
  <c r="I54" i="7"/>
  <c r="AN53" i="7"/>
  <c r="AJ53" i="7"/>
  <c r="AF53" i="7"/>
  <c r="AB53" i="7"/>
  <c r="T53" i="7"/>
  <c r="R53" i="7"/>
  <c r="S53" i="7" s="1"/>
  <c r="O53" i="7"/>
  <c r="P53" i="7" s="1"/>
  <c r="M53" i="7"/>
  <c r="L53" i="7"/>
  <c r="I53" i="7"/>
  <c r="U53" i="7" s="1"/>
  <c r="V53" i="7" s="1"/>
  <c r="W53" i="7" s="1"/>
  <c r="AN52" i="7"/>
  <c r="AJ52" i="7"/>
  <c r="AF52" i="7"/>
  <c r="AB52" i="7"/>
  <c r="T52" i="7"/>
  <c r="S52" i="7"/>
  <c r="R52" i="7"/>
  <c r="O52" i="7"/>
  <c r="P52" i="7" s="1"/>
  <c r="L52" i="7"/>
  <c r="M52" i="7" s="1"/>
  <c r="I52" i="7"/>
  <c r="AN51" i="7"/>
  <c r="AJ51" i="7"/>
  <c r="AF51" i="7"/>
  <c r="AB51" i="7"/>
  <c r="T51" i="7"/>
  <c r="R51" i="7"/>
  <c r="S51" i="7" s="1"/>
  <c r="O51" i="7"/>
  <c r="P51" i="7" s="1"/>
  <c r="M51" i="7"/>
  <c r="L51" i="7"/>
  <c r="I51" i="7"/>
  <c r="U51" i="7" s="1"/>
  <c r="V51" i="7" s="1"/>
  <c r="W51" i="7" s="1"/>
  <c r="AN50" i="7"/>
  <c r="AJ50" i="7"/>
  <c r="AF50" i="7"/>
  <c r="AB50" i="7"/>
  <c r="T50" i="7"/>
  <c r="S50" i="7"/>
  <c r="R50" i="7"/>
  <c r="O50" i="7"/>
  <c r="P50" i="7" s="1"/>
  <c r="L50" i="7"/>
  <c r="M50" i="7" s="1"/>
  <c r="I50" i="7"/>
  <c r="AN49" i="7"/>
  <c r="AJ49" i="7"/>
  <c r="AF49" i="7"/>
  <c r="AB49" i="7"/>
  <c r="T49" i="7"/>
  <c r="R49" i="7"/>
  <c r="S49" i="7" s="1"/>
  <c r="O49" i="7"/>
  <c r="P49" i="7" s="1"/>
  <c r="M49" i="7"/>
  <c r="L49" i="7"/>
  <c r="I49" i="7"/>
  <c r="U49" i="7" s="1"/>
  <c r="V49" i="7" s="1"/>
  <c r="W49" i="7" s="1"/>
  <c r="AN48" i="7"/>
  <c r="AJ48" i="7"/>
  <c r="AF48" i="7"/>
  <c r="AB48" i="7"/>
  <c r="T48" i="7"/>
  <c r="S48" i="7"/>
  <c r="R48" i="7"/>
  <c r="O48" i="7"/>
  <c r="P48" i="7" s="1"/>
  <c r="L48" i="7"/>
  <c r="M48" i="7" s="1"/>
  <c r="I48" i="7"/>
  <c r="AN47" i="7"/>
  <c r="AJ47" i="7"/>
  <c r="AF47" i="7"/>
  <c r="AB47" i="7"/>
  <c r="T47" i="7"/>
  <c r="R47" i="7"/>
  <c r="S47" i="7" s="1"/>
  <c r="O47" i="7"/>
  <c r="P47" i="7" s="1"/>
  <c r="M47" i="7"/>
  <c r="L47" i="7"/>
  <c r="I47" i="7"/>
  <c r="U47" i="7" s="1"/>
  <c r="V47" i="7" s="1"/>
  <c r="W47" i="7" s="1"/>
  <c r="AN46" i="7"/>
  <c r="AJ46" i="7"/>
  <c r="AF46" i="7"/>
  <c r="AB46" i="7"/>
  <c r="T46" i="7"/>
  <c r="S46" i="7"/>
  <c r="R46" i="7"/>
  <c r="O46" i="7"/>
  <c r="P46" i="7" s="1"/>
  <c r="L46" i="7"/>
  <c r="M46" i="7" s="1"/>
  <c r="I46" i="7"/>
  <c r="AU45" i="7"/>
  <c r="AN45" i="7"/>
  <c r="AJ45" i="7"/>
  <c r="AF45" i="7"/>
  <c r="AB45" i="7"/>
  <c r="T45" i="7"/>
  <c r="R45" i="7"/>
  <c r="S45" i="7" s="1"/>
  <c r="P45" i="7"/>
  <c r="O45" i="7"/>
  <c r="L45" i="7"/>
  <c r="M45" i="7" s="1"/>
  <c r="I45" i="7"/>
  <c r="AN44" i="7"/>
  <c r="AK44" i="7"/>
  <c r="O44" i="7" s="1"/>
  <c r="P44" i="7" s="1"/>
  <c r="AJ44" i="7"/>
  <c r="AF44" i="7"/>
  <c r="AB44" i="7"/>
  <c r="T44" i="7"/>
  <c r="R44" i="7"/>
  <c r="S44" i="7" s="1"/>
  <c r="L44" i="7"/>
  <c r="M44" i="7" s="1"/>
  <c r="I44" i="7"/>
  <c r="J44" i="7" s="1"/>
  <c r="AN43" i="7"/>
  <c r="AJ43" i="7"/>
  <c r="AF43" i="7"/>
  <c r="AB43" i="7"/>
  <c r="T43" i="7"/>
  <c r="R43" i="7"/>
  <c r="S43" i="7" s="1"/>
  <c r="O43" i="7"/>
  <c r="P43" i="7" s="1"/>
  <c r="L43" i="7"/>
  <c r="M43" i="7" s="1"/>
  <c r="I43" i="7"/>
  <c r="J43" i="7" s="1"/>
  <c r="AN42" i="7"/>
  <c r="AJ42" i="7"/>
  <c r="AF42" i="7"/>
  <c r="AB42" i="7"/>
  <c r="T42" i="7"/>
  <c r="R42" i="7"/>
  <c r="S42" i="7" s="1"/>
  <c r="O42" i="7"/>
  <c r="P42" i="7" s="1"/>
  <c r="L42" i="7"/>
  <c r="M42" i="7" s="1"/>
  <c r="I42" i="7"/>
  <c r="J42" i="7" s="1"/>
  <c r="AN41" i="7"/>
  <c r="AJ41" i="7"/>
  <c r="AF41" i="7"/>
  <c r="AB41" i="7"/>
  <c r="T41" i="7"/>
  <c r="R41" i="7"/>
  <c r="S41" i="7" s="1"/>
  <c r="O41" i="7"/>
  <c r="P41" i="7" s="1"/>
  <c r="L41" i="7"/>
  <c r="M41" i="7" s="1"/>
  <c r="I41" i="7"/>
  <c r="J41" i="7" s="1"/>
  <c r="AN40" i="7"/>
  <c r="AJ40" i="7"/>
  <c r="AF40" i="7"/>
  <c r="AB40" i="7"/>
  <c r="T40" i="7"/>
  <c r="R40" i="7"/>
  <c r="S40" i="7" s="1"/>
  <c r="O40" i="7"/>
  <c r="P40" i="7" s="1"/>
  <c r="L40" i="7"/>
  <c r="M40" i="7" s="1"/>
  <c r="I40" i="7"/>
  <c r="J40" i="7" s="1"/>
  <c r="AN38" i="7"/>
  <c r="AJ38" i="7"/>
  <c r="AF38" i="7"/>
  <c r="AB38" i="7"/>
  <c r="T38" i="7"/>
  <c r="R38" i="7"/>
  <c r="S38" i="7" s="1"/>
  <c r="O38" i="7"/>
  <c r="P38" i="7" s="1"/>
  <c r="L38" i="7"/>
  <c r="M38" i="7" s="1"/>
  <c r="I38" i="7"/>
  <c r="J38" i="7" s="1"/>
  <c r="AN37" i="7"/>
  <c r="AJ37" i="7"/>
  <c r="AF37" i="7"/>
  <c r="AB37" i="7"/>
  <c r="T37" i="7"/>
  <c r="R37" i="7"/>
  <c r="S37" i="7" s="1"/>
  <c r="O37" i="7"/>
  <c r="P37" i="7" s="1"/>
  <c r="L37" i="7"/>
  <c r="M37" i="7" s="1"/>
  <c r="I37" i="7"/>
  <c r="J37" i="7" s="1"/>
  <c r="AN36" i="7"/>
  <c r="AJ36" i="7"/>
  <c r="AF36" i="7"/>
  <c r="AB36" i="7"/>
  <c r="T36" i="7"/>
  <c r="R36" i="7"/>
  <c r="S36" i="7" s="1"/>
  <c r="O36" i="7"/>
  <c r="P36" i="7" s="1"/>
  <c r="L36" i="7"/>
  <c r="M36" i="7" s="1"/>
  <c r="I36" i="7"/>
  <c r="J36" i="7" s="1"/>
  <c r="AN35" i="7"/>
  <c r="AJ35" i="7"/>
  <c r="AF35" i="7"/>
  <c r="AB35" i="7"/>
  <c r="T35" i="7"/>
  <c r="R35" i="7"/>
  <c r="S35" i="7" s="1"/>
  <c r="O35" i="7"/>
  <c r="P35" i="7" s="1"/>
  <c r="L35" i="7"/>
  <c r="M35" i="7" s="1"/>
  <c r="I35" i="7"/>
  <c r="J35" i="7" s="1"/>
  <c r="AN34" i="7"/>
  <c r="AJ34" i="7"/>
  <c r="AF34" i="7"/>
  <c r="AB34" i="7"/>
  <c r="T34" i="7"/>
  <c r="R34" i="7"/>
  <c r="S34" i="7" s="1"/>
  <c r="O34" i="7"/>
  <c r="P34" i="7" s="1"/>
  <c r="L34" i="7"/>
  <c r="M34" i="7" s="1"/>
  <c r="I34" i="7"/>
  <c r="J34" i="7" s="1"/>
  <c r="AN33" i="7"/>
  <c r="AJ33" i="7"/>
  <c r="AF33" i="7"/>
  <c r="AB33" i="7"/>
  <c r="T33" i="7"/>
  <c r="R33" i="7"/>
  <c r="S33" i="7" s="1"/>
  <c r="O33" i="7"/>
  <c r="P33" i="7" s="1"/>
  <c r="L33" i="7"/>
  <c r="M33" i="7" s="1"/>
  <c r="I33" i="7"/>
  <c r="J33" i="7" s="1"/>
  <c r="AN32" i="7"/>
  <c r="AJ32" i="7"/>
  <c r="AF32" i="7"/>
  <c r="AB32" i="7"/>
  <c r="T32" i="7"/>
  <c r="R32" i="7"/>
  <c r="S32" i="7" s="1"/>
  <c r="O32" i="7"/>
  <c r="P32" i="7" s="1"/>
  <c r="L32" i="7"/>
  <c r="M32" i="7" s="1"/>
  <c r="I32" i="7"/>
  <c r="J32" i="7" s="1"/>
  <c r="AN31" i="7"/>
  <c r="AJ31" i="7"/>
  <c r="AF31" i="7"/>
  <c r="AB31" i="7"/>
  <c r="T31" i="7"/>
  <c r="R31" i="7"/>
  <c r="S31" i="7" s="1"/>
  <c r="O31" i="7"/>
  <c r="P31" i="7" s="1"/>
  <c r="L31" i="7"/>
  <c r="M31" i="7" s="1"/>
  <c r="I31" i="7"/>
  <c r="J31" i="7" s="1"/>
  <c r="AN30" i="7"/>
  <c r="AJ30" i="7"/>
  <c r="AF30" i="7"/>
  <c r="AB30" i="7"/>
  <c r="T30" i="7"/>
  <c r="R30" i="7"/>
  <c r="S30" i="7" s="1"/>
  <c r="O30" i="7"/>
  <c r="P30" i="7" s="1"/>
  <c r="L30" i="7"/>
  <c r="M30" i="7" s="1"/>
  <c r="I30" i="7"/>
  <c r="J30" i="7" s="1"/>
  <c r="AN29" i="7"/>
  <c r="AJ29" i="7"/>
  <c r="AF29" i="7"/>
  <c r="AB29" i="7"/>
  <c r="T29" i="7"/>
  <c r="R29" i="7"/>
  <c r="S29" i="7" s="1"/>
  <c r="O29" i="7"/>
  <c r="P29" i="7" s="1"/>
  <c r="L29" i="7"/>
  <c r="M29" i="7" s="1"/>
  <c r="I29" i="7"/>
  <c r="J29" i="7" s="1"/>
  <c r="AN28" i="7"/>
  <c r="AJ28" i="7"/>
  <c r="AF28" i="7"/>
  <c r="AB28" i="7"/>
  <c r="T28" i="7"/>
  <c r="R28" i="7"/>
  <c r="S28" i="7" s="1"/>
  <c r="O28" i="7"/>
  <c r="P28" i="7" s="1"/>
  <c r="L28" i="7"/>
  <c r="M28" i="7" s="1"/>
  <c r="I28" i="7"/>
  <c r="J28" i="7" s="1"/>
  <c r="AN27" i="7"/>
  <c r="AJ27" i="7"/>
  <c r="AF27" i="7"/>
  <c r="AB27" i="7"/>
  <c r="T27" i="7"/>
  <c r="R27" i="7"/>
  <c r="S27" i="7" s="1"/>
  <c r="O27" i="7"/>
  <c r="P27" i="7" s="1"/>
  <c r="L27" i="7"/>
  <c r="M27" i="7" s="1"/>
  <c r="I27" i="7"/>
  <c r="J27" i="7" s="1"/>
  <c r="AN26" i="7"/>
  <c r="AJ26" i="7"/>
  <c r="AF26" i="7"/>
  <c r="AB26" i="7"/>
  <c r="T26" i="7"/>
  <c r="R26" i="7"/>
  <c r="S26" i="7" s="1"/>
  <c r="O26" i="7"/>
  <c r="P26" i="7" s="1"/>
  <c r="L26" i="7"/>
  <c r="M26" i="7" s="1"/>
  <c r="I26" i="7"/>
  <c r="J26" i="7" s="1"/>
  <c r="AN25" i="7"/>
  <c r="AJ25" i="7"/>
  <c r="AF25" i="7"/>
  <c r="AB25" i="7"/>
  <c r="T25" i="7"/>
  <c r="R25" i="7"/>
  <c r="S25" i="7" s="1"/>
  <c r="O25" i="7"/>
  <c r="P25" i="7" s="1"/>
  <c r="L25" i="7"/>
  <c r="M25" i="7" s="1"/>
  <c r="I25" i="7"/>
  <c r="J25" i="7" s="1"/>
  <c r="AN24" i="7"/>
  <c r="AJ24" i="7"/>
  <c r="AF24" i="7"/>
  <c r="AB24" i="7"/>
  <c r="T24" i="7"/>
  <c r="R24" i="7"/>
  <c r="S24" i="7" s="1"/>
  <c r="O24" i="7"/>
  <c r="P24" i="7" s="1"/>
  <c r="L24" i="7"/>
  <c r="M24" i="7" s="1"/>
  <c r="I24" i="7"/>
  <c r="J24" i="7" s="1"/>
  <c r="AN23" i="7"/>
  <c r="AJ23" i="7"/>
  <c r="AF23" i="7"/>
  <c r="AB23" i="7"/>
  <c r="T23" i="7"/>
  <c r="R23" i="7"/>
  <c r="S23" i="7" s="1"/>
  <c r="O23" i="7"/>
  <c r="P23" i="7" s="1"/>
  <c r="L23" i="7"/>
  <c r="M23" i="7" s="1"/>
  <c r="I23" i="7"/>
  <c r="J23" i="7" s="1"/>
  <c r="AN22" i="7"/>
  <c r="AJ22" i="7"/>
  <c r="AF22" i="7"/>
  <c r="AB22" i="7"/>
  <c r="T22" i="7"/>
  <c r="R22" i="7"/>
  <c r="S22" i="7" s="1"/>
  <c r="O22" i="7"/>
  <c r="P22" i="7" s="1"/>
  <c r="L22" i="7"/>
  <c r="M22" i="7" s="1"/>
  <c r="I22" i="7"/>
  <c r="J22" i="7" s="1"/>
  <c r="AN20" i="7"/>
  <c r="AJ20" i="7"/>
  <c r="AF20" i="7"/>
  <c r="AB20" i="7"/>
  <c r="T20" i="7"/>
  <c r="R20" i="7"/>
  <c r="S20" i="7" s="1"/>
  <c r="O20" i="7"/>
  <c r="P20" i="7" s="1"/>
  <c r="L20" i="7"/>
  <c r="M20" i="7" s="1"/>
  <c r="I20" i="7"/>
  <c r="J20" i="7" s="1"/>
  <c r="AN19" i="7"/>
  <c r="AJ19" i="7"/>
  <c r="AF19" i="7"/>
  <c r="AB19" i="7"/>
  <c r="T19" i="7"/>
  <c r="R19" i="7"/>
  <c r="S19" i="7" s="1"/>
  <c r="O19" i="7"/>
  <c r="P19" i="7" s="1"/>
  <c r="L19" i="7"/>
  <c r="M19" i="7" s="1"/>
  <c r="I19" i="7"/>
  <c r="J19" i="7" s="1"/>
  <c r="AN18" i="7"/>
  <c r="AJ18" i="7"/>
  <c r="AF18" i="7"/>
  <c r="AB18" i="7"/>
  <c r="T18" i="7"/>
  <c r="R18" i="7"/>
  <c r="S18" i="7" s="1"/>
  <c r="O18" i="7"/>
  <c r="P18" i="7" s="1"/>
  <c r="L18" i="7"/>
  <c r="M18" i="7" s="1"/>
  <c r="I18" i="7"/>
  <c r="J18" i="7" s="1"/>
  <c r="AN17" i="7"/>
  <c r="AJ17" i="7"/>
  <c r="AF17" i="7"/>
  <c r="AB17" i="7"/>
  <c r="T17" i="7"/>
  <c r="R17" i="7"/>
  <c r="S17" i="7" s="1"/>
  <c r="O17" i="7"/>
  <c r="P17" i="7" s="1"/>
  <c r="L17" i="7"/>
  <c r="M17" i="7" s="1"/>
  <c r="I17" i="7"/>
  <c r="J17" i="7" s="1"/>
  <c r="AN16" i="7"/>
  <c r="AJ16" i="7"/>
  <c r="AF16" i="7"/>
  <c r="AB16" i="7"/>
  <c r="T16" i="7"/>
  <c r="R16" i="7"/>
  <c r="S16" i="7" s="1"/>
  <c r="O16" i="7"/>
  <c r="P16" i="7" s="1"/>
  <c r="L16" i="7"/>
  <c r="M16" i="7" s="1"/>
  <c r="I16" i="7"/>
  <c r="J16" i="7" s="1"/>
  <c r="AN15" i="7"/>
  <c r="AJ15" i="7"/>
  <c r="AF15" i="7"/>
  <c r="AB15" i="7"/>
  <c r="T15" i="7"/>
  <c r="R15" i="7"/>
  <c r="S15" i="7" s="1"/>
  <c r="O15" i="7"/>
  <c r="P15" i="7" s="1"/>
  <c r="L15" i="7"/>
  <c r="M15" i="7" s="1"/>
  <c r="I15" i="7"/>
  <c r="J15" i="7" s="1"/>
  <c r="AN13" i="7"/>
  <c r="AJ13" i="7"/>
  <c r="AF13" i="7"/>
  <c r="AB13" i="7"/>
  <c r="T13" i="7"/>
  <c r="R13" i="7"/>
  <c r="S13" i="7" s="1"/>
  <c r="O13" i="7"/>
  <c r="P13" i="7" s="1"/>
  <c r="L13" i="7"/>
  <c r="M13" i="7" s="1"/>
  <c r="I13" i="7"/>
  <c r="J13" i="7" s="1"/>
  <c r="AN12" i="7"/>
  <c r="AJ12" i="7"/>
  <c r="AF12" i="7"/>
  <c r="AB12" i="7"/>
  <c r="T12" i="7"/>
  <c r="R12" i="7"/>
  <c r="S12" i="7" s="1"/>
  <c r="O12" i="7"/>
  <c r="P12" i="7" s="1"/>
  <c r="L12" i="7"/>
  <c r="M12" i="7" s="1"/>
  <c r="I12" i="7"/>
  <c r="J12" i="7" s="1"/>
  <c r="AN11" i="7"/>
  <c r="AJ11" i="7"/>
  <c r="AF11" i="7"/>
  <c r="AB11" i="7"/>
  <c r="T11" i="7"/>
  <c r="R11" i="7"/>
  <c r="S11" i="7" s="1"/>
  <c r="O11" i="7"/>
  <c r="P11" i="7" s="1"/>
  <c r="L11" i="7"/>
  <c r="M11" i="7" s="1"/>
  <c r="I11" i="7"/>
  <c r="J11" i="7" s="1"/>
  <c r="U45" i="7" l="1"/>
  <c r="V45" i="7" s="1"/>
  <c r="W45" i="7" s="1"/>
  <c r="U63" i="7"/>
  <c r="V63" i="7" s="1"/>
  <c r="W63" i="7" s="1"/>
  <c r="U65" i="7"/>
  <c r="V65" i="7" s="1"/>
  <c r="W65" i="7" s="1"/>
  <c r="V34" i="7"/>
  <c r="W34" i="7" s="1"/>
  <c r="J45" i="7"/>
  <c r="U46" i="7"/>
  <c r="V46" i="7" s="1"/>
  <c r="W46" i="7" s="1"/>
  <c r="U48" i="7"/>
  <c r="V48" i="7" s="1"/>
  <c r="W48" i="7" s="1"/>
  <c r="U50" i="7"/>
  <c r="V50" i="7" s="1"/>
  <c r="W50" i="7" s="1"/>
  <c r="U52" i="7"/>
  <c r="V52" i="7" s="1"/>
  <c r="W52" i="7" s="1"/>
  <c r="U54" i="7"/>
  <c r="V54" i="7" s="1"/>
  <c r="W54" i="7" s="1"/>
  <c r="U57" i="7"/>
  <c r="V57" i="7" s="1"/>
  <c r="W57" i="7" s="1"/>
  <c r="U59" i="7"/>
  <c r="V59" i="7" s="1"/>
  <c r="W59" i="7" s="1"/>
  <c r="U62" i="7"/>
  <c r="V62" i="7" s="1"/>
  <c r="W62" i="7" s="1"/>
  <c r="U64" i="7"/>
  <c r="V64" i="7" s="1"/>
  <c r="W64" i="7" s="1"/>
  <c r="X10" i="10"/>
  <c r="U12" i="7"/>
  <c r="V12" i="7" s="1"/>
  <c r="W12" i="7" s="1"/>
  <c r="U13" i="7"/>
  <c r="V13" i="7" s="1"/>
  <c r="W13" i="7" s="1"/>
  <c r="U16" i="7"/>
  <c r="V16" i="7" s="1"/>
  <c r="W16" i="7" s="1"/>
  <c r="U18" i="7"/>
  <c r="V18" i="7" s="1"/>
  <c r="W18" i="7" s="1"/>
  <c r="U19" i="7"/>
  <c r="V19" i="7" s="1"/>
  <c r="W19" i="7" s="1"/>
  <c r="U20" i="7"/>
  <c r="V20" i="7" s="1"/>
  <c r="W20" i="7" s="1"/>
  <c r="U22" i="7"/>
  <c r="V22" i="7" s="1"/>
  <c r="W22" i="7" s="1"/>
  <c r="U23" i="7"/>
  <c r="V23" i="7" s="1"/>
  <c r="W23" i="7" s="1"/>
  <c r="U24" i="7"/>
  <c r="V24" i="7" s="1"/>
  <c r="W24" i="7" s="1"/>
  <c r="U25" i="7"/>
  <c r="V25" i="7" s="1"/>
  <c r="W25" i="7" s="1"/>
  <c r="U27" i="7"/>
  <c r="V27" i="7" s="1"/>
  <c r="W27" i="7" s="1"/>
  <c r="U29" i="7"/>
  <c r="V29" i="7" s="1"/>
  <c r="W29" i="7" s="1"/>
  <c r="U31" i="7"/>
  <c r="V31" i="7" s="1"/>
  <c r="W31" i="7" s="1"/>
  <c r="U32" i="7"/>
  <c r="V32" i="7" s="1"/>
  <c r="W32" i="7" s="1"/>
  <c r="U34" i="7"/>
  <c r="U36" i="7"/>
  <c r="V36" i="7" s="1"/>
  <c r="W36" i="7" s="1"/>
  <c r="U37" i="7"/>
  <c r="V37" i="7" s="1"/>
  <c r="W37" i="7" s="1"/>
  <c r="U40" i="7"/>
  <c r="V40" i="7" s="1"/>
  <c r="W40" i="7" s="1"/>
  <c r="U41" i="7"/>
  <c r="V41" i="7" s="1"/>
  <c r="W41" i="7" s="1"/>
  <c r="U43" i="7"/>
  <c r="V43" i="7" s="1"/>
  <c r="W43" i="7" s="1"/>
  <c r="U44" i="7"/>
  <c r="V44" i="7" s="1"/>
  <c r="W44" i="7" s="1"/>
  <c r="U11" i="7"/>
  <c r="V11" i="7" s="1"/>
  <c r="W11" i="7" s="1"/>
  <c r="U15" i="7"/>
  <c r="V15" i="7" s="1"/>
  <c r="W15" i="7" s="1"/>
  <c r="U17" i="7"/>
  <c r="V17" i="7" s="1"/>
  <c r="W17" i="7" s="1"/>
  <c r="U26" i="7"/>
  <c r="V26" i="7" s="1"/>
  <c r="W26" i="7" s="1"/>
  <c r="U28" i="7"/>
  <c r="V28" i="7" s="1"/>
  <c r="W28" i="7" s="1"/>
  <c r="U30" i="7"/>
  <c r="V30" i="7" s="1"/>
  <c r="W30" i="7" s="1"/>
  <c r="U33" i="7"/>
  <c r="V33" i="7" s="1"/>
  <c r="W33" i="7" s="1"/>
  <c r="U35" i="7"/>
  <c r="V35" i="7" s="1"/>
  <c r="W35" i="7" s="1"/>
  <c r="U38" i="7"/>
  <c r="V38" i="7" s="1"/>
  <c r="W38" i="7" s="1"/>
  <c r="U42" i="7"/>
  <c r="V42" i="7" s="1"/>
  <c r="W42" i="7" s="1"/>
  <c r="J46" i="7"/>
  <c r="J47" i="7"/>
  <c r="J48" i="7"/>
  <c r="J49" i="7"/>
  <c r="J50" i="7"/>
  <c r="J51" i="7"/>
  <c r="J52" i="7"/>
  <c r="J53" i="7"/>
  <c r="J54" i="7"/>
  <c r="J56" i="7"/>
  <c r="J57" i="7"/>
  <c r="J58" i="7"/>
  <c r="J59" i="7"/>
  <c r="J60" i="7"/>
  <c r="J62" i="7"/>
  <c r="J63" i="7"/>
  <c r="J64" i="7"/>
  <c r="J65" i="7"/>
  <c r="I11" i="6"/>
  <c r="J11" i="6" s="1"/>
  <c r="L11" i="6"/>
  <c r="M11" i="6" s="1"/>
  <c r="O11" i="6"/>
  <c r="P11" i="6" s="1"/>
  <c r="R11" i="6"/>
  <c r="S11" i="6" s="1"/>
  <c r="T11" i="6"/>
  <c r="U11" i="6"/>
  <c r="I12" i="6"/>
  <c r="J12" i="6" s="1"/>
  <c r="L12" i="6"/>
  <c r="M12" i="6" s="1"/>
  <c r="O12" i="6"/>
  <c r="P12" i="6"/>
  <c r="R12" i="6"/>
  <c r="S12" i="6" s="1"/>
  <c r="T12" i="6"/>
  <c r="U12" i="6"/>
  <c r="I13" i="6"/>
  <c r="J13" i="6" s="1"/>
  <c r="L13" i="6"/>
  <c r="M13" i="6" s="1"/>
  <c r="O13" i="6"/>
  <c r="P13" i="6" s="1"/>
  <c r="R13" i="6"/>
  <c r="S13" i="6" s="1"/>
  <c r="T13" i="6"/>
  <c r="I14" i="6"/>
  <c r="J14" i="6"/>
  <c r="L14" i="6"/>
  <c r="M14" i="6" s="1"/>
  <c r="O14" i="6"/>
  <c r="P14" i="6" s="1"/>
  <c r="R14" i="6"/>
  <c r="S14" i="6" s="1"/>
  <c r="T14" i="6"/>
  <c r="U14" i="6"/>
  <c r="I15" i="6"/>
  <c r="J15" i="6" s="1"/>
  <c r="L15" i="6"/>
  <c r="M15" i="6" s="1"/>
  <c r="O15" i="6"/>
  <c r="P15" i="6" s="1"/>
  <c r="R15" i="6"/>
  <c r="S15" i="6" s="1"/>
  <c r="T15" i="6"/>
  <c r="U15" i="6"/>
  <c r="V15" i="6" s="1"/>
  <c r="W15" i="6" s="1"/>
  <c r="I16" i="6"/>
  <c r="J16" i="6" s="1"/>
  <c r="L16" i="6"/>
  <c r="M16" i="6" s="1"/>
  <c r="O16" i="6"/>
  <c r="P16" i="6" s="1"/>
  <c r="R16" i="6"/>
  <c r="S16" i="6" s="1"/>
  <c r="T16" i="6"/>
  <c r="I18" i="6"/>
  <c r="U18" i="6" s="1"/>
  <c r="V18" i="6" s="1"/>
  <c r="W18" i="6" s="1"/>
  <c r="L18" i="6"/>
  <c r="M18" i="6" s="1"/>
  <c r="O18" i="6"/>
  <c r="P18" i="6" s="1"/>
  <c r="R18" i="6"/>
  <c r="S18" i="6" s="1"/>
  <c r="T18" i="6"/>
  <c r="I19" i="6"/>
  <c r="J19" i="6"/>
  <c r="L19" i="6"/>
  <c r="M19" i="6" s="1"/>
  <c r="O19" i="6"/>
  <c r="P19" i="6" s="1"/>
  <c r="R19" i="6"/>
  <c r="S19" i="6" s="1"/>
  <c r="T19" i="6"/>
  <c r="U19" i="6"/>
  <c r="I20" i="6"/>
  <c r="J20" i="6" s="1"/>
  <c r="L20" i="6"/>
  <c r="M20" i="6" s="1"/>
  <c r="O20" i="6"/>
  <c r="P20" i="6" s="1"/>
  <c r="R20" i="6"/>
  <c r="S20" i="6" s="1"/>
  <c r="T20" i="6"/>
  <c r="I21" i="6"/>
  <c r="J21" i="6" s="1"/>
  <c r="L21" i="6"/>
  <c r="M21" i="6" s="1"/>
  <c r="O21" i="6"/>
  <c r="P21" i="6" s="1"/>
  <c r="R21" i="6"/>
  <c r="S21" i="6" s="1"/>
  <c r="T21" i="6"/>
  <c r="I22" i="6"/>
  <c r="U22" i="6" s="1"/>
  <c r="V22" i="6" s="1"/>
  <c r="W22" i="6" s="1"/>
  <c r="J22" i="6"/>
  <c r="L22" i="6"/>
  <c r="M22" i="6" s="1"/>
  <c r="O22" i="6"/>
  <c r="P22" i="6" s="1"/>
  <c r="R22" i="6"/>
  <c r="S22" i="6" s="1"/>
  <c r="T22" i="6"/>
  <c r="I23" i="6"/>
  <c r="J23" i="6"/>
  <c r="L23" i="6"/>
  <c r="M23" i="6" s="1"/>
  <c r="O23" i="6"/>
  <c r="P23" i="6" s="1"/>
  <c r="R23" i="6"/>
  <c r="S23" i="6" s="1"/>
  <c r="T23" i="6"/>
  <c r="U23" i="6"/>
  <c r="V23" i="6" s="1"/>
  <c r="W23" i="6" s="1"/>
  <c r="I24" i="6"/>
  <c r="J24" i="6"/>
  <c r="L24" i="6"/>
  <c r="M24" i="6" s="1"/>
  <c r="O24" i="6"/>
  <c r="P24" i="6" s="1"/>
  <c r="R24" i="6"/>
  <c r="S24" i="6" s="1"/>
  <c r="T24" i="6"/>
  <c r="I25" i="6"/>
  <c r="J25" i="6" s="1"/>
  <c r="L25" i="6"/>
  <c r="M25" i="6" s="1"/>
  <c r="O25" i="6"/>
  <c r="P25" i="6" s="1"/>
  <c r="R25" i="6"/>
  <c r="S25" i="6" s="1"/>
  <c r="T25" i="6"/>
  <c r="I26" i="6"/>
  <c r="U26" i="6" s="1"/>
  <c r="V26" i="6" s="1"/>
  <c r="W26" i="6" s="1"/>
  <c r="J26" i="6"/>
  <c r="L26" i="6"/>
  <c r="M26" i="6" s="1"/>
  <c r="O26" i="6"/>
  <c r="P26" i="6" s="1"/>
  <c r="R26" i="6"/>
  <c r="S26" i="6" s="1"/>
  <c r="T26" i="6"/>
  <c r="I27" i="6"/>
  <c r="J27" i="6"/>
  <c r="L27" i="6"/>
  <c r="M27" i="6" s="1"/>
  <c r="O27" i="6"/>
  <c r="P27" i="6" s="1"/>
  <c r="R27" i="6"/>
  <c r="S27" i="6" s="1"/>
  <c r="T27" i="6"/>
  <c r="U27" i="6"/>
  <c r="V27" i="6" s="1"/>
  <c r="W27" i="6" s="1"/>
  <c r="I29" i="6"/>
  <c r="J29" i="6"/>
  <c r="L29" i="6"/>
  <c r="M29" i="6" s="1"/>
  <c r="O29" i="6"/>
  <c r="P29" i="6" s="1"/>
  <c r="R29" i="6"/>
  <c r="S29" i="6" s="1"/>
  <c r="T29" i="6"/>
  <c r="I30" i="6"/>
  <c r="J30" i="6" s="1"/>
  <c r="L30" i="6"/>
  <c r="M30" i="6" s="1"/>
  <c r="O30" i="6"/>
  <c r="P30" i="6" s="1"/>
  <c r="R30" i="6"/>
  <c r="S30" i="6" s="1"/>
  <c r="T30" i="6"/>
  <c r="I31" i="6"/>
  <c r="U31" i="6" s="1"/>
  <c r="V31" i="6" s="1"/>
  <c r="W31" i="6" s="1"/>
  <c r="J31" i="6"/>
  <c r="L31" i="6"/>
  <c r="M31" i="6" s="1"/>
  <c r="O31" i="6"/>
  <c r="P31" i="6" s="1"/>
  <c r="R31" i="6"/>
  <c r="S31" i="6" s="1"/>
  <c r="T31" i="6"/>
  <c r="I33" i="6"/>
  <c r="J33" i="6"/>
  <c r="L33" i="6"/>
  <c r="M33" i="6" s="1"/>
  <c r="O33" i="6"/>
  <c r="P33" i="6" s="1"/>
  <c r="R33" i="6"/>
  <c r="S33" i="6" s="1"/>
  <c r="T33" i="6"/>
  <c r="U33" i="6"/>
  <c r="V33" i="6" s="1"/>
  <c r="W33" i="6" s="1"/>
  <c r="I34" i="6"/>
  <c r="J34" i="6"/>
  <c r="L34" i="6"/>
  <c r="M34" i="6" s="1"/>
  <c r="O34" i="6"/>
  <c r="P34" i="6" s="1"/>
  <c r="R34" i="6"/>
  <c r="S34" i="6" s="1"/>
  <c r="T34" i="6"/>
  <c r="I35" i="6"/>
  <c r="J35" i="6" s="1"/>
  <c r="L35" i="6"/>
  <c r="M35" i="6" s="1"/>
  <c r="O35" i="6"/>
  <c r="P35" i="6" s="1"/>
  <c r="R35" i="6"/>
  <c r="S35" i="6" s="1"/>
  <c r="T35" i="6"/>
  <c r="I36" i="6"/>
  <c r="U36" i="6" s="1"/>
  <c r="V36" i="6" s="1"/>
  <c r="W36" i="6" s="1"/>
  <c r="J36" i="6"/>
  <c r="L36" i="6"/>
  <c r="M36" i="6" s="1"/>
  <c r="O36" i="6"/>
  <c r="P36" i="6" s="1"/>
  <c r="R36" i="6"/>
  <c r="S36" i="6" s="1"/>
  <c r="T36" i="6"/>
  <c r="I37" i="6"/>
  <c r="J37" i="6"/>
  <c r="L37" i="6"/>
  <c r="M37" i="6" s="1"/>
  <c r="O37" i="6"/>
  <c r="P37" i="6" s="1"/>
  <c r="R37" i="6"/>
  <c r="S37" i="6" s="1"/>
  <c r="T37" i="6"/>
  <c r="U37" i="6"/>
  <c r="V37" i="6" s="1"/>
  <c r="W37" i="6" s="1"/>
  <c r="I38" i="6"/>
  <c r="J38" i="6"/>
  <c r="L38" i="6"/>
  <c r="M38" i="6" s="1"/>
  <c r="O38" i="6"/>
  <c r="P38" i="6" s="1"/>
  <c r="R38" i="6"/>
  <c r="S38" i="6" s="1"/>
  <c r="T38" i="6"/>
  <c r="I39" i="6"/>
  <c r="J39" i="6" s="1"/>
  <c r="L39" i="6"/>
  <c r="M39" i="6" s="1"/>
  <c r="O39" i="6"/>
  <c r="P39" i="6" s="1"/>
  <c r="R39" i="6"/>
  <c r="S39" i="6" s="1"/>
  <c r="T39" i="6"/>
  <c r="I40" i="6"/>
  <c r="U40" i="6" s="1"/>
  <c r="V40" i="6" s="1"/>
  <c r="W40" i="6" s="1"/>
  <c r="J40" i="6"/>
  <c r="L40" i="6"/>
  <c r="M40" i="6" s="1"/>
  <c r="O40" i="6"/>
  <c r="P40" i="6" s="1"/>
  <c r="R40" i="6"/>
  <c r="S40" i="6" s="1"/>
  <c r="T40" i="6"/>
  <c r="I41" i="6"/>
  <c r="J41" i="6"/>
  <c r="L41" i="6"/>
  <c r="M41" i="6" s="1"/>
  <c r="O41" i="6"/>
  <c r="P41" i="6" s="1"/>
  <c r="R41" i="6"/>
  <c r="S41" i="6" s="1"/>
  <c r="T41" i="6"/>
  <c r="I42" i="6"/>
  <c r="J42" i="6"/>
  <c r="L42" i="6"/>
  <c r="M42" i="6" s="1"/>
  <c r="O42" i="6"/>
  <c r="P42" i="6" s="1"/>
  <c r="R42" i="6"/>
  <c r="S42" i="6" s="1"/>
  <c r="T42" i="6"/>
  <c r="I43" i="6"/>
  <c r="J43" i="6" s="1"/>
  <c r="L43" i="6"/>
  <c r="M43" i="6" s="1"/>
  <c r="O43" i="6"/>
  <c r="P43" i="6" s="1"/>
  <c r="R43" i="6"/>
  <c r="S43" i="6" s="1"/>
  <c r="T43" i="6"/>
  <c r="I44" i="6"/>
  <c r="U44" i="6" s="1"/>
  <c r="V44" i="6" s="1"/>
  <c r="W44" i="6" s="1"/>
  <c r="J44" i="6"/>
  <c r="L44" i="6"/>
  <c r="M44" i="6" s="1"/>
  <c r="O44" i="6"/>
  <c r="P44" i="6" s="1"/>
  <c r="R44" i="6"/>
  <c r="S44" i="6" s="1"/>
  <c r="T44" i="6"/>
  <c r="I45" i="6"/>
  <c r="J45" i="6"/>
  <c r="L45" i="6"/>
  <c r="M45" i="6" s="1"/>
  <c r="O45" i="6"/>
  <c r="P45" i="6" s="1"/>
  <c r="R45" i="6"/>
  <c r="S45" i="6" s="1"/>
  <c r="T45" i="6"/>
  <c r="U45" i="6"/>
  <c r="V45" i="6" s="1"/>
  <c r="W45" i="6" s="1"/>
  <c r="I46" i="6"/>
  <c r="J46" i="6"/>
  <c r="L46" i="6"/>
  <c r="M46" i="6" s="1"/>
  <c r="O46" i="6"/>
  <c r="P46" i="6" s="1"/>
  <c r="R46" i="6"/>
  <c r="S46" i="6" s="1"/>
  <c r="T46" i="6"/>
  <c r="I47" i="6"/>
  <c r="J47" i="6" s="1"/>
  <c r="L47" i="6"/>
  <c r="M47" i="6" s="1"/>
  <c r="O47" i="6"/>
  <c r="P47" i="6" s="1"/>
  <c r="R47" i="6"/>
  <c r="S47" i="6" s="1"/>
  <c r="T47" i="6"/>
  <c r="I48" i="6"/>
  <c r="U48" i="6" s="1"/>
  <c r="V48" i="6" s="1"/>
  <c r="W48" i="6" s="1"/>
  <c r="J48" i="6"/>
  <c r="L48" i="6"/>
  <c r="M48" i="6" s="1"/>
  <c r="O48" i="6"/>
  <c r="P48" i="6" s="1"/>
  <c r="R48" i="6"/>
  <c r="S48" i="6" s="1"/>
  <c r="T48" i="6"/>
  <c r="I49" i="6"/>
  <c r="J49" i="6"/>
  <c r="L49" i="6"/>
  <c r="M49" i="6" s="1"/>
  <c r="O49" i="6"/>
  <c r="P49" i="6" s="1"/>
  <c r="R49" i="6"/>
  <c r="S49" i="6" s="1"/>
  <c r="T49" i="6"/>
  <c r="I50" i="6"/>
  <c r="J50" i="6"/>
  <c r="L50" i="6"/>
  <c r="M50" i="6" s="1"/>
  <c r="O50" i="6"/>
  <c r="P50" i="6" s="1"/>
  <c r="R50" i="6"/>
  <c r="S50" i="6" s="1"/>
  <c r="T50" i="6"/>
  <c r="I51" i="6"/>
  <c r="J51" i="6" s="1"/>
  <c r="L51" i="6"/>
  <c r="M51" i="6" s="1"/>
  <c r="O51" i="6"/>
  <c r="P51" i="6" s="1"/>
  <c r="R51" i="6"/>
  <c r="S51" i="6" s="1"/>
  <c r="T51" i="6"/>
  <c r="I52" i="6"/>
  <c r="U52" i="6" s="1"/>
  <c r="V52" i="6" s="1"/>
  <c r="W52" i="6" s="1"/>
  <c r="J52" i="6"/>
  <c r="L52" i="6"/>
  <c r="M52" i="6" s="1"/>
  <c r="O52" i="6"/>
  <c r="P52" i="6" s="1"/>
  <c r="R52" i="6"/>
  <c r="S52" i="6" s="1"/>
  <c r="T52" i="6"/>
  <c r="I53" i="6"/>
  <c r="J53" i="6"/>
  <c r="L53" i="6"/>
  <c r="M53" i="6" s="1"/>
  <c r="O53" i="6"/>
  <c r="P53" i="6" s="1"/>
  <c r="R53" i="6"/>
  <c r="S53" i="6" s="1"/>
  <c r="T53" i="6"/>
  <c r="U53" i="6"/>
  <c r="V53" i="6" s="1"/>
  <c r="W53" i="6" s="1"/>
  <c r="I54" i="6"/>
  <c r="J54" i="6"/>
  <c r="L54" i="6"/>
  <c r="M54" i="6" s="1"/>
  <c r="O54" i="6"/>
  <c r="P54" i="6" s="1"/>
  <c r="R54" i="6"/>
  <c r="S54" i="6" s="1"/>
  <c r="T54" i="6"/>
  <c r="I55" i="6"/>
  <c r="J55" i="6" s="1"/>
  <c r="L55" i="6"/>
  <c r="M55" i="6" s="1"/>
  <c r="O55" i="6"/>
  <c r="P55" i="6" s="1"/>
  <c r="R55" i="6"/>
  <c r="S55" i="6" s="1"/>
  <c r="T55" i="6"/>
  <c r="I56" i="6"/>
  <c r="U56" i="6" s="1"/>
  <c r="V56" i="6" s="1"/>
  <c r="W56" i="6" s="1"/>
  <c r="J56" i="6"/>
  <c r="L56" i="6"/>
  <c r="M56" i="6" s="1"/>
  <c r="O56" i="6"/>
  <c r="P56" i="6" s="1"/>
  <c r="R56" i="6"/>
  <c r="S56" i="6" s="1"/>
  <c r="T56" i="6"/>
  <c r="I57" i="6"/>
  <c r="J57" i="6"/>
  <c r="L57" i="6"/>
  <c r="M57" i="6" s="1"/>
  <c r="O57" i="6"/>
  <c r="P57" i="6" s="1"/>
  <c r="R57" i="6"/>
  <c r="S57" i="6" s="1"/>
  <c r="T57" i="6"/>
  <c r="U57" i="6"/>
  <c r="V57" i="6" s="1"/>
  <c r="W57" i="6" s="1"/>
  <c r="I58" i="6"/>
  <c r="J58" i="6"/>
  <c r="L58" i="6"/>
  <c r="M58" i="6" s="1"/>
  <c r="O58" i="6"/>
  <c r="P58" i="6" s="1"/>
  <c r="R58" i="6"/>
  <c r="S58" i="6" s="1"/>
  <c r="T58" i="6"/>
  <c r="I59" i="6"/>
  <c r="J59" i="6" s="1"/>
  <c r="L59" i="6"/>
  <c r="M59" i="6" s="1"/>
  <c r="O59" i="6"/>
  <c r="P59" i="6" s="1"/>
  <c r="R59" i="6"/>
  <c r="S59" i="6" s="1"/>
  <c r="T59" i="6"/>
  <c r="I60" i="6"/>
  <c r="J60" i="6"/>
  <c r="L60" i="6"/>
  <c r="M60" i="6" s="1"/>
  <c r="O60" i="6"/>
  <c r="P60" i="6" s="1"/>
  <c r="R60" i="6"/>
  <c r="S60" i="6" s="1"/>
  <c r="T60" i="6"/>
  <c r="U60" i="6"/>
  <c r="V60" i="6" s="1"/>
  <c r="W60" i="6" s="1"/>
  <c r="I61" i="6"/>
  <c r="J61" i="6"/>
  <c r="L61" i="6"/>
  <c r="M61" i="6" s="1"/>
  <c r="O61" i="6"/>
  <c r="P61" i="6" s="1"/>
  <c r="R61" i="6"/>
  <c r="S61" i="6" s="1"/>
  <c r="T61" i="6"/>
  <c r="I62" i="6"/>
  <c r="U62" i="6" s="1"/>
  <c r="V62" i="6" s="1"/>
  <c r="W62" i="6" s="1"/>
  <c r="J62" i="6"/>
  <c r="L62" i="6"/>
  <c r="M62" i="6" s="1"/>
  <c r="O62" i="6"/>
  <c r="P62" i="6" s="1"/>
  <c r="R62" i="6"/>
  <c r="S62" i="6" s="1"/>
  <c r="T62" i="6"/>
  <c r="I63" i="6"/>
  <c r="J63" i="6"/>
  <c r="L63" i="6"/>
  <c r="M63" i="6" s="1"/>
  <c r="O63" i="6"/>
  <c r="P63" i="6" s="1"/>
  <c r="R63" i="6"/>
  <c r="S63" i="6" s="1"/>
  <c r="T63" i="6"/>
  <c r="I64" i="6"/>
  <c r="J64" i="6"/>
  <c r="L64" i="6"/>
  <c r="M64" i="6" s="1"/>
  <c r="O64" i="6"/>
  <c r="P64" i="6" s="1"/>
  <c r="R64" i="6"/>
  <c r="S64" i="6" s="1"/>
  <c r="T64" i="6"/>
  <c r="I65" i="6"/>
  <c r="J65" i="6" s="1"/>
  <c r="L65" i="6"/>
  <c r="M65" i="6" s="1"/>
  <c r="O65" i="6"/>
  <c r="P65" i="6" s="1"/>
  <c r="R65" i="6"/>
  <c r="S65" i="6" s="1"/>
  <c r="T65" i="6"/>
  <c r="I66" i="6"/>
  <c r="U66" i="6" s="1"/>
  <c r="V66" i="6" s="1"/>
  <c r="W66" i="6" s="1"/>
  <c r="J66" i="6"/>
  <c r="L66" i="6"/>
  <c r="M66" i="6" s="1"/>
  <c r="O66" i="6"/>
  <c r="P66" i="6" s="1"/>
  <c r="R66" i="6"/>
  <c r="S66" i="6" s="1"/>
  <c r="T66" i="6"/>
  <c r="I67" i="6"/>
  <c r="J67" i="6"/>
  <c r="L67" i="6"/>
  <c r="M67" i="6" s="1"/>
  <c r="O67" i="6"/>
  <c r="P67" i="6" s="1"/>
  <c r="R67" i="6"/>
  <c r="S67" i="6" s="1"/>
  <c r="T67" i="6"/>
  <c r="I68" i="6"/>
  <c r="J68" i="6"/>
  <c r="L68" i="6"/>
  <c r="M68" i="6" s="1"/>
  <c r="O68" i="6"/>
  <c r="P68" i="6" s="1"/>
  <c r="R68" i="6"/>
  <c r="S68" i="6" s="1"/>
  <c r="I69" i="6"/>
  <c r="J69" i="6" s="1"/>
  <c r="M69" i="6"/>
  <c r="O69" i="6"/>
  <c r="P69" i="6" s="1"/>
  <c r="R69" i="6"/>
  <c r="S69" i="6" s="1"/>
  <c r="T69" i="6"/>
  <c r="I70" i="6"/>
  <c r="J70" i="6" s="1"/>
  <c r="L70" i="6"/>
  <c r="M70" i="6" s="1"/>
  <c r="O70" i="6"/>
  <c r="P70" i="6" s="1"/>
  <c r="R70" i="6"/>
  <c r="S70" i="6" s="1"/>
  <c r="I71" i="6"/>
  <c r="J71" i="6" s="1"/>
  <c r="L71" i="6"/>
  <c r="M71" i="6"/>
  <c r="O71" i="6"/>
  <c r="P71" i="6" s="1"/>
  <c r="R71" i="6"/>
  <c r="S71" i="6" s="1"/>
  <c r="T71" i="6"/>
  <c r="I72" i="6"/>
  <c r="J72" i="6" s="1"/>
  <c r="L72" i="6"/>
  <c r="M72" i="6" s="1"/>
  <c r="O72" i="6"/>
  <c r="P72" i="6" s="1"/>
  <c r="R72" i="6"/>
  <c r="S72" i="6"/>
  <c r="T72" i="6"/>
  <c r="I73" i="6"/>
  <c r="J73" i="6" s="1"/>
  <c r="L73" i="6"/>
  <c r="M73" i="6"/>
  <c r="O73" i="6"/>
  <c r="P73" i="6" s="1"/>
  <c r="R73" i="6"/>
  <c r="S73" i="6" s="1"/>
  <c r="T73" i="6"/>
  <c r="I74" i="6"/>
  <c r="J74" i="6" s="1"/>
  <c r="L74" i="6"/>
  <c r="M74" i="6" s="1"/>
  <c r="O74" i="6"/>
  <c r="P74" i="6" s="1"/>
  <c r="R74" i="6"/>
  <c r="S74" i="6"/>
  <c r="T74" i="6"/>
  <c r="I75" i="6"/>
  <c r="J75" i="6" s="1"/>
  <c r="L75" i="6"/>
  <c r="M75" i="6"/>
  <c r="O75" i="6"/>
  <c r="P75" i="6" s="1"/>
  <c r="R75" i="6"/>
  <c r="S75" i="6" s="1"/>
  <c r="T75" i="6"/>
  <c r="I76" i="6"/>
  <c r="J76" i="6" s="1"/>
  <c r="L76" i="6"/>
  <c r="M76" i="6" s="1"/>
  <c r="O76" i="6"/>
  <c r="P76" i="6" s="1"/>
  <c r="R76" i="6"/>
  <c r="S76" i="6"/>
  <c r="T76" i="6"/>
  <c r="I77" i="6"/>
  <c r="J77" i="6" s="1"/>
  <c r="L77" i="6"/>
  <c r="M77" i="6"/>
  <c r="O77" i="6"/>
  <c r="P77" i="6" s="1"/>
  <c r="R77" i="6"/>
  <c r="S77" i="6" s="1"/>
  <c r="T77" i="6"/>
  <c r="I78" i="6"/>
  <c r="J78" i="6" s="1"/>
  <c r="L78" i="6"/>
  <c r="M78" i="6" s="1"/>
  <c r="O78" i="6"/>
  <c r="P78" i="6" s="1"/>
  <c r="R78" i="6"/>
  <c r="S78" i="6"/>
  <c r="T78" i="6"/>
  <c r="I79" i="6"/>
  <c r="J79" i="6" s="1"/>
  <c r="L79" i="6"/>
  <c r="M79" i="6"/>
  <c r="O79" i="6"/>
  <c r="P79" i="6" s="1"/>
  <c r="R79" i="6"/>
  <c r="S79" i="6" s="1"/>
  <c r="T79" i="6"/>
  <c r="I80" i="6"/>
  <c r="J80" i="6" s="1"/>
  <c r="L80" i="6"/>
  <c r="M80" i="6" s="1"/>
  <c r="O80" i="6"/>
  <c r="P80" i="6" s="1"/>
  <c r="R80" i="6"/>
  <c r="S80" i="6"/>
  <c r="T80" i="6"/>
  <c r="I81" i="6"/>
  <c r="J81" i="6" s="1"/>
  <c r="L81" i="6"/>
  <c r="M81" i="6"/>
  <c r="O81" i="6"/>
  <c r="P81" i="6" s="1"/>
  <c r="R81" i="6"/>
  <c r="S81" i="6" s="1"/>
  <c r="T81" i="6"/>
  <c r="I82" i="6"/>
  <c r="J82" i="6" s="1"/>
  <c r="L82" i="6"/>
  <c r="M82" i="6" s="1"/>
  <c r="O82" i="6"/>
  <c r="P82" i="6" s="1"/>
  <c r="R82" i="6"/>
  <c r="S82" i="6"/>
  <c r="T82" i="6"/>
  <c r="I83" i="6"/>
  <c r="L83" i="6"/>
  <c r="M83" i="6"/>
  <c r="O83" i="6"/>
  <c r="P83" i="6" s="1"/>
  <c r="R83" i="6"/>
  <c r="S83" i="6" s="1"/>
  <c r="T83" i="6"/>
  <c r="I84" i="6"/>
  <c r="J84" i="6" s="1"/>
  <c r="L84" i="6"/>
  <c r="M84" i="6" s="1"/>
  <c r="O84" i="6"/>
  <c r="P84" i="6" s="1"/>
  <c r="R84" i="6"/>
  <c r="S84" i="6"/>
  <c r="T84" i="6"/>
  <c r="I85" i="6"/>
  <c r="J85" i="6" s="1"/>
  <c r="L85" i="6"/>
  <c r="M85" i="6"/>
  <c r="O85" i="6"/>
  <c r="P85" i="6" s="1"/>
  <c r="R85" i="6"/>
  <c r="S85" i="6" s="1"/>
  <c r="T85" i="6"/>
  <c r="I86" i="6"/>
  <c r="J86" i="6" s="1"/>
  <c r="L86" i="6"/>
  <c r="M86" i="6" s="1"/>
  <c r="O86" i="6"/>
  <c r="P86" i="6" s="1"/>
  <c r="R86" i="6"/>
  <c r="S86" i="6"/>
  <c r="T86" i="6"/>
  <c r="I87" i="6"/>
  <c r="J87" i="6" s="1"/>
  <c r="L87" i="6"/>
  <c r="M87" i="6"/>
  <c r="O87" i="6"/>
  <c r="P87" i="6" s="1"/>
  <c r="R87" i="6"/>
  <c r="S87" i="6" s="1"/>
  <c r="T87" i="6"/>
  <c r="I88" i="6"/>
  <c r="J88" i="6" s="1"/>
  <c r="L88" i="6"/>
  <c r="M88" i="6" s="1"/>
  <c r="O88" i="6"/>
  <c r="P88" i="6" s="1"/>
  <c r="R88" i="6"/>
  <c r="S88" i="6"/>
  <c r="T88" i="6"/>
  <c r="I89" i="6"/>
  <c r="L89" i="6"/>
  <c r="M89" i="6"/>
  <c r="O89" i="6"/>
  <c r="P89" i="6" s="1"/>
  <c r="R89" i="6"/>
  <c r="S89" i="6" s="1"/>
  <c r="T89" i="6"/>
  <c r="I90" i="6"/>
  <c r="J90" i="6" s="1"/>
  <c r="L90" i="6"/>
  <c r="M90" i="6" s="1"/>
  <c r="O90" i="6"/>
  <c r="P90" i="6" s="1"/>
  <c r="R90" i="6"/>
  <c r="S90" i="6"/>
  <c r="T90" i="6"/>
  <c r="E91" i="6"/>
  <c r="V19" i="6" l="1"/>
  <c r="W19" i="6" s="1"/>
  <c r="J18" i="6"/>
  <c r="V14" i="6"/>
  <c r="W14" i="6" s="1"/>
  <c r="U67" i="6"/>
  <c r="V67" i="6" s="1"/>
  <c r="W67" i="6" s="1"/>
  <c r="U64" i="6"/>
  <c r="V64" i="6" s="1"/>
  <c r="W64" i="6" s="1"/>
  <c r="U58" i="6"/>
  <c r="V58" i="6" s="1"/>
  <c r="W58" i="6" s="1"/>
  <c r="U54" i="6"/>
  <c r="V54" i="6" s="1"/>
  <c r="W54" i="6" s="1"/>
  <c r="U50" i="6"/>
  <c r="U46" i="6"/>
  <c r="V46" i="6" s="1"/>
  <c r="W46" i="6" s="1"/>
  <c r="U42" i="6"/>
  <c r="V42" i="6" s="1"/>
  <c r="W42" i="6" s="1"/>
  <c r="U38" i="6"/>
  <c r="V38" i="6" s="1"/>
  <c r="W38" i="6" s="1"/>
  <c r="U34" i="6"/>
  <c r="V34" i="6" s="1"/>
  <c r="W34" i="6" s="1"/>
  <c r="U29" i="6"/>
  <c r="V29" i="6" s="1"/>
  <c r="W29" i="6" s="1"/>
  <c r="U24" i="6"/>
  <c r="V24" i="6" s="1"/>
  <c r="W24" i="6" s="1"/>
  <c r="U20" i="6"/>
  <c r="V20" i="6" s="1"/>
  <c r="W20" i="6" s="1"/>
  <c r="U49" i="6"/>
  <c r="U41" i="6"/>
  <c r="V41" i="6" s="1"/>
  <c r="W41" i="6" s="1"/>
  <c r="U89" i="6"/>
  <c r="V89" i="6" s="1"/>
  <c r="W89" i="6" s="1"/>
  <c r="U65" i="6"/>
  <c r="V65" i="6" s="1"/>
  <c r="W65" i="6" s="1"/>
  <c r="U55" i="6"/>
  <c r="V55" i="6" s="1"/>
  <c r="W55" i="6" s="1"/>
  <c r="U51" i="6"/>
  <c r="V51" i="6" s="1"/>
  <c r="W51" i="6" s="1"/>
  <c r="U47" i="6"/>
  <c r="V47" i="6" s="1"/>
  <c r="W47" i="6" s="1"/>
  <c r="U43" i="6"/>
  <c r="V43" i="6" s="1"/>
  <c r="W43" i="6" s="1"/>
  <c r="U39" i="6"/>
  <c r="V39" i="6" s="1"/>
  <c r="W39" i="6" s="1"/>
  <c r="U35" i="6"/>
  <c r="V35" i="6" s="1"/>
  <c r="W35" i="6" s="1"/>
  <c r="U30" i="6"/>
  <c r="V30" i="6" s="1"/>
  <c r="W30" i="6" s="1"/>
  <c r="U25" i="6"/>
  <c r="V25" i="6" s="1"/>
  <c r="W25" i="6" s="1"/>
  <c r="U21" i="6"/>
  <c r="V21" i="6" s="1"/>
  <c r="W21" i="6" s="1"/>
  <c r="U16" i="6"/>
  <c r="V16" i="6" s="1"/>
  <c r="W16" i="6" s="1"/>
  <c r="U63" i="6"/>
  <c r="V63" i="6" s="1"/>
  <c r="W63" i="6" s="1"/>
  <c r="U13" i="6"/>
  <c r="V13" i="6" s="1"/>
  <c r="W13" i="6" s="1"/>
  <c r="U83" i="6"/>
  <c r="V83" i="6" s="1"/>
  <c r="W83" i="6" s="1"/>
  <c r="U61" i="6"/>
  <c r="V61" i="6" s="1"/>
  <c r="W61" i="6" s="1"/>
  <c r="U70" i="6"/>
  <c r="V70" i="6" s="1"/>
  <c r="W70" i="6" s="1"/>
  <c r="U68" i="6"/>
  <c r="V68" i="6" s="1"/>
  <c r="W68" i="6" s="1"/>
  <c r="V50" i="6"/>
  <c r="W50" i="6" s="1"/>
  <c r="V49" i="6"/>
  <c r="W49" i="6" s="1"/>
  <c r="U59" i="6"/>
  <c r="V59" i="6" s="1"/>
  <c r="W59" i="6" s="1"/>
  <c r="V12" i="6"/>
  <c r="W12" i="6" s="1"/>
  <c r="V11" i="6"/>
  <c r="W11" i="6" s="1"/>
  <c r="W9" i="7"/>
  <c r="U90" i="6"/>
  <c r="V90" i="6" s="1"/>
  <c r="W90" i="6" s="1"/>
  <c r="J89" i="6"/>
  <c r="U87" i="6"/>
  <c r="V87" i="6" s="1"/>
  <c r="W87" i="6" s="1"/>
  <c r="U86" i="6"/>
  <c r="V86" i="6" s="1"/>
  <c r="W86" i="6" s="1"/>
  <c r="U85" i="6"/>
  <c r="V85" i="6" s="1"/>
  <c r="W85" i="6" s="1"/>
  <c r="U84" i="6"/>
  <c r="V84" i="6" s="1"/>
  <c r="W84" i="6" s="1"/>
  <c r="J83" i="6"/>
  <c r="U81" i="6"/>
  <c r="V81" i="6" s="1"/>
  <c r="W81" i="6" s="1"/>
  <c r="U80" i="6"/>
  <c r="V80" i="6" s="1"/>
  <c r="W80" i="6" s="1"/>
  <c r="U78" i="6"/>
  <c r="V78" i="6" s="1"/>
  <c r="W78" i="6" s="1"/>
  <c r="U76" i="6"/>
  <c r="V76" i="6" s="1"/>
  <c r="W76" i="6" s="1"/>
  <c r="U74" i="6"/>
  <c r="V74" i="6" s="1"/>
  <c r="W74" i="6" s="1"/>
  <c r="U73" i="6"/>
  <c r="V73" i="6" s="1"/>
  <c r="W73" i="6" s="1"/>
  <c r="U72" i="6"/>
  <c r="V72" i="6" s="1"/>
  <c r="W72" i="6" s="1"/>
  <c r="U71" i="6"/>
  <c r="V71" i="6" s="1"/>
  <c r="W71" i="6" s="1"/>
  <c r="U69" i="6"/>
  <c r="V69" i="6" s="1"/>
  <c r="W69" i="6" s="1"/>
  <c r="U88" i="6"/>
  <c r="V88" i="6" s="1"/>
  <c r="W88" i="6" s="1"/>
  <c r="U82" i="6"/>
  <c r="V82" i="6" s="1"/>
  <c r="W82" i="6" s="1"/>
  <c r="U79" i="6"/>
  <c r="V79" i="6" s="1"/>
  <c r="W79" i="6" s="1"/>
  <c r="U77" i="6"/>
  <c r="V77" i="6" s="1"/>
  <c r="W77" i="6" s="1"/>
  <c r="U75" i="6"/>
  <c r="V75" i="6" s="1"/>
  <c r="W75" i="6" s="1"/>
  <c r="W5" i="6" l="1"/>
</calcChain>
</file>

<file path=xl/sharedStrings.xml><?xml version="1.0" encoding="utf-8"?>
<sst xmlns="http://schemas.openxmlformats.org/spreadsheetml/2006/main" count="5265" uniqueCount="2593">
  <si>
    <t>Tipo Informe</t>
  </si>
  <si>
    <t>8 GESTION</t>
  </si>
  <si>
    <t>Formulario</t>
  </si>
  <si>
    <t>CB-0402: PLAN DE MEJORAMIENTO - 2</t>
  </si>
  <si>
    <t>Moneda Informe</t>
  </si>
  <si>
    <t>Entidad</t>
  </si>
  <si>
    <t>Fecha</t>
  </si>
  <si>
    <t>Periodicidad</t>
  </si>
  <si>
    <t>Mensual</t>
  </si>
  <si>
    <t>[1]</t>
  </si>
  <si>
    <t>PLAN DE MEJORAMIENTO</t>
  </si>
  <si>
    <t xml:space="preserve">ORIGEN </t>
  </si>
  <si>
    <t xml:space="preserve">CAPÍTULO </t>
  </si>
  <si>
    <t xml:space="preserve">NÚMERO Y DESCRIPCIÓN DEL HALLAZGO </t>
  </si>
  <si>
    <t xml:space="preserve">MOTIVO DEL HALLAZGO </t>
  </si>
  <si>
    <t xml:space="preserve">ACCIÓN </t>
  </si>
  <si>
    <t xml:space="preserve">INDICADOR </t>
  </si>
  <si>
    <t xml:space="preserve">META </t>
  </si>
  <si>
    <t xml:space="preserve">ÁREA RESPONSABLE </t>
  </si>
  <si>
    <t xml:space="preserve">RESPONSABLE DE LA EJECUCIÓN </t>
  </si>
  <si>
    <t xml:space="preserve">FECHA DE INICIO </t>
  </si>
  <si>
    <t xml:space="preserve">FECHA DE TERMINACIÓN </t>
  </si>
  <si>
    <t xml:space="preserve">RESULTADO INDICADOR </t>
  </si>
  <si>
    <t xml:space="preserve">ANÁLISIS SEGUIMIENTO ENTIDAD </t>
  </si>
  <si>
    <t>CUMPLIMIENTO</t>
  </si>
  <si>
    <t xml:space="preserve">EFECTIVIDAD DE LA ACCION </t>
  </si>
  <si>
    <t>ESTADO DE LA ACCION</t>
  </si>
  <si>
    <t>FECHA DE SEGUIMIENTO</t>
  </si>
  <si>
    <t>FILA_10</t>
  </si>
  <si>
    <t>INFORME AUDITORIA GUBERNAMENTAL CON ENFOQUE INTEGRAL - MODALIDAD REGULAR- PAD 2012 CICLO III</t>
  </si>
  <si>
    <t>3.3.2.4.</t>
  </si>
  <si>
    <t>Hallazgo Administrativo, Al verificar la documentación reportada por contabilidad se observa que no cuenta con inventario detallado de bienes de beneficio y uso público con su respectivo avalúo técnico que evidencia cada uno de sus componentes y el valor de la misma, pues si bien entregaron un llamado inventario este registra un sin numero de contratos ejecutados, situación que denota falencia en controles en el manejo de la información y procesamiento de datos, situación que transgrede instructivo 29 de la Secretaria de Hacienda Distrital, denotando la falta de controles en los bienes revelando cifras que generan incertidumbre por valor $8.102.171.427.79 en su composición.</t>
  </si>
  <si>
    <t>Los informes finales de los contratos de obra no detallan la información del tipo de obra realiza</t>
  </si>
  <si>
    <t>Correción:  Generar un expediente documental donde se refleje, para cada contrato relacionado con los bienes de uso publico, la problemática, antecedentes, acciones administrativas ejecutadas a la fecha y la solicitud justificada para retirar esas partidas de contabilidad.  Solicitar un comité de sostenibilidad contable para depurar esta cuenta.
Acción correctiva:  En la minuta de los contratos de obra, incluir una claúsula que obligue  reportar en el último pago un informe   que describa el detalle de la obra realizada conteniendo mínimo:  inventario del bien objeto de la obra con su valor o su discriminación en los casos de mantenimiento y rehabilitación .</t>
  </si>
  <si>
    <t>Valor depurado / $8,102,171,427,79</t>
  </si>
  <si>
    <t>&gt;100%</t>
  </si>
  <si>
    <t>Coordinación Administrativa y Financiera  -- Infraestructura y Contabilidad</t>
  </si>
  <si>
    <t>Responsable de Infraestructura para la generación del expediente documental  y Contador para el registro contable</t>
  </si>
  <si>
    <t>Abierto</t>
  </si>
  <si>
    <t>FILA_20</t>
  </si>
  <si>
    <t>3.4.3.1.</t>
  </si>
  <si>
    <t>Hallazgo Administrativo, En la auditoría al presupuesto se determinó que a pesar de una muy buena ejecución presupuestal de gastos e inversiones, las autorizaciones de giro en la inversión Directa fue de 46.56%, muy deficiente lo que determina que la gestión presupuestal no contribuye a la gestión administrativa como herramienta de planeación y control de los recursos a cargo del FDLSF y su gestión es ineficiente, incumpliendo los objetivos del sistema presupuestal consagrado en el Decreto 714 de 1996 en su Artículo 8º.</t>
  </si>
  <si>
    <t>Desde hace varios añios, se presenta un  rezago en la ejecución de actividades de los proyectos contratados lo que obliga que la suscripción de nuevos  contratos en el último trimestre del año para ejecución durante la siguiente vigencia</t>
  </si>
  <si>
    <t xml:space="preserve">Realizar con los profesionales del grupo de planenación de la alcadía un seguimiento trimestral de la ejecución de los proyectos y del PAC mensual, acordes a la forma de pago descrita en el contrato para identificar la advertencia de baja ejecución.
</t>
  </si>
  <si>
    <t>Pagos esperados según contrato / Pagos realizados mensualmente</t>
  </si>
  <si>
    <t>&gt; 70%</t>
  </si>
  <si>
    <t>Coordinación Administrativa y Financiera  --  Planeación</t>
  </si>
  <si>
    <t>Funcionario esponsable de Planeación</t>
  </si>
  <si>
    <t>FILA_30</t>
  </si>
  <si>
    <t>Auditoria Integral - Modalidad Regular PAD 2014</t>
  </si>
  <si>
    <t>2.8.1</t>
  </si>
  <si>
    <t>Factor planes, programas y proyectos: plan de desarrollo y ejecución presupuestal de 2013
Hallazgo Administrativo
Incongruencia del plan de desarrollo ya que la suma de los ingresos calculados para el cuatrenio debe ser coincidente con la suma calculada para los egresos del mismo Plan</t>
  </si>
  <si>
    <t xml:space="preserve">
1. No especificación anual de cada una de las fuentes de ingresos
2. Falta de Revisión cruzada de cifras</t>
  </si>
  <si>
    <t>Corrección: Identificar las diferencias y en la Rendición de cuentas 2014  hacer las aclaraciones correspondientes.
Acción Correctiva: En la formulación de los Planes de Desarrollo verificar que la suma de los ingresos sea igua a la suma de los egresos.</t>
  </si>
  <si>
    <t>suma de los ingresos / suma de  los egresos.</t>
  </si>
  <si>
    <t>Despacho Alcaldía Local</t>
  </si>
  <si>
    <t>Alcalde Local - Asesores de Despacho - Grupo de Planeación</t>
  </si>
  <si>
    <t>FILA_40</t>
  </si>
  <si>
    <t>2.9.2</t>
  </si>
  <si>
    <t>Componente Control Financiero: Evaluación de los estados contables
Hallazgo Administrativo, fiscal (contratación) y disciplinario. Presunta trasgresion del articulo 34 numeral 1° de la Ley 734 de 2002 y un posible detrimento al patrimonio local
Irregularidades:
1. Contrato de suministroNo 151/13: compra de plotter
 a. Compra injustificada
b.  Equipo no usado por falta de kit no inluido en la garantía (falla técnica)
c.  Falta de evidencia de uso del plotter
d.  Falta de la certificaicón de la Imprenta Distrital de no poder realizar los trabajos que se haran en el plotter
e.  No cumplimiento y acatamiento del Decreto 054 de 2008 y del Decreto 084 de 2008 y de la Circular 017 de 2010 de la Alcaldía Mayor de Bogotá</t>
  </si>
  <si>
    <t xml:space="preserve">1. No cumplimiento o desconocimiento de los procedimientos de compras 
2. Análisis beneficio- costos deficiente </t>
  </si>
  <si>
    <t xml:space="preserve">Corrección:  Poner en funcionamiento el plotter y Diseñar reporte de uso del plotter (diario / mensual)
Acción correctiva: Asegurar que se cumple con los procedimientos de compra establecidos para tecnología
</t>
  </si>
  <si>
    <t>Funcionalidad del plotter probada / Funcionalidades del plotter</t>
  </si>
  <si>
    <t>Fondo de Desarrollo Local- Contratación - Sistemas</t>
  </si>
  <si>
    <t>Responsable de Sistemas -  Responsable de Prensa</t>
  </si>
  <si>
    <t>FILA_50</t>
  </si>
  <si>
    <t>PAD 2014 - Modalidad Especial Perído 2012-2013</t>
  </si>
  <si>
    <t>2.2</t>
  </si>
  <si>
    <t>Incumplimiento en la ejecucion de los aportes como cofinanciacion por valor de $27.100.000 por parte del contratista CORPORACION FUERZA OXIGENO convenio 98-2013</t>
  </si>
  <si>
    <t>omision al procedimiento de gestion documental por no mantener los documentos dentro de la carpeta del contrato
No se ha presentado la liquidación del contrato.</t>
  </si>
  <si>
    <t xml:space="preserve">Corrección:  se le exigira al ejecutor que en los informes de ejecución final refleje el cumplimiento de la cofinanciación ofrecida la cual debe estar debidamente soportada  técnica y finacieramente como requiisito previo para la la liquidación del convenio y se anexaran a la carpeta del conmtrato los documentos y soportes correspondientes
Acción Correctiva:   En tratandose de convenios de asociacion suscritos por el FDLSF, se le exigira al ejecutor que en los informes de ejecución presentados se refleje el cumplimiento de la cofinanciación ofrecida, la cual debe estar debidamente soportada  técnica y finacieramente como requiisito previo para la la liquidación del convenio.  </t>
  </si>
  <si>
    <t>Soportes de aportes de cofinanciación en el expediente del contrato</t>
  </si>
  <si>
    <t>Fondo de Desarrollo Local- Contratación  - Planeación</t>
  </si>
  <si>
    <t>Supervisor del contrato</t>
  </si>
  <si>
    <t>FILA_60</t>
  </si>
  <si>
    <t>2.5</t>
  </si>
  <si>
    <t>Indebida certificación de idoneidad y experiencia del contratista CORPORACION FURZA OXIGENO convenio 87-2013</t>
  </si>
  <si>
    <t>Para este contrato, no se cerifico ni tiempo ni valor por que no estaba contemplado dentro de los estudios previos</t>
  </si>
  <si>
    <t>Acción correctiva: En los futuros  procesos de  contratación de los convenios de asociación, se mantendrá el rigor de la verifiación de  las certificaciones de experiencia aportadas por los oferentes para acreditar la idoneidad exigida por la entidad.
Reinducción a supervisores e interventores respecto a las responsabilidades en la supervisión o interventoría de un contrato
Realizar el archivo oportuno de la documentacion en cada carpeta contractual</t>
  </si>
  <si>
    <t>Lista de chequeo de documentos diligenciada al 100% y firmada por el abogado responsable</t>
  </si>
  <si>
    <t xml:space="preserve">Fondo de Desarrollo Local- Contratación </t>
  </si>
  <si>
    <t>FILA_70</t>
  </si>
  <si>
    <t>2.8</t>
  </si>
  <si>
    <t>Presentación inoportuna de documentos convenio de asociacion 113-2013</t>
  </si>
  <si>
    <t>omision al procedimeinto de gestion documental</t>
  </si>
  <si>
    <t>Acción correctiva: Realizar el archivo oportuno de la documentacion en cada carpeta contractual
Acción correctiva: Reinducción a supervisores e interventores respecto a las responsabilidades en la supervisión o interventoría de un contrato</t>
  </si>
  <si>
    <t>Realizar una sensibilización de las responsabilidades de los supervisores e interventores</t>
  </si>
  <si>
    <t>FILA_80</t>
  </si>
  <si>
    <t>PAD 2015- Modalidad regular</t>
  </si>
  <si>
    <t>2.3.1</t>
  </si>
  <si>
    <t>convenios 029/12 y 036/11  no existencia del registro de aprobación de las pólizas,  aval de ajuste del perfil del coordinador del convenio 029/12 sin contar con la aprobación del ordenador del gasto del fondo</t>
  </si>
  <si>
    <t>Debilidad en la revisón de las documentos contactuales</t>
  </si>
  <si>
    <t>Acción correctiva: Mantener el uso de la  lista de chequo para revisión de documentos contractuales que sea firmada por el abogado que realice la revisión</t>
  </si>
  <si>
    <t>Listas de chequeo diligenciadas de documentos / número de contratos revisados</t>
  </si>
  <si>
    <t>Fondo de Desarrollo Local</t>
  </si>
  <si>
    <t>Abogados FDLSF</t>
  </si>
  <si>
    <t>FILA_90</t>
  </si>
  <si>
    <t>Falta de control y seguimiento a las actividades desarrolladas</t>
  </si>
  <si>
    <t xml:space="preserve">Deficiente control por parte de la interventoria y del supervisor de apoyo </t>
  </si>
  <si>
    <t>Acción correctiva: Reinducción a supervisores e interventores respecto a las responsabilidades en la supervisión o interventoría de un contrato</t>
  </si>
  <si>
    <t>Soportes entregados de actividades ejecutada en el convenio interadministrativo firmado /  Total de actividades a ejecutar establecida en el proyecto de convenio administrativo correspondiente</t>
  </si>
  <si>
    <t>Coordinación Administrativa Financiera - Planeación</t>
  </si>
  <si>
    <t>Supervisores de Contrato</t>
  </si>
  <si>
    <t>FILA_100</t>
  </si>
  <si>
    <t xml:space="preserve">no se encuentran publicados en la web los planes de acción de la vigencia 2014 y 2015 ni la contratación de la vigencia 2015 </t>
  </si>
  <si>
    <t xml:space="preserve">Cambios en la plataforma de la WEB
Falla en la revisión continua de la información publicada dn la WEB
</t>
  </si>
  <si>
    <t xml:space="preserve">Corrección: Publicar los planes de acción y la contratación  para vigencia 2014 y 2015 
Plan correctivo: Mantener actualizada  la página WEB de la Alcaldía
</t>
  </si>
  <si>
    <t>Planes de acción y contratación desde 2012 al 2015 publicadas en la WEB de la Alcaldía</t>
  </si>
  <si>
    <t>Coordinación Administrativa Financiera</t>
  </si>
  <si>
    <t>Responsable actualización información en contratación,  Responsable actualización MUSI y Responsable Prensa</t>
  </si>
  <si>
    <t>FILA_110</t>
  </si>
  <si>
    <t>2.3.2</t>
  </si>
  <si>
    <t>Convenio de asociación 046/2011 Fundiderc Adulto mayor: no obran soportes de la devolución de los elementos adquiridos (art2-3 ley 87-1993, ley 610-2000, decreto 777-1992, ley 734 de 2002, ley 1474 de 2011 art 82-83y 84, ley 80-1993 y 2l-gar-m1</t>
  </si>
  <si>
    <t>Falla en el registro de las devoluciones de los bienes adquiridos para los proyectos de inversión</t>
  </si>
  <si>
    <t>Acción correctiva: Registrar los bienes adquiridos y devueltos para los proyectos de inversión en el aplicativo SAI Y SAE en los tiempos estipulados en el contrato evidenciando su trazabilidad</t>
  </si>
  <si>
    <t xml:space="preserve">Bienes adquiridos y devueltos para los proyectos de inversión, registrados en el aplicativo SAI Y SAE / Total de bienes adquiridos y devueltos para los proyectos de inversión </t>
  </si>
  <si>
    <t xml:space="preserve">Coordinación Administrativa Financiera - Almacén
</t>
  </si>
  <si>
    <t>Almacén
Supervisores</t>
  </si>
  <si>
    <t>FILA_120</t>
  </si>
  <si>
    <t>2.3.3</t>
  </si>
  <si>
    <t xml:space="preserve">Contrato de obra 086-2011 CONSORCIO KMINOS - GNG Ingeniería S.A.S (Contrato de Interventoría 108/86  No cumplimiento del objeto 26 tramos (entregados 7). no satisfacción de la mejora de la movilidad </t>
  </si>
  <si>
    <t>Fallas en la planeación al  no incluir la totalidad de las vias objeto de la intervención</t>
  </si>
  <si>
    <t>Acción correctiva:  Incluir en los estudios previos de los procesos de infraestructura vial,  el listado con la totalidad de la vìas objeto de intervención en el contrato.</t>
  </si>
  <si>
    <t>Vias constuidas / vias contratadas</t>
  </si>
  <si>
    <t>Coordinación Administrativa Financiera -  Infraestructura</t>
  </si>
  <si>
    <t>Profesional de Infraestructura responsable de los estudios previos</t>
  </si>
  <si>
    <t>2016-30-06</t>
  </si>
  <si>
    <t>FILA_130</t>
  </si>
  <si>
    <t>2.3.4</t>
  </si>
  <si>
    <t xml:space="preserve">Planeación oportuna: al contrato de prestación de servicios 012 de 2014 realiza cambio de objeto del contrato al  tomar de decisión de entregar 680 sudaderas a los beneficiarios </t>
  </si>
  <si>
    <t>No soportar adecuademente las necesidades de adición en un contrato</t>
  </si>
  <si>
    <t>Acción correctiva: Continuar  autorizando las adiciones de los contratos  en los casos debidamente justificados y conforme con la normatividad vigente</t>
  </si>
  <si>
    <t>Adiciones con justificación sufiente / Adiciones aprobadas</t>
  </si>
  <si>
    <t>Abogados FDLSF
Supervisores</t>
  </si>
  <si>
    <t>FILA_140</t>
  </si>
  <si>
    <t>2.4.1</t>
  </si>
  <si>
    <t>contrato 108 de 2010  monto no reflejado ni descontado en el reporte de la vigencia 2013. 
saldos por liberar para el Contrato de obra 108/2010 a 141/2011 no corresponden con el formato</t>
  </si>
  <si>
    <t>Generar liquidación con informe PREDIS no actualizado</t>
  </si>
  <si>
    <t>Acción correctiva: Para la liquidación de contratos se debe generar el reporte de saldos de Predis, el mismo día que se realiza la liquidación y confirmar que la liquidación quede con el mismo saldo reflejado en PREDIS</t>
  </si>
  <si>
    <t xml:space="preserve">Saldo liquidación / Saldo Predis </t>
  </si>
  <si>
    <t>Abogado responsable de liquidaciones</t>
  </si>
  <si>
    <t>FILA_150</t>
  </si>
  <si>
    <t>2.5.1</t>
  </si>
  <si>
    <t>Cumplimiento PDL: la falta de planeación y controles efectivos, y el incumplimiento de las obligaciones contracturales</t>
  </si>
  <si>
    <t xml:space="preserve">Diseñar e implementar  una herramienta para hacer planeación de contratación y planear suscripción de contratos desde el primer trimestre dejando para el último trimestre un porcentaje menor al 15%
Realizar con los profesionales del grupo de planenación de la alcadía un seguimiento trimestral de la ejecución de los proyectos y del PAC mensual, acordes a la forma de pago descrita en el contrato para identificar la advertencia de baja ejecución.
</t>
  </si>
  <si>
    <t>Herramienta de planeación diseñada e implementada</t>
  </si>
  <si>
    <t>FILA_160</t>
  </si>
  <si>
    <t>2.5.2</t>
  </si>
  <si>
    <t xml:space="preserve">Diferencia de magnitud y valor reportado en las  metas en MUSI y en Plan de acción </t>
  </si>
  <si>
    <t>Fallas en la coordinación con Planeción y SDG , quien actualizan las metas y las cifras reales  publicadas en la MUSI
La MUSI es un archivo de excel que es susceptible a cualquier error o modificación no voluntario
Falta de verificación periódica de las cifras de MUSI publicadas por la SDH</t>
  </si>
  <si>
    <t>Correción: Generar archivo de la información que presenta diferencias  y enviar solicitud a la Secretaría de Planeación para que se realicen los ajustes pertinentes. 
Accion correctiva: Verificar trimestralmente  la información de metas que se reporta  en la MUSI con la información registrada en Plan de Acción
Verificar la información de la MUSI publicada para evitar diferencias en cifras, metas y/o datos</t>
  </si>
  <si>
    <t>Valor con diferencia corregidos / valores con diferencia detectados</t>
  </si>
  <si>
    <t>Profesional Planeación responsable de la MUSI
Funcionario SDP encargado de ajustar datos de la MUSI de Santa Fe</t>
  </si>
  <si>
    <t>FILA_170</t>
  </si>
  <si>
    <t>2.6.1</t>
  </si>
  <si>
    <t xml:space="preserve">Evidencias de implementación de PIGA 2014
</t>
  </si>
  <si>
    <t>Fallas en el archivo de documentos soporte ya que las evidencias de la implementación del PIGA, no estaban debidamente organizadas en la información entregada a la Contraloría.</t>
  </si>
  <si>
    <t>Corrección: Organizar e incluir evidencias pendientes de la implementación de las metas 2014  en la carpeta PIGA.
Acción correctiva: Organizar e incluir evidencias de la implementación de las metas 2015  en la carpeta PIGA, una vez estén firmadas</t>
  </si>
  <si>
    <t>Carpeta PIGA organizada con todos los soportes de implementación Plan de Acción 2014</t>
  </si>
  <si>
    <t>Coordinación Administrativa y Financiera  --  PIGA</t>
  </si>
  <si>
    <t>Referente PIGA</t>
  </si>
  <si>
    <t>FILA_180</t>
  </si>
  <si>
    <t>No reducción de agua y luz</t>
  </si>
  <si>
    <t>El incremento en el número de visitantes sumado a la realización de las actividades de mantenimiento de la infrastructura aumentó el consumo de agua.</t>
  </si>
  <si>
    <t>Acción correctiva: Realizar mínimo el 45% de los cambios de los sanitarios y llaves por dispositivos ahorradores
Realizar una campaña institucional para el ahorro y uso eficiente de agua en la entidad.</t>
  </si>
  <si>
    <t>Consumo 2015/consumo 2014</t>
  </si>
  <si>
    <t>&lt;=98%</t>
  </si>
  <si>
    <t>FILA_190</t>
  </si>
  <si>
    <t>No están los reportes trimestrales de Storm</t>
  </si>
  <si>
    <t>El reporte del primer semestre 2014 se realizó de manera extemporánea</t>
  </si>
  <si>
    <t>Acción correctiva: Realizar los reportes semestrales para el año 2015 en las fechas estipuladas por la SDA</t>
  </si>
  <si>
    <t xml:space="preserve"> No. de reportes realizados dentro de  las fechas establecidas   /No. de reportes de seguimiento al PIGA exigidos por SDA x 100</t>
  </si>
  <si>
    <t>FILA_200</t>
  </si>
  <si>
    <t>Informe CAL seguimiento a proyectos</t>
  </si>
  <si>
    <t>La instancia duró más de dos meses sin secretaría técnica por parte de la SDA, sin embargo el informe se hizo y entregó en febrero a la SDA</t>
  </si>
  <si>
    <t>Correción: Incluir el informe realizado en la carpeta de la Comisión Ambiental Local de Santa Fe</t>
  </si>
  <si>
    <t>Un informe seguimiento CAL a la implementación de los proyectos ambientales en carpeta CAL</t>
  </si>
  <si>
    <t>Referente Ambiental
Gestor Ambiental SDA</t>
  </si>
  <si>
    <t>FILA_210</t>
  </si>
  <si>
    <t>2.7.1</t>
  </si>
  <si>
    <t>Gestión de cobro de multas</t>
  </si>
  <si>
    <t>Los notificados no se presentan para llegar a acuerdos
Los notificados que se presentan deciden no llegar a acuerdos</t>
  </si>
  <si>
    <t xml:space="preserve">Acción correctiva: Implementación del proyecto 704 relacionado con la depuración de los registros de multas </t>
  </si>
  <si>
    <t>Depurar las multas existentes</t>
  </si>
  <si>
    <t>Coordinación Normativa y Jurídica</t>
  </si>
  <si>
    <t>Coordinador Normativa y Jurídica
Asesor de obras
Asesor Jurídico
Contador</t>
  </si>
  <si>
    <t>FILA_220</t>
  </si>
  <si>
    <t>2.7.2</t>
  </si>
  <si>
    <t xml:space="preserve">Conciliación de cuentas recíprocas </t>
  </si>
  <si>
    <t>Corrección: Revisar los contratos que se encuentran en cuentas recíprocas y definir las acciones a seguir
Acción correctiva: Reinducción a supervisores e interventores respecto a las responsabilidades en la supervisión o interventoría de un contrato</t>
  </si>
  <si>
    <t>Contratos de vigencia 2011 atrás liquidados / Contratos de vigencia 2011 atrás en cuentas reciprocas</t>
  </si>
  <si>
    <t>Coordinación Administrativa y Financiera  -- Fondo de Desarrollo Local - Contablidad</t>
  </si>
  <si>
    <t>Abogado responsable de liquidaciones - Contador</t>
  </si>
  <si>
    <t>FILA_230</t>
  </si>
  <si>
    <t>2-7.3</t>
  </si>
  <si>
    <t>Terrenos pendientes por legalizar:entrega, registro e inventario</t>
  </si>
  <si>
    <t>Diferencia de criterios de contabilización con el Ente de Control</t>
  </si>
  <si>
    <t>Acción correctiva: Solicitar a Contabilidad Distrital concepto acerca de la clasificación actual del bien y proceder de acuerdo a la respuesta</t>
  </si>
  <si>
    <t>Bienes clasificados de acuerdo a las directrices dadas / total de bienes de los que solicita concepto</t>
  </si>
  <si>
    <t>Coordinación Administrativa y Financiera  --  Contablidad</t>
  </si>
  <si>
    <t>Contador</t>
  </si>
  <si>
    <t>FILA_240</t>
  </si>
  <si>
    <t>2.7.4</t>
  </si>
  <si>
    <t>Incumplimiento plazos contratos CAR 1106-2008; CIA-IDU-2006-2006 ; CIA 023-2007</t>
  </si>
  <si>
    <t>Coordinación Administrativa y Financiera  --  Fondo de Desarrollo Local --  Contablidad</t>
  </si>
  <si>
    <t>Abogado responsable de liquidaciones para gestionar las liquidaciones de los contratos - Contador para conciliar cuentas reciprocas</t>
  </si>
  <si>
    <t>FILA_250</t>
  </si>
  <si>
    <t>PAD 2015 Modalidad Desempeño</t>
  </si>
  <si>
    <t>3.3</t>
  </si>
  <si>
    <t>El valor reportado en el acta de liquidación no corresponde al valor real del contrato</t>
  </si>
  <si>
    <t>Abogado responsable de la liquidación</t>
  </si>
  <si>
    <t>FILA_260</t>
  </si>
  <si>
    <t>3.5</t>
  </si>
  <si>
    <t>El valor del acta de liquidación no corresponde al valor real del contrato</t>
  </si>
  <si>
    <t>FILA_270</t>
  </si>
  <si>
    <t>3.1.1</t>
  </si>
  <si>
    <t>Item 108549:  pago del concepto de reinstalación de columpios no realizada</t>
  </si>
  <si>
    <t>Corrección: Solicitar la devolución del valor correspondiente a  la desionstación de los culumpios</t>
  </si>
  <si>
    <t>Valor devuelto por el contratista / Valor mayor pagado</t>
  </si>
  <si>
    <t>Ingeniero responsable de infraestructura</t>
  </si>
  <si>
    <t>FILA_280</t>
  </si>
  <si>
    <t>Item 10250:  pago de 11 canecas en acero inoxidable cuando se instalaron 10 canecas comunes</t>
  </si>
  <si>
    <t>Corrección: Solicitar al contratista la instalación de las once canecas de acero inoxidable de acuerdo a las condiciones pactadas en el contrato</t>
  </si>
  <si>
    <t>Canecas instaladas / canecas pagadas</t>
  </si>
  <si>
    <t>FILA_290</t>
  </si>
  <si>
    <t>Item 10203:  no justificación de cambio de baranda y evidencias no suficientes de entrega de barandas desinstaladas</t>
  </si>
  <si>
    <t>Acción correctiva: Entregar a cada supervisor o interventor, en el momento de inicio de su labor, el manual de supervisión y contratación para su entendimiento y completa aplicación
Ser más estricto con la entrega de los informes entregados por los supervisores</t>
  </si>
  <si>
    <t>Manual entregado / contratos de interventoría suscritos</t>
  </si>
  <si>
    <t>Abogado responsable de la contratación
Supervisor de la interventoría</t>
  </si>
  <si>
    <t>FILA_300</t>
  </si>
  <si>
    <t>3.1.2</t>
  </si>
  <si>
    <t>El Fondo de Desarrollo local no garantiza la adhesión al manual de conservación de los parques intervenidos. No hay evidencia del mantenimiento preventivo y correctivo de las obras en los parques objeto del contrato citado de conformidad con los manuales entregados</t>
  </si>
  <si>
    <t>Fallas en la planeación</t>
  </si>
  <si>
    <t>En los proyectos de parques incluir como parte del proyecto, presupuesto para realizar los mantenimientos correctivos y/o preventivos correspondientes</t>
  </si>
  <si>
    <t>Estudios previos de obras en parques que incluyen rubros de mantenimiento y prevención/Estudios previos de obras en parque</t>
  </si>
  <si>
    <t>Profesional de planeación que proyecta los estudios previos de obras de parques</t>
  </si>
  <si>
    <t>FILA_310</t>
  </si>
  <si>
    <t>3.2.1</t>
  </si>
  <si>
    <t>Fallas en el despliegue del principio de planeación.  La necesidad planteada no se encontraba técnicamente soportada a tal punto que el proceso de búsqueda y convocatoria de los artistas en todos los géneros dificulto la ejecución del contrato</t>
  </si>
  <si>
    <t xml:space="preserve">Fallas en la planeación </t>
  </si>
  <si>
    <t>Seremos más estrictos en la elaboración de estudios previos y establecimiento de condiciones a fin de ajustarnos a los mejores estandares de contratación de nivel nacional y distrital</t>
  </si>
  <si>
    <t>Estudios previos aplicando estandares vigentes / estudios previos presentados</t>
  </si>
  <si>
    <t>Profesionales de planeación</t>
  </si>
  <si>
    <t>FILA_320</t>
  </si>
  <si>
    <t>3.2.2</t>
  </si>
  <si>
    <t>Inconformidad por parte de los artistas en virtud al bajo monto del reconocimiento por sus presentaciones versus los montos pagados por las demás actividades</t>
  </si>
  <si>
    <t>Falta de criterios unificados entre artistas y la Entidad respecto a la bolsa de pagos correspondiente</t>
  </si>
  <si>
    <t xml:space="preserve">Solicitar a la entidad del Sector Cultura, previo a la formulación, los diagnósticos, bases de datos, estadísticas  y bolsas de pago de artistas entre otros, con el fin de tener los elementos de pertinencia que apliquen a la formulación. </t>
  </si>
  <si>
    <t>Solicitudes realizadas a la Entidad del Sector Cultura respecto a proyectos de cultura/ Proyectos de cultura presentados a Comité de contratación</t>
  </si>
  <si>
    <t>Profesional de planeación</t>
  </si>
  <si>
    <t>FILA_330</t>
  </si>
  <si>
    <t>3.2.3</t>
  </si>
  <si>
    <t>Contratación y pago antieconómico de algunas actividades</t>
  </si>
  <si>
    <t>Seremos más estrictos en la elaboración de estudios previos y establecimiento de codiciones a fin de ajustarnos a los mejores estandares de contratación de nivel nacional y distrital</t>
  </si>
  <si>
    <t>FUENTE</t>
  </si>
  <si>
    <t>HALLAZGO</t>
  </si>
  <si>
    <t>PROCESO</t>
  </si>
  <si>
    <t>DESCRIPCIÓN DEL HALLAZGO</t>
  </si>
  <si>
    <t>%AVANCE</t>
  </si>
  <si>
    <t>FECHA INICIAL</t>
  </si>
  <si>
    <t>FECHA FINAL</t>
  </si>
  <si>
    <t>Entes de Control (Diferentes a Contraloria)</t>
  </si>
  <si>
    <t>Servicio de Atencion a la Ciudadania</t>
  </si>
  <si>
    <t>En el informe de revisi¿n realizado por la veeduria radicado con el No. 85770, se determinan como hallazgo que la informaci¿n de la ALSF que habla la Ley 1474 DE 2011, no se encuentra en su totalidad publicado en la pagina web de la Alcaldia.</t>
  </si>
  <si>
    <t>2013-07-16</t>
  </si>
  <si>
    <t>2013-12-31</t>
  </si>
  <si>
    <t>Auditorias internas de gestion</t>
  </si>
  <si>
    <t>Gestion y Adquisicion de Recursos</t>
  </si>
  <si>
    <t>1.	Considerando las pr¿cticas evidenciadas en el manejo del Aplicativo de Gesti¿n Documental (AGD) ORFEO,  se tiene que algunas personas del equipo que conforma la Alcald¿a Local a su cargo carecen del conocimiento adecuado para la gesti¿n de comunicaciones internas y/o externas. Adicionalmente se observa que algunos usuarios no conocen el instructivo 1D-GAR-I5 Plan de Contingencia para el manejo de comunicaciones oficiales, debiendo indicarles su localizaci¿n en la Intranet.</t>
  </si>
  <si>
    <t>2013-08-05</t>
  </si>
  <si>
    <t>2013-10-30</t>
  </si>
  <si>
    <t>2.	La cuenta de ORFEO del Alcalde es manejada por su secretaria. Esto evidencia el posible incumplimiento del literal f) del Art¿culo 08 de la Resoluci¿n 177 de 2007 ¿Por la cual se adoptan las pol¿ticas de seguridad para el manejo de la informaci¿n y se imparten instrucciones para el uso y administraci¿n del recurso tecnol¿gico de la Secretar¿a de Gobierno Distrital¿, la cual establece que ¿La clave de acceso es personal e intransferible, y como consecuencia se entiende para todos los efectos que solo la conoce el responsable del equipo¿, si bien es cierto que el literal hace alusi¿n a equipos de c¿mputo, la responsabilidad sobre el manejo y conocimiento de las claves es extensiva a los aplicativos de gesti¿n de la informaci¿n, m¿s cuando se trata de un directivo.</t>
  </si>
  <si>
    <t>2013-12-30</t>
  </si>
  <si>
    <t>3.	Al revisar aleatoriamente algunas cuentas de ORFEO se encontr¿ que:
a.	La correspondiente al Alcalde Local se evidenci¿ la existencia de 101 entradas, 3 oficios y 6 memorandos pendientes de tr¿mite.  
b.	El usuario Carlos Vargas Quintero al momento de la visita contaba con 557 entradas, 49 memorandos y 5 oficios sin tramitar en su cuenta de ORFEO 
c.	La usuaria Magda Lorena Davila contaba con 131 entradas y 7 oficios pendientes de tr¿mite. 
d.	La usuaria Mar¿a Elvira Barrera contaba con 280 entradas y 80 oficios pendientes de tr¿mite. 
e.	El usuario Oscar Javier Boh¿rquez Fandi¿o contaba con 186 entradas, 4 memorandos y 4 oficios en tr¿mite al momento de la visita. 
f.	El usuario Mario Jim¿nez Salamanca contaba con 164 entradas, 52 oficios y 8 memorandos pendientes de tr¿mite en su cuenta de ORFEO. Manifest¿ no contar con tiempo para poder depurar esas comunicaciones.
Lo anterior evidencia una falta de cultura de consulta y tr¿mite oportuno de las comunicaciones gestionadas a trav¿s del AGD.</t>
  </si>
  <si>
    <t>Gestion Normativa y Juridica Local</t>
  </si>
  <si>
    <t>4.	Se evidencian en el listado de usuarios de Orfeo de  la Coordinaci¿n Normativa y Jur¿dica usuarios que han terminado el contrato con la entidad y usuarios desconocidos por los funcionarios actuales.</t>
  </si>
  <si>
    <t>2013-08-21</t>
  </si>
  <si>
    <t>Gestion para la Convivencia y Seguridad Integral</t>
  </si>
  <si>
    <t>5.	Durante la revisi¿n se evidenci¿ la existencia de libros radicadores de querellas y despachos comisorios, en los cuales se les asigna un consecutivo a los radicados a medida que son recibidos. As¿ mismo se observa hoja electr¿nica con el  control de correspondencia de asesor¿a de obras.</t>
  </si>
  <si>
    <t>6.	Se evidenci¿ que los radicados 20120300020761, 20120300026711, 20120300000523, 20120300000713, 2013030032951, 20130300055171, 20130300066891, 20130330062381, 20130330025321, 20130320003083, 20130320018571, 20130320063441, 20130330029681, 20120330116281, 2013033049081, 20120330007603, 20130330003311,20130330036521, 20130330060021, 20120330086971, 20120330008243, 20130330005853 fueron generados y se cerr¿ su tr¿mite sin haber sido reasignados a su destinatario. Esto evidencia el incumplimiento de lo establecido en la Circular 06 de 2012 de la Secretar¿a de Gobierno.</t>
  </si>
  <si>
    <t xml:space="preserve">7.	En desarrollo de la visita se evidenci¿ que no se est¿n digitalizando los anexos a las comunicaciones tramitadas recibidas de la Contralor¿a relacionadas con informes de auditor¿a. Los casos revisados corresponden a los radicados 20120310121622 y 20130320039572.
De otra parte la ausencia de digitalizaci¿n de anexos se evidenci¿ en los casos de los radicados 20120300000713, 20130300000033, 20120320085482. </t>
  </si>
  <si>
    <t xml:space="preserve">8.	Con relaci¿n al tr¿mite de comunicaciones relacionadas con procesos contractuales se evidenci¿ que:
CONTRATO	RADICADO	OBSERVACI
027-2013	20130320033701	El usuario que radica  cierra tr¿mite sin reasignar
	NA	La propuesta fue presentada por fuera de ORF
017-2013	20130320032351	El usuario que radica  cierra tr¿mite sin reasignar
	NA	La propuesta fue presentada por fuera de ORF
140-2012	20120330137731	El usuario que radica  cierra tr¿mite sin reasignar
	NA	La propuesta fue presentada por fuera de OR
046-2012	20120320062421	El usuario que radica  cierra tr¿mite sin reasignar
	NA	La propuesta fue presentada por fuera de ORFEO 
	20120320095112	Solicitud de cesi¿n del contrato 
	NA	La aceptaci¿n de la propuesta de cesi¿n fue tramitada por fuera del AGD ORFEO
</t>
  </si>
  <si>
    <t>9.	A la fecha de la visita se evidenci¿ que la usuaria Ivonne Castillo estaba asignada a la Coordinaci¿n Normativa y Jur¿dica en el AGD ORFEO, no obstante a la fecha de la visita se evidenci¿ que desarrolla sus actividades como Secretar¿a de Despacho. De otra parte el usuario Jos¿ Vicente P¿rez Orteg¿n quien ya est¿ desvinculado de la Alcald¿a Local contaba con documentaci¿n pendiente de tr¿mite en ORFEO. Esto muestra la falta de actualizaci¿n a las bases de datos que asocian a una persona con una determinada dependencia en casos de traslado o reubicaci¿n. Esto evidencia el posible incumplimiento del literal f) del art¿culo 11 de la Resoluci¿n 177 de 2007 que establece ¿Se solicitar¿ al Centro de Servicios Inform¿ticos - CSI de la Secretar¿a de Gobierno Distrital, la verificaci¿n y recibo de los recursos inform¿ticos a cargo, en caso de presentarse desvinculaci¿n o traslado. En este caso se entregar¿ igualmente al Jefe Inmediato o Coordinador de la funci¿n, actividad o servicio, una relaci¿n con los nombres de los archivos manejados y del software misional que reside en el equipo que ten¿a a cargo.¿
Lo anterior da cuenta de un posible incumplimiento de las obligaciones que como servidores tienen de entregar los temas completamente tramitados al momento de desvincularse de la Alcald¿a Local o ser trasladados. Tambi¿n evidencia falta de control al cumplimiento de las obligaciones por parte de los apoyos a la supervisi¿n y del mismo Alcalde Local.</t>
  </si>
  <si>
    <t>10.	Al momento de la vista se evidenciaron los siguientes radicados pendientes de tr¿mite en la cuenta de ORFEO de la Secretaria del Despacho:
A¿o	Memorandos
2011	
2012 	4
2013 	2
Total general 	74
Tipo de documento 	Cantidad
Entradas	77
Oficios	25</t>
  </si>
  <si>
    <t>11.	Se encontr¿ que es com¿n la pr¿ctica de que algunas personas no cuenten con usuario de ORFEO y tramiten sus comunicaciones a trav¿s de usuarios de ORFEO ya creados. Tambi¿n Existe la pr¿ctica de radicar ORFEOS en nombre de otros funcionarios que teniendo la herramienta, no la usan y piden el favor a quienes s¿ saben usarla tal como se vio en el caso de los radicados 20130320003413, 20130320003083, 20120300020761, 20130330025321.</t>
  </si>
  <si>
    <t>12.	Se evidenci¿ que bajo un mismo n¿mero de radicado, el 20130300066891, se remite una comunicaci¿n a diferentes entidades, aspecto que puede representar riesgo para la Alcald¿a Local en tanto que al momento de responder, la respuesta estar¿ asociada a un mismo n¿mero y puede afectar la trazabilidad y la asociaci¿n de las mismas en el AGD</t>
  </si>
  <si>
    <t>13.	Se evidenci¿ una comunicaci¿n de Derecho de Petici¿n bajo el No de ORFEO 20130320049692 con dos respuestas que a la fecha de la visita aparece en tr¿mite en la bandeja de ORFEO del Alcalde Local.</t>
  </si>
  <si>
    <t>Analisis de riesgos por procesos</t>
  </si>
  <si>
    <t>1. El desarrollo de los procesos policivos (obras, establecimientos de comercio y otros contravenciones) adelantados por el(a) alcalde(sa) local no se ejecuten dentro de los t¿rminos establecidos por carencia de recurso humano profesional para ejecutar los procesos en los tiempos establecidos que puede conllevar a la dilaci¿n y caducidad de t¿rminos de los procesos.</t>
  </si>
  <si>
    <t>2013-11-19</t>
  </si>
  <si>
    <t>2. Agresi¿n verbal y/o f¿sica a los servidores p¿blicos de la alcald¿a local en la ejecuci¿n de operativos y diligencias.</t>
  </si>
  <si>
    <t>2013-12-16</t>
  </si>
  <si>
    <t>Agenciamiento de la Politica Publica</t>
  </si>
  <si>
    <t>3.  - Incorrecta articulaci¿n entre las agendas de pol¿tica p¿blica Distritales y Locales debido a que el CLG no se reconoce como instancia efectiva para la ejecuci¿n de pol¿ticas p¿blicas lo que genera carencia de respuestas integrales a la problem¿tica de la localidad.
 -  Que no se realice correctamente la territorializaci¿n de la inversi¿n por parte los sectores en funci¿n de la naturaleza del bien o servicio y de la poblaci¿n porque no se cuenta con los instrumentos, sistemas de informaci¿n y recursos necesarios para realizar la territorializaci¿n lo que genera carencia de respuestas integrales a la problem¿tica de la localidad.</t>
  </si>
  <si>
    <t>2014-06-30</t>
  </si>
  <si>
    <t>4. Desarrollo de los procedimientos de las UMC sin los est¿ndares de calidad requeridos por falta de espacios f¿sicos adecuados para la atenci¿n, sensibilizaci¿n y mediaci¿n que causa un deterioro de la imagen de las UMC.</t>
  </si>
  <si>
    <t>2013-11-06</t>
  </si>
  <si>
    <t>2013-11-15</t>
  </si>
  <si>
    <t>5. No se puede registrar de manera adecuada la informaci¿n del desarrollo de los procedimientos en el aplicativo SIJC</t>
  </si>
  <si>
    <t>2013-11-05</t>
  </si>
  <si>
    <t>Gestion y Adquisición de Recursos Local</t>
  </si>
  <si>
    <t>6. No generaci¿n de informes financieros oportunos y confiables</t>
  </si>
  <si>
    <t>2013-11-22</t>
  </si>
  <si>
    <t>7. Fallas en los servicios tecnol¿gicos de la alcald¿a</t>
  </si>
  <si>
    <t>2013-11-08</t>
  </si>
  <si>
    <t>8. Las instalaciones son inadecuadas para los equipos activos y equipos de computo</t>
  </si>
  <si>
    <t>2013-11-30</t>
  </si>
  <si>
    <t>9. Obsolescencia de los equipos de computo asignados a los servidores de la alcald¿a</t>
  </si>
  <si>
    <t>Auditorías internas a los subsistemas</t>
  </si>
  <si>
    <t>Al verificar el conocimiento que tienen el equipo de trabajo del marco estrat¿gico de la Secretar¿a de Gobierno de la Alcald¿a Local de Santa fe, se evidenci¿ un bajo nivel de conocimiento de la misi¿n, visi¿n, los objetivos estrat¿gicos de la entidad ni a cual aportan ellos en desarrollo de sus actividades. Lo anterior representa una no conformidad con el numeral 5.1 Compromiso de la Direcci¿n a) de la NTCGP 1000</t>
  </si>
  <si>
    <t>2013-10-23</t>
  </si>
  <si>
    <t>Al solicitar las evidencias al Alcalde Local sobre la comunicaci¿n al equipo de trabajo sobre la importancia del cumplimiento de los requisitos legales y del cliente, se evidenci¿ la existencia del radicado 20130320005553. Aunque el conocimiento sobre la documentaci¿n soporte reposa en la referente de calidad, aspecto que evidencia fallas en el conocimiento del Alcalde sobre las evidencias que pueden demostrar el cumplimiento de tales requisitos. Lo anterior representa una no conformidad con el numeral 5.1 Compromiso de la Direccion a) de la NTCGP 1000</t>
  </si>
  <si>
    <t>Se solicit¿ la evidencia de la m¿s reciente revisi¿n por la direcci¿n encontrando un acta del 07 de octubre de 2013 en la que se abordan aspectos mencionados en el numeral 5.6.2 de la NTCGP 1000, no obstante al requerir las evidencias de las decisiones derivadas del mismo no se evidenci¿ la toma puntual de decisiones que sean f¿cilmente trazables documentalmente. Lo anterior representa una no conformidad con el numeral 5.6.3 Resultados de la revisi¿n de la NTCGP 1000</t>
  </si>
  <si>
    <t>En verificaci¿n de las matrices de riesgos asociadas a los procesos de la Alcald¿a Local se evidenci¿ que a la fecha de la auditor¿a: 
- La correspondiente al proceso Gesti¿n para la convivencia y la seguridad integral no tiene identificados controles para los riesgos. De ellos hay cuatro riesgos valorados como inaceptables, los cuales tampoco tienen controles. 
- Al verificar los controles asociados a los riesgos del proceso Agenciamiento de la pol¿tica p¿blica se encontr¿ que de los seis riesgos identificados la mitad de ellos no cuentan con identificaci¿n de controles con los cuales se pretenda gestionarlos. 
- La matriz de riesgos relacionada con Agenciamiento de Pol¿tica P¿blica no tiene identificados los controles para sus riesgos.
- Al azar se escogi¿ a una persona que participaba en el proceso Gesti¿n normativa y jur¿dica y se le pregunt¿ por un riesgo que afectara el cumplimiento de los objetivos de dicho proceso. La persona identific¿ el riegos de alta rotaci¿n en el personal. Este riesgo no estaba identificado dentro de la respectiva matriz de riesgos.
- Las matrices no incluyen el riesgo de corrupci¿n en cumplimiento de lo establecido en la ley 1174 de 2011 estatuto anti corrupci¿n. Se argument¿ que dicho riesgo se hab¿a identificado en la matriz de riesgos del proceso Gesti¿n normativa y jur¿dica local como ¿Indebida demora en la actuaci¿n del proceso para beneficio de los servidores de la alcald¿a o terceros¿, dicho riesgo est¿ valorado como moderado, aspecto que reafirma el incumplimiento de la citada ley. 
- Para la matriz del proceso Gesti¿n y adquisici¿n de recursos, se verific¿ la aplicaci¿n de controles encontrando que el control de Cronograma para cada contrato se incumpli¿ LP-04-2012 en lo relacionado con el desarrollo de la visita t¿cnica mencionada en el mismo. 
- No se suministr¿ evidencia de la aplicaci¿n del control Inducci¿n en el puesto de trabajo. 
En general las personas de los diferentes procesos evaluados no tienen conocimiento de los riesgos consignados en las matrices y aquellos que mencionan como posibles riesgos que afecten la prestaci¿n adecuada del servicio no est¿n identificadas en sus respectivas matrices. 
Lo anterior representa una no conformidad con el numeral 7.5.1 Control de la producci¿n y de la prestaci¿n del servicio g) de la NTCGP 1000</t>
  </si>
  <si>
    <t>2013-10-31</t>
  </si>
  <si>
    <t>Para el riesgo P¿rdida de documentaci¿n de los expedientes de contrataci¿n, identificado dentro del proceso Gesti¿n y adquisici¿n de recursos, se verific¿ el cumplimiento de la aplicaci¿n del control de Escaner de la documentaci¿n de los contratos, para los contratos 027, 030, 059 y 112 encontrando que el mismo tuvo que descontinuarse debido a que el escaner se da¿¿ y al momento de la auditor¿a el mismo no hab¿a sido repuesto. 
De otra parte para este riesgo se evidenci¿ que el control no fue aplicado en el caso de los contratos 059-2013 y 112-2012. 
Lo anterior representa una no conformidad con el numeral 6.3 Infraestructura b) de la NTCGP 1000</t>
  </si>
  <si>
    <t>2013-11-07</t>
  </si>
  <si>
    <t>Al indagar con el Alcalde Local, el Coordinador Administrativo y la Coordinadora Normativa sobre la herramienta con la que se mide el desempe¿o de los procesos, la respuesta fue heterog¿nea mencionado las evaluaciones de desempe¿o, el Plan Operativo Anual de inversiones (POAI), el seguimiento de metas a trav¿s del aplicativo SEGPLAN entre otros. Lo anterior permite evidenciar la ausencia de criterio unificado sobre la herramienta Plan de Gesti¿n. Lo anterior representa una no conformidad con el numeral 8.2.3 Seguimiento y Medici¿n de los Procesos de la NTCGP 1000</t>
  </si>
  <si>
    <t>Gestion para el Desarrollo Local</t>
  </si>
  <si>
    <t>Al verificar el seguimiento al plan de gesti¿n del proceso , se evidenci¿ que, aunque se realiza el reporte trimestral, no se ha hecho un an¿lisis de causas y el respectivo plan de mejora, frente a las metas que no cumplen con el avance establecido cada trimestre. Lo anterior representa una no conformidad con el numeral 8.2.3 Seguimiento y Medici¿n de los Procesos de la NTCGP 1000</t>
  </si>
  <si>
    <t>Revisando la correcta ejecuci¿n del procedimiento 1D-SAC-P1 ¿Tr¿mite a los requerimientos presentados por la ciudadan¿a¿, del proceso de servicio de atenci¿n a la ciudadan¿a, se indag¿ por la matriz de seguimiento a requerimientos  tramitados formato 1D-SAC-F12. 
La persona entrevistada asegur¿ que no se diligencia desde el mes de julio debido a que la persona que lo hac¿a ya no labora en le alcald¿a local. Esto incumple con lo establecido en la actividad 17 del procedimiento. 
Lo anterior representa una no conformidad con el numeral 7.5.1. Control de la producci¿n y de la Prestaci¿n del Servicio e) de la NTCGP 1000</t>
  </si>
  <si>
    <t>En las entrevistas realizadas durante la auditor¿a, se evidenci¿ que los servidores p¿blicos del proceso Gesti¿n Normativa y Jur¿dica de la alcald¿a local tienen claro que riesgos se pueden presentar en sus procesos, pero no conocen la matriz de riesgos ni cuales de los riesgos est¿n en mayor probabilidad de ocurrir o si ya se ha establecido alg¿n plan de tratamiento para controlarlos. Lo anterior representa una no conformidad con el numeral 7.5.1. Control de la producci¿n y de la Prestaci¿n del Servicio g) de la NTCGP 1000</t>
  </si>
  <si>
    <t>En la visita a la Oficina de Obras de la Alcald¿a Local se evidenci¿ que algunas personas del equipo de trabajo no tienen claros los objetivos estrat¿gicos o de calidad a los que aportan, as¿ como de la caracterizaci¿n del proceso. Lo anterior representa una no conformidad con el numeral 6.2.2 d) Competencia, formaci¿n y toma de conciencia de la NTCGP 1000</t>
  </si>
  <si>
    <t>Durante la auditor¿a de calidad al proceso de Gesti¿n normativa y jur¿dica, se solicitaron varios  expedientes para corroborar el cumplimiento de lo establecido en el procedimiento 2L-GNJ-P2 ¿Tr¿mite para control de establecimientos de comercio¿.  En los expedientes con n¿mero de radicado 38061 y 37727, se evidenci¿ que no hab¿an sido cargadas todas las actuaciones administrativas en el aplicativo SI ¿ ACTUA Lo anterior representa una no conformidad con el numeral 7.5.3 Identificaci¿n y Trazabilidad de la NTCGP 1000</t>
  </si>
  <si>
    <t>En cuanto al aplicativo que se est¿ utilizando  para esta ¿rea SI-ACTUA se encontraba con fallas, pero informa que lo est¿n actualizando, como respuesta a un compromiso adquirido con la  Veedur¿a Distrital. Lo anterior representa una no conformidad con el numeral 6.3 Infraestructura b) de la NTCGP 1000</t>
  </si>
  <si>
    <t>No hay claridad en cuanto al seguimiento de los planes de mejora, ni el procedimiento para su seguimiento. Lo anterior representa una no conformidad con el numeral 8.3 Control Del Producto Y/O Servicio No Conforme, d) de la NTCGP 1000</t>
  </si>
  <si>
    <t>En la visita a la Unidad de Mediaci¿n y Conciliaci¿n de la Alcald¿a Local se evidenci¿ que algunas personas del equipo de trabajo no tienen claros los objetivos estrat¿gicos o de calidad a los que aportan, as¿ como de la caracterizaci¿n del proceso Lo anterior representa una no conformidad con el numeral 6.2.2 Competencia, formaci¿n y toma de conciencia. d) de la NTCGP 1000</t>
  </si>
  <si>
    <t>No hay claridad en cuanto al seguimiento de los planes de mejora, ni el procedimiento para su seguimiento ni en la UMC ni en la Secretar¿a General de Inspecciones. Lo anterior representa una no conformidad con el numeral  8.3 Control Del Producto Y/O Servicio No Conforme, d) de la NTCGP 1000</t>
  </si>
  <si>
    <t xml:space="preserve">Las instalaciones no est¿n adecuadas para el funcionamiento existe una recepci¿n se encuentra en el primer piso a la entrada, pero no cuenta con una persona que la atienda por traslado de la funcionaria y la oficina de atenci¿n se encuentra en el segundo piso, no cuenta la oficina del coordinador con luz, tiene goteras. Se remiti¿ memorando No. 20130350000243 al coordinador administrativo y financiero para el arreglo de estas instalaciones con respuesta  de radicado No. 20130320006013. Lo anterior representa una no conformidad con el numeral 6.3 Infraestructura y 6.4 Ambiente de trabajo de la NTCGP 1000  </t>
  </si>
  <si>
    <t xml:space="preserve">Se informa a esta auditor¿a que no se brinda el transporte necesario para realizar sus actividades en campo.  
El aplicativo que se est¿ utilizando  para esta ¿rea Sistema Integral De Justicia Comunitaria (SIJC) no se est¿ usando y presenta deficiencias 
Lo anterior representa una no conformidad con el numeral 6.3 Infraestructura y 6.4 Ambiente de trabajo de la NTCGP 1000  </t>
  </si>
  <si>
    <t>El archivo que se observa de la UMC, se encuentra en un cuarto donde existe goteras, al interior del mismo se observaron cajas de archivo hist¿rico encima de una mesa que  tiene al lado materiales para trabajo de capacitaci¿n. 
Se observ¿ un archivador donde se encuentra las pertenencias de los vigilantes para cambiarse de ropa cerca de otra mesa donde se encuentra una estufa para preparar los tintos, porque no utiliza la cocina que existe en el primer piso. 
Lo anterior expone al riesgo de p¿rdida del archivo del proceso. 
Lo anterior representa una no conformidad con el numeral 4.2.4 Control de registros de la NTCGP 1000.</t>
  </si>
  <si>
    <t>INSPECCIONES DE POLICIA ¿ SECRETAR¿A GENERAL 
Se evidenci¿ que algunas personas del equipo de trabajo no tienen claros los objetivos estrat¿gicos o de calidad a los que aportan, as¿ como de la caracterizaci¿n del proceso. 
Lo anterior representa una no conformidad con el numeral 6.2.2 Competencia, formaci¿n y toma de conciencia. d) de la NTCGP 1000</t>
  </si>
  <si>
    <t>En cuanto al aplicativo que se est¿ utilizando  para esta ¿rea SI-ACTUA se encontraba con fallas, pero se inform¿ que lo est¿n actualizando, adem¿s se presenta fallas para la repartici¿n de expedientes. Lo anterior representa una no conformidad con el numeral 6.3 Infraestructura b) de la NTCGP 1000</t>
  </si>
  <si>
    <t>2013-10-25</t>
  </si>
  <si>
    <t>El archivo que se observa en las inspecciones, no se presenta de manera adecuada el archivo de expedientes del procedimiento, no cumple con la norma documental para archivo, muestra un acumulo de expedientes alrededor de  1000 folios,  que se encuentra para archivo definitivo dentro de un gancho que no los alcanza a grapar con unas cartulinas deterioradas.  Lo anterior representa una no conformidad con el numeral 4.2.4 Control de  registros de la NTCGP 1000.</t>
  </si>
  <si>
    <t>Gestion de Comunicaciones</t>
  </si>
  <si>
    <t>En desarrollo de la verificaci¿n se evidenci¿ un bajo nivel de apropiaci¿n e interiorizaci¿n de la plataforma estrat¿gica de la entidad en el proceso de Gesti¿n de Comunicaciones. Lo anterior representa una no conformidad con el numeral 6.2.2 Competencia, formaci¿n y toma de conciencia. d) de la NTCGP 1000</t>
  </si>
  <si>
    <t>Se evidenci¿ uso de piezas comunicativas con la plataforma estrat¿gica de la entidad desactualizada. Es decir, la misi¿n, visi¿n y objetivos estrat¿gicos anteriores. Lo anterior representa una no conformidad con el numeral 4.2.4 Control de Registros de la NTCGP 1000</t>
  </si>
  <si>
    <t>Al validar el cumplimiento de lo establecido en la tabla de retenci¿n documental del proceso se encontr¿ que a la fecha de la auditor¿a no se hab¿a documentado el informe semestral  sobre el Consejo Local de Gobierno, no obstante el mismo debi¿ cumplirse a mas tardar en el mes de julio de 2013. Lo anterior representa una no conformidad con el numeral 4.2.4 Control de Registros de la NTCGP 1000</t>
  </si>
  <si>
    <t>Al verificar el cumplimiento del Plan de Acci¿n suministrado se analizaron los indicadores propuestos para medir el mismo, encontrando que los mismos proponen variables de dif¿cil medici¿n tales como ¿Articulaci¿n de los planes de trabajo realizado /  Articulaci¿n de los planes de trabajo programados¿. No se suministr¿ evidencia de la aplicaci¿n de tales indicadores al momento de la auditor¿a. Lo anterior representa una no conformidad con el numeral 7.1 Planificaci¿n de la realizaci¿n del producto o prestaci¿n del servicio c) y d) de la NTCGP 1000</t>
  </si>
  <si>
    <t>2014-03-31</t>
  </si>
  <si>
    <t>Se evidenci¿ que el contenido del Plan de Acci¿n 2013 suministrado no coincide con lo establecido en la Pol¿tica 10 del procedimiento 2L-APP-P1 Funcionamiento del Consejo Local de Gobierno. Lo anterior representa una no conformidad con el numeral 7.1 Planificaci¿n de la realizaci¿n del producto o prestaci¿n del servicio d) de la NTCGP 1000</t>
  </si>
  <si>
    <t>Al verificar el cumplimiento de lo establecido en el  procedimiento 2L-APP-P1 Funcionamiento del Consejo Local de Gobierno no se suministr¿ evidencia de la ejecuci¿n de las actividades 13 y 14 del mismo, en tanto que el registro de la actividad 1 se incluye en el registro de la actividad 3, esto es, la agenda se env¿a incluida dentro de la comunicaci¿n de convocatoria. Lo anterior representa una no conformidad con el numeral 7.1 Planificaci¿n de la realizaci¿n del producto o prestaci¿n del servicio d) de la NTCGP 1000</t>
  </si>
  <si>
    <t>Se valid¿ la correspondencia entre la caracterizaci¿n del proceso GAR para una compra misional, relacionada con el contrato 247/2012 ¿Hobis y Famis¿ encontrando que si bien el mismo se encontraba el en plan de contrataci¿n, no se cuenta con controles previos de validaci¿n para la prestaci¿n del servicio. Lo anterior representa una no conformidad con el numeral 7.5.2 Validaci¿n de los procesos de la producci¿n y de la prestaci¿n de servicios de la NTCGP 1000</t>
  </si>
  <si>
    <t>En la verificaci?n sobre el aseguramiento de recursos para la adecuada prestaci?n del servicio se menciona que depende de la programaci?n y re programaci?n del PAC, as? mismo se evidenci? que el memorando de reprogramaci?n del PAC del mes de junio de 2013 suministrado como evidencia fue remitido por la Contadora de la Alcald?a Local y no por el Coordinador Administrativo Esto ¿ltimo incumple la actividad 4 del capitulo 2 Instrucciones ¿Re programaci¿n Mensual del PAC¿ del Instructivo Programaci¿n y Reprogramaci¿n del PAC Local 2L-GAR- I2. Lo anterior representa una no conformidad con el numeral 6.1 b) Provisi?n de Recursos de la NTCGP 1000</t>
  </si>
  <si>
    <t>2013-12-13</t>
  </si>
  <si>
    <t>Al validar el cumplimiento de la Tabla de Retenci¿n Documental del proceso se mencion¿ por parte del l¿der del equipo de contrataci¿n que el orden de los documentos all¿ mencionado difiere del orden de las actividades descritas en el procedimiento 2L-GAR-P1. Lo anterior representa una no conformidad con el numeral 4.2.1 Gesti¿n Documental d) de la NTCGP 1000</t>
  </si>
  <si>
    <t xml:space="preserve">Al verificar el cumplimiento de la Tabla de Retenci¿n Documental del proceso se evidencia que para los contratos 027 y 030 de 2013  los documentos de las carpetas no cumplen con el orden en las TRD.  Lo anterior representa una no conformidad con el numeral 4.2.4 Control de Registros de la NTCGP 1000 </t>
  </si>
  <si>
    <t>En el ¿rea de archivo no se cuenta con equipo de c¿mputo adecuado, el cual no funcion¿ durante la auditoria,  
El sitio asignado tiene presencia de goteras que exponen a los archivos f¿sicos al riesgo de deterioro o p¿rdida,  
Se evidenci¿ una herramienta de conservaci¿n de la planoteca la cual no est¿ siendo utilizada, aspecto que al momento de la visita permiti¿ evidenciar el deterioro de los mapas, algunos de los cuales son de propiedad del cliente. 
Se observ¿ que para tener acceso a la bodega del almac¿n se debe atravesar las instalaciones del archivo, aspecto que incide en su conservaci¿n al ser un sitio de tr¿nsito.  
Lo anterior representa una no conformidad con el numeral  6.3 Infraestructura  y 6.4 Ambiente de trabajo  de la NTCGP 1000</t>
  </si>
  <si>
    <t>Al azar se seleccionaron los contratos de prestaci¿n de servicios 16, 17, 29, y 36 de 2013 para verificar la idoneidad de las personas en relaci¿n con su educaci¿n, formaci¿n, experiencia y habilidades encontrando que desde la Direcci¿n de Gesti¿n Humana se interpreta la Formaci¿n como Educaci¿n, no se documentan los mecanismos de verificaci¿n de habilidades aplicados para los contratistas de la Alcald¿a Local. Lo anterior representa una no conformidad con el numeral. 6.2.2. e) Competencia, Formaci¿n y Toma de Conciencia de la NTCGP 1000</t>
  </si>
  <si>
    <t>Se evidenci¿, por manifestaci¿n de las personas que intervienen en el proceso, que la operaci¿n del mismo se ve afectada por frecuentes ca¿das del sistema SI-CAPITAL, as¿ como la ausencia de escaner para la salvaguarda de expedientes documentales. Lo anterior representa una no conformidad con el numeral  6.3 Infraestructura de la NTCGP 1000</t>
  </si>
  <si>
    <t>Auditorias externas a los subsistemas</t>
  </si>
  <si>
    <t>1. Se evidencia en la Matriz de riesgos del proceso Gesti¿n y Adquisici¿n de Recursos del 13/06/2013 con versi¿n 3, que para cada riesgo se identifica una sola causa ra¿z. Esta acci¿n no es conforme al requisito 8.5.3 a), el cual expresa ¿determinar las no conformidades potenciales y sus causas¿.</t>
  </si>
  <si>
    <t>2013-12-17</t>
  </si>
  <si>
    <t>2014-04-09</t>
  </si>
  <si>
    <t xml:space="preserve">1.Si bien se cuenta con un documento de pol¿tica contable, esta: 
a.No cuenta con un glosario que permita comprender conceptos como ¿Transacciones autom¿ticas¿, ¿Transacciones manuales¿ entre otras. 
b.No menciona el plazo en que las transacciones, hechos y operaciones realizadas en cualquier dependencia del FDL sean oportunas y debidamente informadas al ¿rea contable.  
c.No establece los documentos soportes id¿neos estandarizados por la entidad para los registros contables. 
d.No establece niveles de autoridad y responsabilidad de las etapas del proceso contable, en la pol¿tica existente se define la responsabilidad en las etapas del proceso contable sin hacer menci¿n de los niveles de autoridad sobre el mismo. 
e.Establece en el numeral tercero (3) que cada ¿transacci¿n manual¿ debe ir acompa¿ada de soportes, aspecto que contraviene lo mencionado en el procedimiento de gesti¿n documental, en el entendido de que los soportes de las transacciones contables deben reposar en las carpetas de origen. 
f.Establece que la informaci¿n contable se conserva en medio f¿sico y/o magn¿tico, lo que puede generar divergencia de criterios al momento de operar el proceso contable en cada FDL. 
g.Establece aspectos generales de la operaci¿n del proceso contable, llama la atenci¿n que tambi¿n mencione aspectos puntuales operativos que deber¿an ser parte de un cronograma de actividades de contabilidad o de los procedimientos. 
h.En el contenido del ¿cronograma de actividades de contabilidad¿, deber¿a estandarizar tanto para la calidad y cantidad de informaci¿n como para el plazo y los proveedores de la misma, sin que dependa de actos administrativos locales que originen disparidad de apreciaciones. 
i.Contiene imprecisiones que requieren de ajuste en el entendido de que la misma menciona  Alcald¿as menores  cuando el Decreto 539 de 2006 establece claramente que se trata de Alcald¿as Locales. </t>
  </si>
  <si>
    <t>2014-03-05</t>
  </si>
  <si>
    <t>2014-12-31</t>
  </si>
  <si>
    <t>2.	Los procedimientos e instructivos del proceso contable no son claros, no definen las ¿reas que deben reportar informaci¿n al ¿rea contable, la clase de informaci¿n, los plazos, no precisan los documentos id¿neos para cada uno de los tipos de registros contables y para la realizaci¿n de las conciliaciones  no establecen formatos y dem¿s informaci¿n que el ¿rea requiere para mantener informaci¿n financiera confiable de conformidad con las normas y principios contables.</t>
  </si>
  <si>
    <t>3.	La tabla de retenci¿n documental est¿ desactualizada y adem¿s se incluyen documentos que deben hacer parte de la TRD del ¿rea en que se producen, aspecto que pone en riesgo de generar duplicidad de informaci¿n, contraviniendo las pol¿ticas de austeridad del gasto (cero papel) y las propias de archivo y conservaci¿n de documentos.</t>
  </si>
  <si>
    <t>4.	Sistemas de informaci¿n no integrados al sistema contable (SI ACTUA ¿ SICO- SIPROJ), que no generan reportes de informaci¿n confiable y oportuna al ¿rea y ausencia de sistemas de informaci¿n en otros casos (proceso de contrataci¿n - SISCO) que contribuyan a minimizar los desgastes administrativos y garanticen la oportunidad y confiabilidad de la informaci¿n. Al respecto vale mencionar que se generaliz¿ como procedimiento en la vigencia 2013 la utilizaci¿n de la cuenta 15 ¿INVENTARIOS¿ para el control de los bienes que se adquieren con recursos de inversi¿n tales  como: elementos publicitarios, insumos para el desarrollo del proyecto, incentivos etc, procedimiento que es adoptado en cumplimiento de las normas y conceptos contables y para que el almacenista en cumplimiento de su funci¿n controle y realice los ingresos y salidas de los mismos como requisito para el respectivo pago. Sin embargo, la falta de implementaci¿n del m¿dulo SISCO del aplicativo SI CAPITAL y la integraci¿n de ¿ste a los m¿dulos de almac¿n y contabilidad puede generar saldos de cuentas contables no razonables por falta de informaci¿n detallada y oportuna sobre la ejecuci¿n de los contratos.</t>
  </si>
  <si>
    <t>5.	No hay uniformidad en el ingreso de la informaci¿n en cada uno de los m¿dulos implementados del aplicativo SI Capital, especialmente en el tercero, en los datos para efectos de las retenciones de impuestos y la fecha del contrato, entre otros, situaci¿n que impide que se tenga informaci¿n clara y precisa en el aplicativo contable que permita de manera eficiente mantener estrictos controles sobre la antig¿edad de las diferentes partidas en el balance y su gesti¿n para revisarlas y hacerles seguimiento. As¿ mismo, se observa que en el campo del detalle no se registra informaci¿n suficiente sobre la transacci¿n o el hecho financiero o econ¿mico y el documento, entre otros.</t>
  </si>
  <si>
    <t>6.	No se ha implementado una pol¿tica o mecanismo de actualizaci¿n permanente para los funcionarios involucrados en el proceso contable desde la Direcci¿n de Gesti¿n Humana del nivel central de la SDG.</t>
  </si>
  <si>
    <t>7.	No se cuenta con el cronograma de reporte de informaci¿n contable. Si bien la informaci¿n reportada a los entes de control y otros entes externos se presenta con oportunidad, no se da cumplimiento al numeral 7 del manual de pol¿tica contable 2L-GAR-M2 ¿Los responsables del proceso de F.D.L. cumplen con el cronograma de reporte de informaci¿n contable, establecido mediante acto administrativo por parte del Alcalde Local. De esta forma, se propicia dar cumplimiento a los plazos y requisitos establecidos por la Direcci¿n Distrital de Contabilidad para la presentaci¿n de informaci¿n contable¿.</t>
  </si>
  <si>
    <t>8.	No se ha realizado aval¿o de los inmuebles del FDL en los ¿ltimos 3 a¿os, al respecto se encontr¿ el contrato interadministrativo No 099 del 7 de noviembre de 2013 por valor de $12.000.000 y plazo de ejecuci¿n de 2 meses,  a la fecha de la visita no se encontraron: el acta de inicio, los aval¿os de los inmuebles y los registros contables respectivos,  incumpliendo lo estipulado en el numeral 4.11.6 de la Resoluci¿n 001 de 2001 ¿Las normas t¿cnicas relativas a la valuaci¿n de los activos estipulan que deben revelarse por su valor actual, precio de mercado o valor de realizaci¿n, aplicando aval¿os que incorporen criterios de ubicaci¿n, estado, capacidad productiva, situaci¿n del mercado y grado de negociabilidad de los bienes, entre otros, mediante indicadores de precios espec¿ficos publicados por organismos oficiales o aplicando m¿todos de reconocido valor t¿cnico, siempre que se pondere la relaci¿n costo-beneficio¿ la falta de valuaci¿n de los activos puede generar que las cifras reflejadas en los estados financieros no revelen la realidad econ¿mica. Observaci¿n reiterada.</t>
  </si>
  <si>
    <t>2014-03-10</t>
  </si>
  <si>
    <t>2014-04-30</t>
  </si>
  <si>
    <t>9.	En el informe de la visita verificaci¿n f¿sica de inventarios de los bienes de propiedad de la Alcald¿a Local  de Santa Fe a¿o 2013, qued¿ consignado la p¿rdida por hurto del elemento licuadora industrial con placa 2-06-4002, un televisor LCD de marca Challenger de 42  4230 RSU, c¿mara de video marca SONY modelo HDR-CXV, de los cuales no se registr¿ la salida de almac¿n ni se le da traslado a la cuenta de responsabilidades, incumpliendo lo estipulado en el Numeral 5.5 de la Resoluci¿n 001 de 2001, y el numeral 2.8-117 del Plan General de Contabilidad P¿blica ¿Devengo o causaci¿n. Los hechos financieros, econ¿micos, sociales y ambientales, deben reconocerse en el momento en que sucedan, con independencia del instante en que se produzca la corriente de efectivo o del equivalente que se deriva de estos. El reconocimiento se efectuar¿ cuando surjan los derechos y obligaciones, o cuando la transacci¿n u operaci¿n originada por el hecho incida en los resultados del per¿odo¿</t>
  </si>
  <si>
    <t>10.	La informaci¿n presentada por almac¿n a contabilidad no es confiable teniendo en cuenta las falencias encontradas por la p¿rdida de elementos no registrados, si bien el almacenista del FDL es proveedor de informaci¿n para el ¿rea contable, ¿el contador es responsable de preparar los requerimientos y ajustes necesarios, conforme a los lineamientos y directrices establecidas a nivel interno y externo por la Direcci¿n Distrital de Contabilidad, la Contadur¿a General de la Naci¿n  y los organismos de control¿, seg¿n lo establecido en el Manual de Pol¿tica Contable Nivel Local  del SIG ¿ 2L-GAR-M2. Lo anterior evidencia que no se cuenta con un efectivo control de inventarios. Subrayado fuera de texto.</t>
  </si>
  <si>
    <t>11.	No se elabora conciliaci¿n de cuentas por pagar, lo que evidencia la falta de control a las retenciones tributarias y dem¿s pasivos, para lo anterior, se debe tener en cuenta el Numeral 4.1 de la Resoluci¿n 357 del 2008, sobre los Controles asociados a las actividades del proceso contable, ¿Comprobar la causaci¿n oportuna y el correcto registro de todas las operaciones llevadas a cabo por el ente p¿blico, incluyendo los valores registrados¿</t>
  </si>
  <si>
    <t>12.	Se encontr¿ que en las causaciones de Arisma SA del d¿a 20 de noviembre de 2013 y  Clean Depot S.A del d¿a 20 de diciembre de 2013 se  practic¿ retenci¿n en la fuente por otros ingresos (compras) a una tarifa de 3,5% incumpliendo lo estipulado en el decreto 2418 de 2013, Articulo 1, par¿grafo transitorio ¿La tarifa a la que se refiere el presente art¿culo ser¿ del uno punto cinco por ciento (1.5%) para los meses de noviembre y diciembre de 2013.</t>
  </si>
  <si>
    <t>13.	Algunos riesgos est¿n enfocados en el funcionamiento del aplicativo contable si capital  y en la informaci¿n que deben suministrar otras ¿reas al proceso contable, aunque estos representen  eventos externos que pueden afectar la informaci¿n contable, no se incluyen riesgos que puedan afectar o impedir el logro de la informaci¿n contable de las acciones que se deban realizar por parte del contador como responsable del control del riesgo contable y de definir el manejo que se debe dar a los hechos, transacciones y operaciones financieras a efectos de conformar los estados contables, lo que incluye las operaciones de almac¿n, registro por valores superiores o inferiores al que corresponde e incorrecta aplicaci¿n de procedimientos, lo anterior, teniendo en cuenta lo establecido en el Manual de pol¿tica contable nivel local 2L-GAR-M2 y el Numeral 2.2 de la resoluci¿n 357 de 2008 ¿la identificaci¿n de riesgos permite conocer los eventos que representan alg¿n grado de amenaza para el cumplimiento de la funci¿n del ¿rea responsable del proceso contable, con efectos desfavorables para sus clientes  y grupos de inter¿s, a partir de los cuales se analizan las causas, los agentes generadores y los efectos que se pueden presentar con su ocurrencia¿</t>
  </si>
  <si>
    <t>14.	Dentro de la pol¿tica contable se menciona la necesidad de la constante actualizaci¿n en normativa contable por parte del equipo de ¿rea de contabilidad. Sin embargo, no se tiene un plan de capacitaciones y actualizaci¿n en materia contable. Observaci¿n reiterada</t>
  </si>
  <si>
    <t>1. La información recolectada en los estudios de casos analizados tanto en el sistema como en los expedientes físicos, permite afirmar que el aplicativo SIACTUA no ha sido incorporada de manera definitiva a la gestión de las actuaciones administrativas, especialmente en cuanto a obras y régimen urbanístico donde no se obtuvo apoyo para realizar la gestión.                                               
2.  La información anterior se amplia con el concepto de utilidad y alcance del instrumento, referido en cada una de las encuestas realizadas  a los funcionarios de la la Alcaldía, así con los problemas, deficiencias y debilidades reportadas. 
5. Se presenta atraso en la incorporación de expedientes al sistema en el campo de obras y régimen urbanístico.</t>
  </si>
  <si>
    <t>2014-04-07</t>
  </si>
  <si>
    <t>2014-05-30</t>
  </si>
  <si>
    <t>3. Persisten dificultades relacionadas con el recurso humano</t>
  </si>
  <si>
    <t>4. Se presenta un porcentaje muy bajo en la restitución del espacio público, a pesar de existen los funcionarios competentes y capacitados para realizar esta gestión.</t>
  </si>
  <si>
    <t>2014-05-31</t>
  </si>
  <si>
    <t>6. La información que el sistema brinda no permite conocer al detalle el estado real de cada uno de los expedientes y no se anexan todos los documentos del proceso al sistema.    7. El aplicativo SIACTUA no cuenta con los soportes de la totalidad de su gestión sobre actuaciones administrativas.                                                                                                                                                                                                                                                                                                  9. No utilizan efectivamente las funcionalidades, parámetros y bondades que ofrece el aplicativo, el uso del mismo se limita a registrar las actividades más relevantes de la actuación por parámetros diversos.</t>
  </si>
  <si>
    <t>8. Persiste una tabla de Excel con la información de las actuaciones administrativas, lo que implica poca confiabilidad en el sistema.       
10. Si bien es cierto, el aplicativo es considerado una herramienta positiva para efectos del registro y conocimiento de lo que ocurre a lo largo de una actuación administrativa, aún no es una herramienta eficiente para el control de la gestión dado que no puede hacer filtros estadísticos ni reportes muy detallados.</t>
  </si>
  <si>
    <t>11. No se evidencia resultados significativos y de impacto en relación al apoyo, fortalecimiento, y vigilancia que debe prestar la Secretaría Distrital de Gobierno.</t>
  </si>
  <si>
    <t xml:space="preserve">Conocimiento del Procedimiento SAC 
&amp;#61656 Se identificó debilidad  de los servidores y contratistas sobre  el conocimiento  del Procedimiento Tramite a los Requerimientos Presentados por la Ciudadanía 1D-SAC-P1 y el Manual de Atención a la Ciudadanía 1D-SAC-M001 contenidos en el SIG de la Secretaria Distrital de Gobierno, si bien conocen la existencia de ellos en la intranet, no demuestran tener un conocimiento a profundidad sobre el tema. </t>
  </si>
  <si>
    <t>2014-07-10</t>
  </si>
  <si>
    <t>2015-06-30</t>
  </si>
  <si>
    <t xml:space="preserve">Defensor del Ciudadano 
&amp;#61656 Es importante desarrollar y aplicar medios de divulgación más eficaces que  generen impacto en la ciudadanía sobre la existencia y funciones del Defensor Ciudadano. </t>
  </si>
  <si>
    <t>2014-08-19</t>
  </si>
  <si>
    <t>2015-03-31</t>
  </si>
  <si>
    <t>&amp;#61656 	Se encontró que además de los procedimientos que soportan la entrega de trámites y servicios al ciudadano y los procedimientos de atención de peticiones, quejas, sugerencias, reclamos y denuncias  establecidos en el SIG, la Alcaldía Local de Santafé no cuenta con mecanismos de control que reflejen el cumplimiento de Políticas que tiendan a mejorar la calidad de los servicios, las buenas relaciones y la confianza con sus Usuarios (Ciudadanos y Ciudadanas), lo anterior según lo establecido en el Articulo segundo, Numeral 4 de la Resolución 200 de 2012  Por la cual se designa el Defensor del Ciudadano en las 20 Alcaldías Locales de Bogotá D.C.Secretaría de Gobierno</t>
  </si>
  <si>
    <t>2014-08-27</t>
  </si>
  <si>
    <t>2014-10-30</t>
  </si>
  <si>
    <t>&amp;#61656 	No se evidencian controles específicos por parte del Defensor de la Ciudadanía que permitan monitorear en forma oportuna el cumplimiento de los términos legales de respuesta, así como  asegurar la trazabilidad de todos los documentos que soportan la respuesta al peticionario.</t>
  </si>
  <si>
    <t>2014-07-01</t>
  </si>
  <si>
    <t>2014-09-15</t>
  </si>
  <si>
    <t xml:space="preserve">Verificación de las respuestas a los requerimientos. 
&amp;#61656 	Se evidenció que en el 93% de los casos no se ha entregado respuesta definitiva al peticionario en las fechas establecidas por la ley, la diferencia del 7% restante  corresponde al requerimiento con radicado No 20130320115332 13/12/2013, al que se le dio respuesta con radicado No 20140330000811 del 07-01/2014. </t>
  </si>
  <si>
    <t>2014-08-25</t>
  </si>
  <si>
    <t>2015-02-28</t>
  </si>
  <si>
    <t>Para los requerimientos radicados con número 20130380011092 del día 08/02/2013 y 20134360254002 del día 26/08-2013 se encontraron repuestas a los peticionarios con fecha 11-04-2014, con los radicados 20140330045391 y 201403300045361, respectivamente, los cuales coinciden con la fecha de la presente visita.</t>
  </si>
  <si>
    <t>Los requerimientos descritos a continuación se verificaron en la oficina de Obras de la Alcaldía Local de Santafé y se evidenció  que ninguno tiene respuesta de fondo al peticionario: 
Radicado SDQS	Radicado ORFEO 
884017	                   20134360016302 
904913	                   20134360036802 
929030	                   20130320020482 
1022973	                   20130320068542 
1064044	                   2013032009352</t>
  </si>
  <si>
    <t>2014-12-22</t>
  </si>
  <si>
    <t>2015-03-16</t>
  </si>
  <si>
    <t>&amp;#61656 	No se evidencia la implementación de controles entre los funcionarios responsables de la atención de las  PQR, el Defensor del Ciudadano, y las diferentes áreas de la Alcaldía Local de Santafé, para responder oportunamente a todos los requerimientos de los ciudadanos y evitar el vencimiento de términos así como controlar la calidad de la respuesta.</t>
  </si>
  <si>
    <t>&amp;#61656 	Se observa que todos los meses se envía a la Alcaldía Local, desde la Oficina de Servicio de Atención a la Ciudadanía del Nivel Central de la Secretaria de Gobierno Distrital, un reporte llamado Matriz de seguimiento el cual contiene    las peticiones, quejas y reclamos interpuestas por la ciudadanía y es utilizado como control al cumplimiento de las respuestas y de la trazabilidad en los aplicativos SDQS y ORFEO, sin embargo se evidencia que la información que contiene y el  seguimiento que se realiza es por periodos mensuales y no acumula información de meses anteriores, lo que hace que hasta allí llegue el control y no se realice el seguimiento adecuado a los requerimientos que quedaron pendientes de respuesta en periodos anteriores,  esta situación sumada a las deficiencias encontradas en los tiempos de respuesta demuestran la ineficacia  de este control.</t>
  </si>
  <si>
    <t xml:space="preserve">RIESGOS ASOCIADOS  
&amp;#61656 	Al verificar la matriz de riesgos  del proceso de Servicio de Atención a la Ciudadanía, se puede observar que el riesgo No. 3  es el único que evidencia un control asociado  para las Alcaldías Locales y se encuentra relacionado con el uso de la Matriz de Seguimiento. </t>
  </si>
  <si>
    <t>&amp;#61656 	Cabe resaltar que los riesgos 1,2 y 4 de la correspondiente matriz del proceso de Servicio de Atención a la Ciudadanía están asociados a la Coordinación del Proceso en el Nivel Central,  sin embargo por la responsabilidad que tiene la Alcaldía Local de generar las respuestas de fondo a los requerimientos ciudadanos, se hace necesario el diseño de una herramienta propia de seguimiento y controles que garanticen  respuestas objetivas, veraces y oportunas a la ciudadanía.</t>
  </si>
  <si>
    <t xml:space="preserve">No se evidencian en la matriz de riesgos los asociados a: 
o	Riesgos operativos, cuando se presenta debilidad en  la definición de los procesos porque no se ha tenido en cuenta la estructura de la Entidad y la articulación entre dependencias. 
o	Riesgos de cumplimiento que se presentan cuando no se responden las solicitudes ciudadanas en los tiempos establecidos por la Ley 1437 de 2011 en su Artículo 14. 
o	Riesgos de tecnología en el evento en que los aplicativos SDQS, ORFEO y SIACTUA,  no estén disponibles en un 100% del tiempo que se requieren para dar respuesta oportuna a los requerimientos de la ciudadanía. </t>
  </si>
  <si>
    <t>2015-05-31</t>
  </si>
  <si>
    <t xml:space="preserve">I.	GENERALIDADES.-   a.	Infraestructura de la Coordinación Normativa y Jurídica, de la Secretaría General   De Inspecciones y de las Inspecciones de Policía 
Las instalaciones de la Secretaria General y de las Inspecciones de Policía se encuentran espacialmente congestionadas por expedientes, en razón a que no se cuenta con un archivo adecuado para la disposición y organización de los asuntos que son de conocimiento de tales dependencias.  </t>
  </si>
  <si>
    <t>2015-04-10</t>
  </si>
  <si>
    <t>2015-04-30</t>
  </si>
  <si>
    <t xml:space="preserve">b.	Sistema de Información de Actuaciones Administrativas y Procesos Policivos - SI-ACTUA 
	Evaluación del aplicativo.-  
	En el curso de la auditoria se pudo evidenciar que:  
&amp;#61485 	Los reportes que arroja el SI-ACTUA carecen de información sobre la fecha de corte. </t>
  </si>
  <si>
    <t>&amp;#61485 	Existe deficiencias en algunos de los formatos preestablecidos, ejemplo de ello es el formato de aviso de notificación que solamente puede ser utilizado para querellas administrativas y no para Despachos Comisorios.</t>
  </si>
  <si>
    <t>2015-01-01</t>
  </si>
  <si>
    <t>&amp;#61485 	El aplicativo no arroja un consolidado de la gestión pre-procesal de la Secretaría General de Inspecciones, en cuanto a conciliaciones programadas, exitosas o fracasadas y tampoco brinda datos estadísticos sobre el total de multas impuestas.</t>
  </si>
  <si>
    <t>&amp;#61485 	El SI-ACTUA presenta inconsistencias en los reportes estadísticos de las actuaciones, lo que dificulta las actividades de medición y seguimiento a la gestión y la generación de información para el análisis y toma de decisiones en el mejoramiento continuo de los procesos que adelanta esa dependencia.</t>
  </si>
  <si>
    <t>2014-08-01</t>
  </si>
  <si>
    <t xml:space="preserve">	Uso del aplicativo por parte de los servidores.-  
Aunque los servidores públicos conocen el manejo del aplicativo SI-ACTUA, se observa que no le están dando un uso adecuado por cuanto no utilizan los formatos como apoyo a los trámites procesales de las actuaciones administrativas, no registran el total de diligencias que obran en los expedientes ni suben la evidencia de los registros documentales  lo que dificulta la trazabilidad de los asuntos que son de conocimiento de las Inspecciones de Policía como de la Coordinación Normativa y Jurídica. </t>
  </si>
  <si>
    <t>2014-10-23</t>
  </si>
  <si>
    <t xml:space="preserve">De acuerdo con la muestra, los siguientes son algunos de los expedientes que no tienen registrado en el aplicativo SI ACTUA el total de actuaciones o diligencias que obran en los mismos:  
Querellas Policivas 
40558, 40708, 40533. 
Comisiones Civiles 
40137, 40138,  
14996, 15007, 
15029, 15438,  
15602, 15645,  
15933, 15940. 
 Querellas de Obras 
37002, 37004, 37006, 37008, 37704, 37705, 37709, 37711, 37714, 37715, 37889, 38097, 38099, 38101, 38940, 40180. 
Querellas de Espacio Público 
31822, 34384, 34693, 34720, 35373, 35375, 35762, 35763, 36198, 37727, 39685, 39711, 39722. </t>
  </si>
  <si>
    <t xml:space="preserve">c.	Gestión documental.-  
No se cumplen normas sobre gestión documental teniendo en cuenta que se encontraron expedientes en los cuales aún se dejan documentos sin firmas  como ejemplo están los expedientes 31822, 34693, 34384 correspondientes a Espacio Público. </t>
  </si>
  <si>
    <t>2014-12-15</t>
  </si>
  <si>
    <t xml:space="preserve">II.	Secretaria General de Inspecciones e Inspecciones de Policía 
a.	Etapa de conciliación.- De acuerdo con los datos registrados en el libro de  Radicación de Querellas Civiles y Contravenciones , entre el 01 de enero y el 27 de mayo de 2014 fueron radicadas en la Secretaría General de Inspecciones 242 actuaciones, de las cuales 137 corresponden a querellas y 105 a contravenciones.  </t>
  </si>
  <si>
    <t>Consultada la carpeta de   Actas de Conciliación 2014 , con 183 folios, se evidenció que de las 137 querellas de la vigencia 2014, ocho (8) fueron desistidas y tan solo seis (6) conciliadas, lo que denota poca efectividad en el proceso de conciliación y una baja contribución en la descongestión de las Inspecciones de Policía, como quiera que en esos despachos se repartió un total de 123 actuaciones administrativas, que corresponde el 89.78% de las querellas que llegaron a la Secretaría General de Inspecciones.</t>
  </si>
  <si>
    <t>2015-04-01</t>
  </si>
  <si>
    <t>Al revisar las actas de conciliación, se evidenció que las audiencias no se surten de acuerdo con lo establecido en el artículo 13 de la Resolución 1578 de 2002 que otorga a la Secretaría General de Inspecciones la facultad de proponer la fórmula que considere más apropiada para solucionar el conflicto cuando las partes no concilien sus diferencias. Se cita como ejemplo las Actas de conciliación obrantes en las actuaciones administrativas 39954 y 40552 de 2014.</t>
  </si>
  <si>
    <t>b.	Reparto de las actuaciones administrativas.- Aunque el reparto de querellas, contravenciones y despachos comisorios se realiza conforme lo establece el artículo 2° de la Resolución 586 de 2004, se evidenció que el Ministerio Público no se hace presente en todas las diligencias. Y aunque se deja constancia de ello en la respectiva acta, no se encontró requerimiento en tal sentido dirigido por la Secretaría General de Inspecciones a la Personería Local. Se cita como ejemplo las actas 707 a 712 obrantes en la carpeta  Actas de Reparto , con 59 folios.</t>
  </si>
  <si>
    <t>c.	Decomiso de mercancías.- De acuerdo con el reporte del aplicativo SI ACTUA, aún se encuentran en trámite un total de 365 actas de incautación del año 2013 y de la presente vigencia  555 que fueron radicadas a corte 27 de mayo.</t>
  </si>
  <si>
    <t xml:space="preserve">De la muestra seleccionada se evidenció que la Secretaría General de Inspecciones no tramita estos asuntos de acuerdo con los lineamientos señalados en el procedimiento  Ocupación Indebida del Espacio Público  2L-GNJ-P14, por las siguientes razones: (i) No se emite el auto de inicio de procedimiento dentro de los 10 días siguientes a la aprehensión de los bienes  (ii) No se notifican al Ministerio Público las decisiones tomadas  (iii) No en todos los casos se genera el reporte  Constancia de Reincidencia  del encartado  (iv) No obra en las diligencias comunicación dirigida al encartado para procurar la notificación personal cuando se conoce su lugar de residencia  y (iv) No se cumple oportunamente la orden de destrucción o donación impuesta en el respectivo auto administrativo. Se cita como ejemplo las siguientes:  
Acta	fecha 
L3-7802	16-06-2012 
L3-7014	07-04-2013 
L3-7542	06 -06-2013 
L3-7832	03-04-2013 
L3-7699	09-08-2013 
L3-9180	11-02-2014 
L3-8993	14-02-2014 
L3-9145	14-02-2014 
L3-9949	06-04-2014 </t>
  </si>
  <si>
    <t>2014-11-05</t>
  </si>
  <si>
    <t>d.	Comisiones civiles.- Según los datos estadísticos que arrojó el aplicativo SI ACTUA, en la Inspección 3C se encuentran en trámite 93 despachos comisorios del año 2013 y anteriores, sin embargo al confrontar la muestra tomada con la información que reposa en los libros de  Devolución a Juzgados  se evidenció que algunos de ellos ya habían sido remitidos al Despacho Comitente por agotamiento del respectivo procedimiento.  
Comisiones civiles devueltas al Comitente 14966, 15007, 15029, 15438 , 15602 , 15844 , 15880 , 15890 
No obstante lo anterior, no se pudo determinar la situación real del total de comisorios solicitados por el equipo auditor, por cuanto no todos fueron ubicados en el citado libro y porque tampoco se aportaron soportes documentales de su devolución al Comitente.</t>
  </si>
  <si>
    <t>2014-10-07</t>
  </si>
  <si>
    <t>En cuanto a la vigencia 2014, se evidenció que se encontraban pendientes de trámite 107 diligencias, de las cuales 78 no contaban con auto de avóquese ni de fijación de diligencia.</t>
  </si>
  <si>
    <t>Se observó que en las comisiones civiles 16515, 16516 y 16746 el promedio de tiempo para la programación de la diligencia fue de diez (10) días hábiles, contrario a lo señalado en el artículo 8° de la Resolución 1578 de 2002, que  establece que Para la  fijación de fechas de práctica de diligencias, el Inspector dispondrá de un término máximo de tres (3) días a partir del día siguiente al reparto.</t>
  </si>
  <si>
    <t xml:space="preserve">Se evidenció que la Inspección 3C no practica las diligencias dentro de los 30 días calendario siguientes al recibo del despacho comisorio, pese a tratarse de una disposición que está consagrada en el artículo 10 del Acuerdo 29 de 1993. Se cita como ejemplo las siguientes comisiones civiles, que aún se encuentran en trámite: 
Comisión civil	Fecha de remisión al comisionado 
16300	23-08-201, 16320	16-09-201, 16476	24-01-201, 16515	21-02-201, 16516	21-02-2014 
Particularmente llama la atención la comisión civil 16320, por cuanto la diligencia de secuestro ha sido suspendida en tres (3) oportunidades por solicitud de la apoderada judicial de la parte querellante, Doctora BARBARA LIA HENAO TORRES, debido a que se le cruzaba con  otra diligencia  que le había sido programada con anterioridad por otro despacho. Idéntica situación se presenta con el comisorio 16515 en el que se ha suspendido dos (2) veces la diligencia de secuestro de vehículo por petición de dicha abogada y por la misma causa  sin que el Inspector se pronuncie al respecto. </t>
  </si>
  <si>
    <t>e.	Querellas policivas.-  
De acuerdo con los datos registrados en el aplicativo SI ACTÚA, a corte 27 de mayo de 2014 estaban activas un total de 720 actuaciones administrativas, las cuales se discriminan por despacho de la siguiente manera:  
Vigencia 2013 y anteriores 
Inspeccion        Querellas      Contravenciones 
3A	          125	             195 
3C	             32	               85 
3D 	             75	                 4 
Vigencia 2014 
Inspección   Querellas	Contravenciones 
3A                 47	38 
3C                  20	20 
3D                  40	40</t>
  </si>
  <si>
    <t>2014-10-31</t>
  </si>
  <si>
    <t>2015-09-08</t>
  </si>
  <si>
    <t xml:space="preserve"> De ese universo, los casos más críticos por mora e inactividad procesal evidenciados en el aplicativo SI ACTÚA son los siguientes: 
QUERELLAS POLICIVAS 
SI ACTUA	EXP.	FECHA RADICACIÓN 	ULTIMA ACTUACIÓN 
38615	15612	21/08/2013	                        03/12/2013 
34968	14726	07/03/2012	                        05/12/2013 
36804	15133	21/10/2012	                        05/12/2013 
37489	15318	15/02/2013	                        18/11/2013 
37733	15381	20/03/2013	                        18/11/2013 
38249	15517	25/06/2013	                        18/11/2013 
35212	14789	11/04/2012	                        26/06/2012 
37968	15456	09/05/2013	                        18/11/2013 
36689	15093	01/10/2012	                        08/08/2013 
37575	15345	27/02/2013	                        28/08/2013 
38661	155616	23/08/2013	                        06/11/2013 
38306	15535	03/07/2013	                        25/11/2013 
31622	14270	14/06/2011	                        15/01/2013 
36489	15016	28/08/2012	                        10/10/2013 
37629	15362	07/03/2013	                         26/09/2013 
38665	15618	26/08/2013	                        19/12/2013 
37616	15359	06/03/2013	                        20/12/2013 
38726	15630	03/09/2013	                        18/11/2013 
CONTRAVENCIONES POLICIVAS 
SI ACTUA	EXP.	FECHA RADICACIÓN 	ULTIMA ACTUACIÓN 
20198	12540	31/03/2009	                      18/03/2013 
20179	12526	31/03/2009	                      20/12/2011 
20330	12573	21/04/2009	                      27/01/2014 
21269	12703	26/06/2009	                      02/08/2012 
22251	12768	28/07/2009	                      30/12/2013 
22665	12829	20/08/2009	                      31/10/2012 
26526	13299	23/03/2010	                      29/12/2012 
26642	13375	30/03/2010	                      20/05/2010 
27315	13542	11/05/2010	                     19/02/2013 
27577	13515	11/05/2010	                     21/11/2012 
27790	13589	09/06/2010	                    18/02/2013 
28340	13752	27/08/2010	                     02/04/2011 
30721	14203	24/01/2011	                     27/12/2012 
31622	14720	14/06/2011	                    15/01/2013 
32784	14386	23/08/2011	                    07/02/2013 
34320	14558	07/12/2011	                    27/02/2013 
34441	14629	18/01/2012	                    04/09/2012 </t>
  </si>
  <si>
    <t>2014-08-05</t>
  </si>
  <si>
    <t>de la muestra seleccionada se evidenció que la Inspección 3A fija la práctica de diligencias en un término promedio de nueve (9) días hábiles y las Inspecciones 3C y 3D en un término cinco (5) días hábiles, contados a partir del día siguiente al reparto, pese a que el artículo 8° de la Resolución 1578 de 2002 otorga un término máximo de tres (3) días.</t>
  </si>
  <si>
    <t>2014-08-31</t>
  </si>
  <si>
    <t>Se evidenció que las diligencias de inspección programadas dentro de las querellas policivas de perturbación a la posesión o mera tenencia de inmuebles no se llevan a cabo en aquellos casos en los que no se hace presente la parte querellante o la parte querellada, contrario a lo dispuesto en el artículo 131 del Código Nacional de Policía, en concordancia con el artículo 211 del Código de Policía de Bogotá. Se cita como ejemplo las querellas policivas 13696-2010 y 15185-2012. 
Respecto a lo consignado en el párrafo en precedencia, conviene hacer referencia a lo dicho por el Consejo de Justicia en Providencia 143 de fecha 29 de mayo de 2013, en la que resaltó que tal procedimiento no se aviene con los presupuestos del artículo 317 del Código General del Proceso, pues la inasistencia de las partes no es óbice alguno para no continuar con la diligencia, ni puede ser usado como excusa para no adoptar una decisión (Cursiva fuera de texto).</t>
  </si>
  <si>
    <t>2014-05-01</t>
  </si>
  <si>
    <t xml:space="preserve">Se evidenció que la carga procesal de impulsar la querella por perturbación a la posesión o a la mera tenencia se ha dejado en cabeza del querellante, a quien se le exhorta mediante auto para que manifieste su interés de continuar o no con la actuación policiva, so pena de decretar el desistimiento tácito de la misma, lo que contraviene el trámite procesal consagrado en los artículos 125 y 131 del Código Nacional de Policía y artículo 209 y siguientes del Código de Policía de Bogotá. Se cita como ejemplo los expedientes 15724, 15359, 15394, 15519, y 15630 de 2013. 
Sobre el particular se pronunció el Consejo de Justicia en la precitada providencia, al aclarar que, Dentro del articulado que rige el trámite de la querella de perturbación a la posesión y/o tenencia, resulta claro que la carga procesal que dispuso el legislador para el querellante es únicamente de presentar la querella personalmente ante la Alcaldía Local y al funcionario de conocimiento le atribuyó la carga procesal de fijar fecha y hora para la práctica de la diligencia de inspección ocular, notificar, escuchar a las partes (si estuviesen presentes), recepcionar y practicar las pruebas que considere conducentes para el esclarecimiento de los hechos y promover la conciliación entre las partes  actos que permiten impulsar el proceso, pues es el Inspector de Policía quien tiene la dirección de este, siendo responsable de cualquier mora en el trámite () (Cursiva fuera de texto). 
 </t>
  </si>
  <si>
    <t>2015-04-21</t>
  </si>
  <si>
    <t xml:space="preserve">f.	Trabajo Preventivo 
Compromisos u obligaciones contenidas en los artículos 18 y 20 de la Resolución 1578 de 2002.-  
La Secretaria General de Inspecciones no allegó evidencia de cumplimiento de lo dispuesto en la citada normativa, que a la letra reza:  
Durante los dos primeros meses de cada año los Secretarios Generales de Inspecciones y los Inspectores de Policía, dentro del ámbito de sus competencias, presentaran a los alcaldes locales un trabajo evaluativo sobre los problemas que afectan la convivencia y seguridad de las U.P.Z. de la localidad, haciendo un diagnóstico y proponiendo alternativas de intervención () </t>
  </si>
  <si>
    <t>2014-12-02</t>
  </si>
  <si>
    <t>2015-02-27</t>
  </si>
  <si>
    <t xml:space="preserve">III.	Obras y Urbanismo.-  
Se evidenció que no se cumple con los procedimientos Procedimiento Infracciones al Régimen de Obras y Urbanismo 2L-GNJ-P003 y Procedimiento Administrativo Sancionatorio  Ley 1437 de 2011 Control de obras y Urbanismo 2L-GNJ-P024 por las siguientes razones: 
	La orden de trabajo al ingeniero o arquitecto se está realizando en promedio en 49 días. Tal es el caso de las actuaciones administrativas 
Expediente	Fecha de inicio de la actuación administrativa	Fecha Orden de trabajo para visita técnica 
37002	16/04/2012	                                                                 23/04/2012 
37704	09/03/2012	                                                                  Sin fecha 
37705	05/06/2012	                                                                 21/06/2012 
37006	22/06/2012	                                                                 05/07/2012 
37008	07/06/2011	                                                                 21/06/2011 
37709	07/06/2012	                                                                 14/08/2012 
37711	11/07/2012	                                                                  Sin fecha 
37714	12/07/2012	                                                                  27/07/2012 
37715	24/10/2012	                                                                   Sin fecha 
37889	06/02/2013	                                                                  07/11/2013 
38097	03/05/2013	                                                                   02/10/2013 
38099	12/09/2012	                                                                   07/03/2013 
38940	27/04/2011	                                                                    Sin fecha 
38101	22/11/2011	                                                                   27/12/2011 
40180	19/11/2012	                                                                   26/02/2013 </t>
  </si>
  <si>
    <t>2014-12-26</t>
  </si>
  <si>
    <t xml:space="preserve">	No se registran en el aplicativo SI ACTUA las comunicaciones informando el acto de apertura al quejoso, ni las comunicaciones y respuestas dirigidas a las diferentes entidades, ni la diligencia de descargos o expresión de opiniones, etc. Se cita como ejemplo: 
Expediente	Fecha auto de apertura	Comunicaciones del auto de apertura en el SI ACTUA 
37002	14/03/2013	                               No se evidencia en el aplicativo 
37704	14/03/2013	                               No se evidencia en el aplicativo 
37006	14/03/2013	                               No se evidencia en el aplicativo 
37008	14/03/2013	                               No se evidencia en el aplicativo 
37004	14/03/2013	                               No se evidencia en el aplicativo 
37705	14/03/2013	                               No se evidencia en el aplicativo 
37709	14/03/2013	                               No se evidencia en el aplicativo 
37711	14/03/2013	                               No se evidencia en el aplicativo 
37714	14/03/2013	                               No se evidencia en el aplicativo 
37715	14/03/2013	                               No se evidencia en el aplicativo 
37889	22/04/2013	                               No se evidencia en el aplicativo 
38097	30/05/2013	                               No se evidencia en el aplicativo 
38099	30/05/2013	                               No se evidencia en el aplicativo 
38101	30/05/2013	                               No se evidencia en el aplicativo 
38940	24/09/2013	                               No se evidencia en el aplicativo 
40180	13/02/2014	                               No se evidencia en el aplicativo </t>
  </si>
  <si>
    <t>	Se evidenció que en los expedientes 37008, 37709, 37711, 38099, 40180, el reporte de novedades de multas no se ha hecho para el respectivo cobro persuasivo.</t>
  </si>
  <si>
    <t xml:space="preserve">	No se contestan las peticiones dentro de los términos de ley o no se contestan. Se cita como ejemplo los siguientes expedientes, entre otros: 
Expediente	Fecha de la petición	Fecha de la respuesta 
37006	18/02/2013	                         No se ha respondido 
37008	20/02/2013	                        18/03/2013 
38940	09/03/2012	                        No se ha respondido 
40180	21/03/2013	                        24/04/2013 
40180	25/06/2013	                       12/08/2013 </t>
  </si>
  <si>
    <t>IV.	Espacio Público 
Se evidenció que en los expedientes 31822, 34384, 34693, 34720, 35373, 35375, 35762, 35763, 36198, 37727, 39685, 39711, 39722, no se cumple con el Procedimiento Restitución del Espacio Público 2L-GNJ-P4 y Procedimiento Administrativo Sancionatorio  Ley 1437 de 2011 Control de Espacio Público 2L-GNJ-P023, por las siguientes razones: 
	En el aplicativo SI ACTUA no se registra el total de actuaciones que obran en los expedientes. Tal es el caso de las comunicaciones y respuestas de las entidades  el  acto administrativo de archivo  las comunicaciones dirigidas al quejoso, la Personería Local y al DADEP  la diligencia de descargos  el acto administrativo que ordena la restitución del espacio público  los recursos de reposición y apelación, etc.  
	En los expedientes 31822, 37727, 35762, 34693, 34384, 35373, 35375, 34720, 03/2010, 39711, 39685 y 39722 no se evidencian las comunicaciones y las repuestas emitidas por las entidades. 
	Se encontraron expedientes a los cuales no se les da trámite procesal desde hace más de seis meses  tal es el caso entre otros de los expedientes 34384, 35373, 35375.</t>
  </si>
  <si>
    <t>2014-09-12</t>
  </si>
  <si>
    <t xml:space="preserve">Se evidenciaron expedientes en los cuales hay peticiones que no se contestan dentro de los términos de ley o no se contestan  tal es el caso de los siguientes expedientes: 
Expediente	Fecha de la petición	Fecha de la respuesta 
31822	30/05/2011	                          05/07/2011 
34693	06/09/2012	                          04/10/2012 
35762	14/09/2012	                         No se ha respondido 
37298	10/01/2013	                         No se ha respondido 
37302	10/01/2013	                         No se ha respondido </t>
  </si>
  <si>
    <t xml:space="preserve">Se evidenciaron expedientes de Espacio Público donde se interpusieron los recursos de reposición y en subsidio el de apelación sin que a la fecha de la visita de auditoría hayan sido resueltos o enviados a la segunda instancia  tal es el caso de los expedientes: 
Expediente	Fecha radicación del recurso	Fecha respuesta al recurso 
35762	28/01/2014	                                             No se ha respondido 
35763	28/01/2013	                                             No se ha respondido </t>
  </si>
  <si>
    <t xml:space="preserve">V.	Cobro Persuasivo.-  
a.	Se identificó debilidad  de los servidores y contratistas sobre  el conocimiento  de la Resolución 257 del 8 de Julio de 2013 Por medio de la cual se adoptan los Manuales de Administración  y Cobro de Cartera de la Secretaría Distrital de Gobierno  y el Sector Localidades, y se dictan otras disposiciones y del Proceso Cobro Persuasivo 2L-GNJ-P5 contenido en el SIG de la Secretaria Distrital de Gobierno. </t>
  </si>
  <si>
    <t>b.	Se verificó el cumplimiento por parte de la Localidad de la Resolución 257 del 8 de Julio de 2013 y del Proceso Cobro Persuasivo 2L-GNJ-P5, Encontrando lo siguiente: 
	Se evidenció incumplimiento a la Resolución 257 del 8 de julio de 2013 en su artículo 11 Realización de comunicaciones telefónicas y/o escritas y la Actividad 3 del proceso Cobro Persuasivo 2L-GNJ-P5, en los siguientes expedientes: 
No se envió la comunicación dentro de los primeros siete (7) días hábiles siguientes de quedar en firme el acto administrativo Actividad 3 del proceso Cobro Persuasivo 2L-GNJ-P5 
65-2006, 16-2009, 25-2004, 13-2009, 100-2004, 73-2008, 48-2009, 99-2007, 179-2003, 51-2006, 24-2011, 61-2001, 50-2001</t>
  </si>
  <si>
    <t>2013-11-18</t>
  </si>
  <si>
    <t>	Se evidenció incumplimiento a la Resolución 257 del 8 de julio de 2013 en su artículo 11 Realización de comunicaciones telefónicas y/o escritas y la Actividad 6 del proceso Cobro Persuasivo 2L-GNJ-P5, en los siguientes expedientes: 
No se envió segunda comunicación invitando al deudor al pago voluntario de la multa máximo 30 días calendario siguientes a la remisión de la primera comunicación Actividad 6 del proceso Cobro Persuasivo 2L-GNJ-P5 
13-2009, 100-2004, 73-2008, 74-2010, 16-2009, 25-2004, 51-2006, 24-2001, 61-2011, 50-2011.</t>
  </si>
  <si>
    <t>2014-02-28</t>
  </si>
  <si>
    <t xml:space="preserve">	Se evidenció incumplimiento a la Resolución 257 del 8 de julio de 2013 en su artículo 11 Identificación bienes del deudor y la Actividad 7 del proceso Cobro Persuasivo 2L-GNJ-P5, en los siguientes expedientes: 
No se envío comunicaciones a las Entidades solicitando información sobre los bienes del sancionado a la Cámara de Comercio, Oficina de Registro de Instrumentos Públicos y a Secretaria Distrital de la Movilidad. 
51-2006, 73-2008, 16-2009, 51-2008, 13-2009, 100-2004, 73-2008, 24-2001, 48-2009. </t>
  </si>
  <si>
    <t>	De acuerdo con la muestra seleccionada se encontró que se elaboró acuerdo de pago únicamente para la sanción aplicada según expediente 65-2006.</t>
  </si>
  <si>
    <t>2014-01-30</t>
  </si>
  <si>
    <t>	No se evidencian controles por parte de los responsables del proceso de cobro persuasivo que permitan monitorear en forma oportuna el cumplimiento de los términos legales, así como  asegurar la trazabilidad de todos los documentos entre las diferentes áreas de la Alcaldía.</t>
  </si>
  <si>
    <t>2014-09-19</t>
  </si>
  <si>
    <t>	Es importante resaltar que de acuerdo con la muestra seleccionada la Alcaldía Local ha dejado de recaudar $373.364.860, incumpliendo con el principio de economía y eficacia de la función pública en el evento que no se realiza en debida forma la gestión de cobro persuasivo.</t>
  </si>
  <si>
    <t xml:space="preserve">VI.	RIESGOS ASOCIADOS.- 
La matriz de fecha 06 de junio de 2013 define dos eventos de riesgo que se relacionan con las Inspecciones de Policía, pero se observa que los definidos en los numerales 3° y 4° son hechos que se materializan en las actuaciones en las que se emite orden de demolición y la misma no se cumple.  
Y en cuanto al evento de riesgo planteado en el numeral 6°, se sugiere revisarlo, pues como se indicó en el acápite de querellas la carga procesal de impulsar la actuación policiva recae directamente sobre la Inspección de conocimiento y no sobre el querellante.  
En materia de obras y urbanismo se tienen los eventos de riesgo singularizados con los números 1° y 2°, que son falta de personal para la ejecución de los procesos y cumplir las metas de registro de actuaciones en el SI ACTUA  de estos riesgos la funcionaria que atiende la visita allega comunicación al Alcalde en el cual se solicita personal de apoyo y manifiesta que se han hecho los registros de información en el SI ACTUA para obtener información permanente. </t>
  </si>
  <si>
    <t xml:space="preserve">Respecto al cobro persuasivo, no se evidencia en la matriz de riesgos los asociados a este proceso en términos de: 
	Riesgos operativos 
	Riesgos estratégicos 
	Riesgos de cumplimiento  
	Riesgos de tecnología  
	Riesgos financieros 
 </t>
  </si>
  <si>
    <t xml:space="preserve">VII.	 PLANES DE MEJORAMIENTO.- 
En el Sistema Integrado de Gestión se observó que en lo atinente a los procedimientos de Inspecciones de Policía se encuentran en el Plan de Mejoramiento No. 171 dos observaciones, producto de la auditoría de calidad. La primera hace referencia a fallas encontradas en el aplicativo SI ACTUA, respecto de la cual no se han implementado acciones correctivas y preventivas eficaces que garanticen que dicha situación no se vuelva a presentar. La restante se relaciona con el desconocimiento del procedimiento Gestión para la Mejora, evidenciándose que el responsable de la acción de mejora es el referente de calidad, cuando el Sistema de Gestión de Calidad debe estar inmerso dentro de los procesos y procedimientos y es responsabilidad de cada una de las personas que los ejecutan, esto es, el Secretario General de Inspecciones, a los Inspectores de Policía y a sus auxiliares. </t>
  </si>
  <si>
    <t>En lo atinente al tema de cobro persuasivo, se revisó el informe de visita fiscal de la Contraloría de Bogotá realizada al Fondo de Desarrollo Local de Santafé, vigencias 2000-2012 con fecha noviembre de 2013, en el que se encontró en el Numeral 2.4.1. en su párrafo final lo siguiente se observa la falta de gestión de la Alcaldía  Local, dando lugar posiblemente a que no se puedan recibir ingresos de  multas por contravención al régimen Urbano y establecimiento público para la localidad,  por cuantía de $275.994.221, conllevando esta inoportunidad en el trámite de las querellas, a posibles vencimientos de términos y se pierdan los procesos, incumpliendo lo establecido en los literales a), c), d) y e) del artículo 2º de la Ley 87 de 1993  artículo 103 de la Ley 388 de 1997  así mismo Artículo 9° y su Parágrafo 1  Etapa persuasiva del recaudo de cartera, del Decreto 397 de 2011- Por el cual se establece el reglamento interno de recaudo de cartera lo anteriormente expuesto por la Contraloría Distrital sumado a los hallazgos descritos en el punto 1 del presente informe y la falta de acciones de mejora  denotan la ineficacia de los responsables del Proceso de cobro persuasivo en sus actuaciones.</t>
  </si>
  <si>
    <t xml:space="preserve">2. CONSUMO DEL SERVICIO DE TELEFONIA FIJA Y CELULAR.  
Al respecto el numeral 5 de la Circular 12 de 2011  referente a que Las entidades continuarán  adoptando sus sistemas de comunicación telefónica con el fin de establecer mecanismos de control como códigos u otros, para todo tipo de llamadas internacionales, nacionales y a teléfonos celulares, las cuales solamente  estarán autorizadas a Alcalde Mayor  Secretarios y Subsecretarios de Despacho  Directores, Subdirectores, Gerentes y subgerentes de Institutos, Unidades, Empresas y Alcaldes Locales. Se evidenció que  la Alcaldía no tiene controles ni mecanismos de monitoreo que permitan determinar si los consumos aumentan o disminuyen mensualmente. Además se evidenció que los inmuebles donde funcionan otras dependencias de la alcaldía no tienen temporizador para controlar la  duración de llamadas, y carecen de  bloqueo para llamadas a números abreviados.  </t>
  </si>
  <si>
    <t>2014-10-05</t>
  </si>
  <si>
    <t>2014-10-10</t>
  </si>
  <si>
    <t xml:space="preserve">3. SERVICIO DE FOTOCOPIADO:  
El  numeral 3 de la Circular 12 de 2011 el cual dice: Las entidades establecerá los procedimientos más adecuados para el uso racional de los procesos de fotocopiado, multicopiado o reproducción de textos o ayudas audiovisuales al interior de cada una de ellas. No se evidenciaron controles ni mecanismos de monitoreo orientados a racionar  el uso del servicio de fotocopiado, multicopiado o reproducción de textos o ayudas audiovisuales. Cada dependencia maneja libremente la fotocopiadora, solicita sin ningún control insumos al almacén y además no existen restricciones sobre la clase de documento permitido para fotocopiar. Esta situación evidencia la existencia de un hallazgo con presunta incidencia disciplinaria por inaplicabilidad de esta norma. </t>
  </si>
  <si>
    <t>2014-10-01</t>
  </si>
  <si>
    <t xml:space="preserve">4. RIESGOS ASOCIADOS.  
Verificada la matriz de riesgo de la localidad que se encuentra publicada en el SIG de la intranet versión 3 de junio 13 de 2013, se observa que no se tiene riesgo alguno asociado al tema de medidas de austeridad en el gasto público, ni sobre controles y ni tratamiento que la administración decida adoptar para el mismo. </t>
  </si>
  <si>
    <t>2014-10-13</t>
  </si>
  <si>
    <t>2014-10-15</t>
  </si>
  <si>
    <t xml:space="preserve">Gestion y Adquisición de Recursos Local </t>
  </si>
  <si>
    <t xml:space="preserve">1.- se evidencia la falta del inventario de hardware y software por parte del área de sistemas, por lo tanto la falta de control sobre la información relacionada con el manejo adecuado de dichos recursos. </t>
  </si>
  <si>
    <t>Gerencia del Talento Humano</t>
  </si>
  <si>
    <t>1. En entrevista con los servidores de la alcaldía local se observa debilidad en el conocimiento de los requisitos del producto y/o servicio, el procedimiento del tratamiento del producto no conforme y los riesgos asociados al proceso. Requisito 6.2.2. a) y d) NTCGP 1000:2009.</t>
  </si>
  <si>
    <t xml:space="preserve">2. Confrontados los registros físicos en los expedientes frente a los del aplicativo SI ACTUA se estableció que la información del aplicativo está desactualizada, </t>
  </si>
  <si>
    <t>3. La matriz de riesgos del proceso Gestión para la Convivencia y Seguridad Integral está desactualizada, sin seguimiento, controles no documentados. (Versión publicada - 2013). Requisito 4.1 Requisitos generales. Literal g. NTCGP 1000:2009</t>
  </si>
  <si>
    <t>Seguimiento Evaluacion y Mejora</t>
  </si>
  <si>
    <t>4. Revisado el aplicativo Gestión para la mejora se determinó que el plan de mejoramiento No. 171, se encuentra cumplido al 100%, sin embargo las evidencias no están digitalizadas en el aplicativo u otro medio a través del cual se pueda verificar fácilmente el cumplimiento de las acciones y la efectividad de las mismas. El plan de mejora No. 370 tiene acciones vencidas sin seguimiento. 8.5 Mejora. NTCGP 1000:2009.</t>
  </si>
  <si>
    <t>5. En entrevista con los auditados del proceso Gestión para la Convivencia y Seguridad Integral se determinó que no cuentan con los recursos necesarios para la operación del proceso (computador, insumos de fotocopiadora, acceso a internet) En al proceso Gestión Normativa Jurídica Local el scanner entregado no tiene los requerimientos técnicos que garanticen la funcionalidad continua del mismo y falta de mantenimiento. Requisito 6.3 Infraestructura. NTCGP 1000:2009</t>
  </si>
  <si>
    <t>Audtitorías externas ambientales</t>
  </si>
  <si>
    <t>La entidad debe actualizar el documento PIGA, en cumplimiento de la Resolución 242 de 2014, artículo 9, artículo 22.</t>
  </si>
  <si>
    <t>a. La entidad debe reemplazar los equipos, sistemas e implementos de alto consumo de agua, por los de bajo consumo en sus sedes. En cumplimiento del Decreto 3102 de 1997, artículos 6 y 7, y a la Resolución 242 de 2014, artículo 13, numeral 1.
b. La entidad debe sustituir las fuentes de iluminación de baja eficacia lumínica, por fuentes lumínicas de la más alta eficacia. En cumplimiento del Decreto 895 de 2008, artículo 1 y a la Resolución 242 de 2014, artículo 13, numeral 2</t>
  </si>
  <si>
    <t>La entidad presentó el PGIRESPEL, pero debe ajustar el cálculo de la media móvil y formular el cronograma de actividades, Conforme a los lineamientos establecidos en el Decreto 4741 de 2005, artículo 10 literal b.
a. La entidad debe cumplir con el diligenciamiento de todos los formatos requeridos para la entrega de sus RESPEL, así como conservar una evidencia fotográfica de tal trámite. Según lo establecido en el Decreto 1609 de 2002 para el transporte de mercancías peligrosas.
b. La entidad debe implementar el formato diseñado para el registro de la información de las cantidades mensuales generadas identificando las corrientes de residuos o desechos peligrosos al interior de cada una de sus instalaciones, En cumplimiento de la resolución 1362 de 2007, artículo 4 parágrafo 2, y la Resolución 242 de 2014, artículo 13, numeral 3 literal b. 
c. La entidad debe calcular para cada una de sus sedes la media móvil e identifica su clasificación como generador, en cumplimiento del Decreto 4741 de 2005, artículo 28, Resolución 1362 de 2007, artículo 4 parágrafo 2. 
d. La entidad debe registrarse ante la autoridad ambiental competente y mantener actualizada la información de su registro anualmente , en cumplimiento del Decreto 4741 artículo 10, literal f) artículo 27 y 28, Resolución 1362 de 2007 artículo 4 parágrafo 2, Resolución 242, artículo 13, numeral 3, literal b.
e. La entidad debe conserva las certificaciones de almacenamiento, aprovechamiento, tratamiento o disposición final que emitieron los respectivos receptores, hasta por un tiempo de cinco (5) años, en cumplimiento del Decreto 4741 de 2005, artículo 10, literal i).
f. La entidad debe garantizar que el almacenamiento de residuos peligrosos en instalaciones de la entidad no supera un tiempo de doce (12) meses, en cumplimiento del Decreto 4741 de 2005, artículo 10, parágrafo 1.
g. La entidad como generadora de aceites usados de origen industrial, comercial y/o institucional, el cual se asimilará para todos los efectos al acopiador primario, debe contar con los documentos que garanticen la gestión integral del aceite usado, generado por las plantas eléctricas, en cumplimiento de la Resolución 1188 de 2003, artículo 5, literal b.</t>
  </si>
  <si>
    <t>Se evidencia que la entidad almacena ACPM, combustible de la planta eléctrica por lo tanto debe implementar acciones que evitan la afectación al ser humano y al ambiente, teniendo en cuenta como mínimo las siguientes
Condiciones:
Ubicación
Piso impermeable
Ventilación 
Dique de contención
Elementos (contenedores, recipientes) de almacenamiento de hidrocarburos
Restricción de acceso a personal no autorizado
Plan de Prevención y control
Hojas de seguridad
Tarjetas de emergencias
Etiquetado de todas las sustancias peligrosas almacenadas
Clasificación ONU de materiales peligrosos</t>
  </si>
  <si>
    <t>La entidad debe reportar la generación de los Residuos de Construcción y Demolición por obra, en el aplicativo Web de la SDA, conforme a la Resolución 1115 de 2012, artículo 6</t>
  </si>
  <si>
    <t>La entidad no cuenta con los registros de Publicidad Exterior Visual para todas las sedes que cuentan con aviso en fachada o áreas de intervención, incumpliendo con lo establecido en la Resolución 931 de 2008 artículo 2 y el Concepto Jurídico 107 de 2012.</t>
  </si>
  <si>
    <t xml:space="preserve">La entidad debe adjuntar los documentos, que acompañan los reportes de la herramienta Storm User. En cumplimiento de la Resolución 242 de 2014, artículo 20, 21, literal d. </t>
  </si>
  <si>
    <t>La entidad debe fortalecer la comunicación de la política ambiental a los Funcionarios y partes interesadas. Conforme a la NTD-SIG 001: 2011, numeral 4.1, literal K.</t>
  </si>
  <si>
    <t xml:space="preserve">La entidad debe implementar los simulacros asociados al riesgo identificado, como acciones integrales de gestión del riesgo, conforme a la Resolución 242 de 2014, artículo 11 parágrafo, la NTD –SIG 001:2011, numeral 4.2.2, literales e), g), h) e i).
</t>
  </si>
  <si>
    <t>Alcaldía Local de Sumapaz</t>
  </si>
  <si>
    <t>Alcaldía Local de Ciudad Bolívar</t>
  </si>
  <si>
    <t>Alcaldía Local de Rafael Uribe Uribe</t>
  </si>
  <si>
    <t>Alcaldía Local de Candelaria</t>
  </si>
  <si>
    <t>Alcaldía Local de Puente Aranda</t>
  </si>
  <si>
    <t>Alcaldía Local de Antonio Nariño</t>
  </si>
  <si>
    <t>Alcaldía Local de Los Mártires</t>
  </si>
  <si>
    <t>Alcaldía Local de Teusaquillo</t>
  </si>
  <si>
    <t>Alcaldía Local de Barrios Unidos</t>
  </si>
  <si>
    <t>Alcaldía Local de Suba</t>
  </si>
  <si>
    <t>Alcaldía Local de Engativá</t>
  </si>
  <si>
    <t>Alcaldía Local de Fontibon</t>
  </si>
  <si>
    <t>Alcaldía Local de Kennedy</t>
  </si>
  <si>
    <t>Alcaldía Local de Bosa</t>
  </si>
  <si>
    <t>Alcaldía Local de Tunjuelito</t>
  </si>
  <si>
    <t>Alcaldía Local de Usme</t>
  </si>
  <si>
    <t>Alcaldía Local de San Cristóbal</t>
  </si>
  <si>
    <t>Alcaldía Local de Santa Fe</t>
  </si>
  <si>
    <t>Satisfacer las necesidades de los colaboradores de la entidad y de las personas que demandan nuestros servicios, en desarrollo de la misión institucional y en el marco de la política y objetivos de calidad.</t>
  </si>
  <si>
    <t>Diseñar y aplicar los instrumentos técnicos y protocolarios necesarios que permitan la generación, acceso y democratización de la información soporte para la toma de decisiones de la entidad.</t>
  </si>
  <si>
    <t xml:space="preserve">Desarrollar y difundir los mecanismos que le permitan a los ciudadanos incidir en la toma de decisiones, respecto de la formulación e implementación de políticas públicas y el control social a la gestión. </t>
  </si>
  <si>
    <t xml:space="preserve">Promover el ejercicio de los derechos humanos, a través del desarrollo de acciones afirmativas, la  formación ciudadana, la equidad y la igualdad de oportunidades. </t>
  </si>
  <si>
    <t>Desconcentrar el Sistema Distrital de Justicia, para facilitar el acceso a las personas</t>
  </si>
  <si>
    <t xml:space="preserve">Implementar el Plan Integral de Seguridad, a través de acciones de previsión, prevención y control, en el marco de la estrategia de gestión social integral en las 20 localidades, para hacer de Bogotá una ciudad protectora, segura y humana. </t>
  </si>
  <si>
    <t>Diseñar e implementar un modelo de Inspección, Vigilancia y control, que de respuestas a las necesidades de la ciudad</t>
  </si>
  <si>
    <t xml:space="preserve">Consolidar la institucionalidad local como líder en los procesos de implementación, evaluación y control de las políticas públicas, el desarrollo territorial y la gestión social integral. </t>
  </si>
  <si>
    <t xml:space="preserve">Diseñar e implementar herramientas que fortalezca a las alcaldías locales y garantice las acciones transectoriales necesarias para dar respuesta integrales a los territorios. </t>
  </si>
  <si>
    <t>Desarrollar competencias en el talento humano que permitan el mejoramiento continuo en todos los procesos de la entidad</t>
  </si>
  <si>
    <t>OBJETIVOS ESTRATEGICOS</t>
  </si>
  <si>
    <t>No</t>
  </si>
  <si>
    <t>Creciente</t>
  </si>
  <si>
    <t>Decreciente</t>
  </si>
  <si>
    <t>Constante</t>
  </si>
  <si>
    <t>Suma</t>
  </si>
  <si>
    <t>ANUALIZACION</t>
  </si>
  <si>
    <t>Tasa</t>
  </si>
  <si>
    <t>Índice o Razón</t>
  </si>
  <si>
    <t>Coeficiente</t>
  </si>
  <si>
    <t>Porcentaje</t>
  </si>
  <si>
    <t>Cantidad</t>
  </si>
  <si>
    <t>PROGRAMACION</t>
  </si>
  <si>
    <t>Efectividad</t>
  </si>
  <si>
    <t>Eficiencia</t>
  </si>
  <si>
    <t>Eficacia</t>
  </si>
  <si>
    <t>VIGENCIA</t>
  </si>
  <si>
    <t>INDICADOR</t>
  </si>
  <si>
    <t>Alcalde(si) Local Usme</t>
  </si>
  <si>
    <t>Alcalde(si) Local Usaquén</t>
  </si>
  <si>
    <t>Alcaldía Local de Usaquén</t>
  </si>
  <si>
    <t>Alcalde(si) Local Tunjuelito</t>
  </si>
  <si>
    <t>Dirección Financiera</t>
  </si>
  <si>
    <t>Alcalde(si) Local Teusaquillo</t>
  </si>
  <si>
    <t>Dirección Administrativa</t>
  </si>
  <si>
    <t>Alcalde(si) Local Sumapaz</t>
  </si>
  <si>
    <t>Dirección de Planeación y Sistemas de Información</t>
  </si>
  <si>
    <t>Alcalde(si) Local Suba</t>
  </si>
  <si>
    <t>Subsecretaría de Planeación y Gestión</t>
  </si>
  <si>
    <t>Alcalde(si) Local Santa Fe</t>
  </si>
  <si>
    <t xml:space="preserve">Dirección de la Cárcel Distrital </t>
  </si>
  <si>
    <t>Alcalde(si) Local San Cristóbal</t>
  </si>
  <si>
    <t>Dirección de Derechos Humanos y Apoyo a la Justicia</t>
  </si>
  <si>
    <t>Alcalde(si) Local Rafael Uribe Uribe</t>
  </si>
  <si>
    <t>Dirección de Seguridad</t>
  </si>
  <si>
    <t>Alcalde(si) Local Puente Aranda</t>
  </si>
  <si>
    <t>Subsecretaría de Asuntos para la Convivencia y Seguridad Ciudadana</t>
  </si>
  <si>
    <t>Alcalde(si) Local  Mártires</t>
  </si>
  <si>
    <t>Dirección Ejecutiva Local</t>
  </si>
  <si>
    <t>Alcalde(si) Local Kennedy</t>
  </si>
  <si>
    <t>Dirección de Apoyo a Localidades</t>
  </si>
  <si>
    <t>Alcalde(si) Local Fontibon</t>
  </si>
  <si>
    <t>Subsecretaría de Asuntos Locales y Desarrollo Ciudadano</t>
  </si>
  <si>
    <t>Alcalde(si) Local Negativa</t>
  </si>
  <si>
    <t>Alcaldía Local de Negativa</t>
  </si>
  <si>
    <t>.40</t>
  </si>
  <si>
    <t>Consejo de Justicia</t>
  </si>
  <si>
    <t>Alcalde(si) Local Ciudad Bolívar</t>
  </si>
  <si>
    <t>.39</t>
  </si>
  <si>
    <t>Dirección de Seguimiento y Análisis Estratégico</t>
  </si>
  <si>
    <t>Alcalde(si) Local Chapinero</t>
  </si>
  <si>
    <t>Alcaldía Local de Chapinero</t>
  </si>
  <si>
    <t>.38</t>
  </si>
  <si>
    <t>Dirección de Gestión Humana</t>
  </si>
  <si>
    <t>Alcalde(si) Local Candelaria</t>
  </si>
  <si>
    <t>.37</t>
  </si>
  <si>
    <t>Oficina Asesora Jurídica</t>
  </si>
  <si>
    <t>Alcalde(si) Local Bosa</t>
  </si>
  <si>
    <t>.36</t>
  </si>
  <si>
    <t>Oficina de Control Interno</t>
  </si>
  <si>
    <t>Alcalde(si) Local Barrios Unidos</t>
  </si>
  <si>
    <t>.35</t>
  </si>
  <si>
    <t>Oficina de Asuntos Disciplinarios</t>
  </si>
  <si>
    <t>Alcalde(si) Local Antonio Nariño</t>
  </si>
  <si>
    <t>.34</t>
  </si>
  <si>
    <t>Despacho de la Secretaría Distrital de Gobierno</t>
  </si>
  <si>
    <t>RESPONSABLE</t>
  </si>
  <si>
    <t>ALCALDIA</t>
  </si>
  <si>
    <t>.33</t>
  </si>
  <si>
    <t>NIVEL CENTRAL</t>
  </si>
  <si>
    <t>.32</t>
  </si>
  <si>
    <t>DEPENDENCIA</t>
  </si>
  <si>
    <t>.31</t>
  </si>
  <si>
    <t>.30</t>
  </si>
  <si>
    <t>Estudiar, tramitar y proyectar los actos administrativos de los asuntos jurídicos de las personas privadas de la libertad, aplicando las disposiciones legales, procedimentales y el reglamento interno vigente.</t>
  </si>
  <si>
    <t>Misional</t>
  </si>
  <si>
    <t>Personas privadas de la libertad</t>
  </si>
  <si>
    <t>.29</t>
  </si>
  <si>
    <t xml:space="preserve">Director(a) de la Cárcel Distrital </t>
  </si>
  <si>
    <t>Trámite Jurídico a la Situación de las PPL</t>
  </si>
  <si>
    <t>Custodiar y Vigilar a las personas privadas de la libertad dentro y fuera del establecimiento carcelario en forma oportuna y efectiva tendiente a evitar que se causen daño así mismos, a otras personas y a las instalaciones, velando por su permanencia en el establecimiento de acuerdo a la decisión de la autoridad competente.</t>
  </si>
  <si>
    <t>.28</t>
  </si>
  <si>
    <t>Custodia y Vigilancia para la Seguridad</t>
  </si>
  <si>
    <t>Brindar condiciones dignas de reclusión a todas las personas privadas de la libertad, a través de la prestación oportuna de servicios que suplan las necesidades básicas y el desarrollo de actividades válidas para redención de pena.</t>
  </si>
  <si>
    <t>.27</t>
  </si>
  <si>
    <t>Atención Integral Básica a las PPL</t>
  </si>
  <si>
    <t>.26</t>
  </si>
  <si>
    <t>Misionales- PPL</t>
  </si>
  <si>
    <t>Garantizar una respuesta eficiente y oportuna mediante la coordinación de las agencias de despacho y/o entidades, para prevenir, atender y mitigar el impacto de los eventos de seguridad y emergencias que se suscitan en el Distrito Capital.</t>
  </si>
  <si>
    <t>NUSE</t>
  </si>
  <si>
    <t>.25</t>
  </si>
  <si>
    <t>Subsecretario(a) de Asuntos para la Convivencia y Seguridad Ciudadana</t>
  </si>
  <si>
    <t>Seguimiento y Control de Incidentes de Seguridad y/o Emergencia</t>
  </si>
  <si>
    <t>Informar a la agencias de despacho sobre las solicitudes realizadas frente a eventos de seguridad y emergencias en el Distrito Capital y Ciudad Región, mediante una caracterización precisa de los mismos, para que las agencias den una respuesta coordinada y efectiva según sus competencias.</t>
  </si>
  <si>
    <t>.24</t>
  </si>
  <si>
    <t>Gestión de Incidentes de Seguridad y/o Emergencia</t>
  </si>
  <si>
    <t>.23</t>
  </si>
  <si>
    <t>Misionales- NUSE</t>
  </si>
  <si>
    <t>Implementar las políticas pública a través del fortalecimiento de los procesos de planeación y seguimiento local, acorde con el proceso de planeación estratégica Distrital y las necesidades identificadas en los espacios de participación ciudadana.</t>
  </si>
  <si>
    <t>Desarrollo local</t>
  </si>
  <si>
    <t>.22</t>
  </si>
  <si>
    <t>Alcaldes(as) Locales</t>
  </si>
  <si>
    <t>Agenciamiento de la Política Pública</t>
  </si>
  <si>
    <t>Implementar y consolidar la Gestión del Desarrollo Local, mediante la participación activa y cualificada de los actores locales e instancias en procesos de planeación, gestión, ejecución, seguimiento y control del desarrollo del territorio para el mejoramiento de la calidad de vida y la Gobernabilidad Local.</t>
  </si>
  <si>
    <t>.21</t>
  </si>
  <si>
    <t>Gestión para el Desarrollo Local</t>
  </si>
  <si>
    <t>Desarrollar acciones policivas, preventivas e integrales promoviendo la convivencia y seguridad en los ciudadanos, que permitan disminuir las causas generadoras de la conflictividad y riesgos de origen natural o entrópicos, bajo un enfoque de equidad, oportunidad, integralidad, participación ciudadana con corresponsabilidad, acceso a la justicia en el marco de la Constitución, la Ley y el respeto de los derechos humanos.</t>
  </si>
  <si>
    <t>.20</t>
  </si>
  <si>
    <t>Gestión para la Convivencia y Seguridad Integral</t>
  </si>
  <si>
    <t>Ejercer inspección, vigilancia y control respecto al cumplimiento de las normas vigentes por parte de la ciudadanía, en materia de control policivo relacionado con establecimientos de comercio, espacio público, obras y urbanismo; comportamientos contrarios a la convivencia ciudadana que afecten las condiciones de seguridad, tranquilidad, salubridad y moralidad pública, ornato pública y ecología; con transparencia, celeridad, economía, imparcialidad y eficiencia.</t>
  </si>
  <si>
    <t>.19</t>
  </si>
  <si>
    <t>Gestión Normativa y Jurídica Local</t>
  </si>
  <si>
    <t>.18</t>
  </si>
  <si>
    <t>Misionales- Desarrollo local</t>
  </si>
  <si>
    <t>Diseñar e impulsar la implementación de un modelo de gobierno que fortalezca la autonomía, la gobernabilidad, la democracia y la convivencia en las localidades, promoviendo la gestión articulada del nivel central en lo local, para mejorar las condiciones de vida de los habitantes en los territorios.</t>
  </si>
  <si>
    <t>Direccionamiento y Control</t>
  </si>
  <si>
    <t>.17</t>
  </si>
  <si>
    <t>Subsecretario(a) de Asuntos Locales y Desarrollo Ciudadano</t>
  </si>
  <si>
    <t>Gestión para la Gobernabilidad Local</t>
  </si>
  <si>
    <t>Agenciar políticas de seguridad y convivencia que generen acciones y medidas de prevención, atención y control, de manera efectiva, participativa y corresponsable en el Distrito Capital.</t>
  </si>
  <si>
    <t>.16</t>
  </si>
  <si>
    <t>Seguridad y Convivencia</t>
  </si>
  <si>
    <t>Agenciar las políticas y estrategias para la promoción, reconocimiento, garantía y restablecimiento de los derechos humanos de la población del Distrito Capital, con enfoque diferencial y territorial y la perspectiva de identidad de género y sexual y universalización del acceso a los servicios sociales.</t>
  </si>
  <si>
    <t>.15</t>
  </si>
  <si>
    <t>Derechos Humanos de las Personas en el Distrito Capital</t>
  </si>
  <si>
    <t>Agenciar las políticas y estrategias para el acceso a la justicia formal y no formal en el Distrito Capital, para que ésta se brinde con disponibilidad, accesibilidad, asequibilidad, legitimidad y adaptabilidad.</t>
  </si>
  <si>
    <t>.14</t>
  </si>
  <si>
    <t>Justicia en el Distrito Capital</t>
  </si>
  <si>
    <t>.13</t>
  </si>
  <si>
    <t>Misionales- Direccionamiento  y control</t>
  </si>
  <si>
    <t>.12</t>
  </si>
  <si>
    <t>Misionales</t>
  </si>
  <si>
    <t>Gestionar el conocimiento mediante investigación, recopilación, procesamiento, análisis cualitativo y cuantitativo de la información, bajo modelos que potencien la toma de decisiones en beneficio de la comunidad.</t>
  </si>
  <si>
    <t>Transversales</t>
  </si>
  <si>
    <t>.11</t>
  </si>
  <si>
    <t>Director(a) de Seguimiento y Análisis Estratégico</t>
  </si>
  <si>
    <t>Gestión del Conocimiento</t>
  </si>
  <si>
    <t>Satisfacer los requerimientos de las personas del Distrito Capital de acuerdo a sus solicitudes de forma oportuna y eficiente, garantizando la democratización de la información y la respuesta efectiva.</t>
  </si>
  <si>
    <t>.10</t>
  </si>
  <si>
    <t xml:space="preserve">Despacho Secretaría Distrital de Gobierno </t>
  </si>
  <si>
    <t>Servicio Integral de Atención Al Usuario</t>
  </si>
  <si>
    <t>Examinar de manera integral, sistemática, oportuna, objetiva e independiente los procesos generando las recomendaciones para la mejora continua de la Entidad.</t>
  </si>
  <si>
    <t>.9</t>
  </si>
  <si>
    <t>Jefe Oficina de Control Interno</t>
  </si>
  <si>
    <t>Seguimiento, Evaluación y Mejora</t>
  </si>
  <si>
    <t>.8</t>
  </si>
  <si>
    <t>Gerencia la relación entidad - servidor público y/o servidora pública en términos constitucionales , legales y de desarrollo del talento humano, hacia el logro de la misionalidad de la entidad.</t>
  </si>
  <si>
    <t>Apoyo</t>
  </si>
  <si>
    <t>.7</t>
  </si>
  <si>
    <t>Director(a) de Gestión Humana</t>
  </si>
  <si>
    <t>Elaborar, proyectar y emitir actos administrativos de calidad para el sector gobierno, seguridad y convivencia y la comunidad en general, a través del direccionamiento jurídico y defensa judicial del sector, para el fortalecimiento de la gobernabilidad transitoria.</t>
  </si>
  <si>
    <t>.6</t>
  </si>
  <si>
    <t>Jefe Oficina Asesora Jurídica</t>
  </si>
  <si>
    <t>Gestión Jurídica</t>
  </si>
  <si>
    <t>Suministrar y administrar los bienes y servicios que la entidad requiere para el cabal cumplimiento de su misión, a través de la eficiente ejecución de los recursos financieros.</t>
  </si>
  <si>
    <t>.5</t>
  </si>
  <si>
    <t>Subsecretario(a) de Planeación y Gestión</t>
  </si>
  <si>
    <t>Gestión y Adquisición de Recursos</t>
  </si>
  <si>
    <t>.4</t>
  </si>
  <si>
    <t>Fortalecer la acción política estratégica de la Secretaria Distrital de Gobierno mediante la formulación de las respuestas a las proposiciones de control político, la determinación de la viabilidad y oportunidad de incitabais normativas y la interlocución con los actores municipales y departamentales de la región, de manera oportuna y eficaz propiciando la gobernabilidad democrática.</t>
  </si>
  <si>
    <t>Estratégico</t>
  </si>
  <si>
    <t>.3</t>
  </si>
  <si>
    <t xml:space="preserve">Agenciamiento de Asuntos Políticos </t>
  </si>
  <si>
    <t>Informar a la ciudadanía las acciones en materia de gobernabilidad local, acceso a la justicia, derechos humanos, seguridad y convivencia, a través de diferentes estrategias de comunicación de manera veraz, objetiva y oportuna.</t>
  </si>
  <si>
    <t>.2</t>
  </si>
  <si>
    <t>Gestión de Comunicaciones</t>
  </si>
  <si>
    <t>Orientar la gestión institucional a través de la definición y la articulación de políticas y estrategias , para contribuir  de manera integral al cumplimiento de la misión.</t>
  </si>
  <si>
    <t>.1</t>
  </si>
  <si>
    <t>Director(a) de Planeación y Sistemas de Información</t>
  </si>
  <si>
    <t>Planeación y Gerencia Estratégica</t>
  </si>
  <si>
    <t>Estratégicos</t>
  </si>
  <si>
    <t>OBJETIVO</t>
  </si>
  <si>
    <t>CATEGORIA</t>
  </si>
  <si>
    <t>NIVEL</t>
  </si>
  <si>
    <t>LIDER PROCESO</t>
  </si>
  <si>
    <t>No Proceso</t>
  </si>
  <si>
    <t>PROCESOS</t>
  </si>
  <si>
    <t>NO</t>
  </si>
  <si>
    <t>No Meta</t>
  </si>
  <si>
    <t>O</t>
  </si>
  <si>
    <t>JULIANA</t>
  </si>
  <si>
    <t>Se articuló el trabajo d los sectores para cumplir las políticas públicas y alcanzar las metas del PDL</t>
  </si>
  <si>
    <t>Se articuló el trabajo d los sectores para cumplir las políticas públicas y alcanzar las metas del PDL.  A través de los CLG descentralizados en diferentes territorios de la localidad, se ha favorecido dar a conocer las necesidades apremiantes en determinadas zonas.</t>
  </si>
  <si>
    <t>carpetas que reposan en la Oficina del Profesional de planeación</t>
  </si>
  <si>
    <t>Número de acciones propuestas en el CLG</t>
  </si>
  <si>
    <t>Número de  acciones propuestas en el CLG con enfoque Social Integral</t>
  </si>
  <si>
    <t>Porcentaje  de acciones propuestas en el CLG con enfoque Social Integral</t>
  </si>
  <si>
    <t>Lograr que el 70% de las acciones propuestas en el CLG se ejecuten con un tengan Enfoque social Integral.</t>
  </si>
  <si>
    <t xml:space="preserve">Son un total de 11 acciones y se han cumplido 7 que son: construcción compartida del Plan de Desarrollo Local, definición y ejecución de presupuestos participativos, se han realizado 3 CLG DESCENTRALIZADOS, SE HA REALIZADO UNA RENDICIÓN de cuentas, se entregó el documento de diagnóstico al Consejo de planeación Local, se han invitado a los directivos de los niveles centrales de la localidad , se ha favorecido dar a conocer sus necesidades apremiantes en determinadas zonas. </t>
  </si>
  <si>
    <t>Se apoyo la conformación del CPL y se realizaron diagnósticos por sectores</t>
  </si>
  <si>
    <t>No acciones propuestas en el Plan de acción del CLG</t>
  </si>
  <si>
    <t>No acciones cumplidas del Plan de acción</t>
  </si>
  <si>
    <t>Porcentaje de acciones del Plan de acción cumplidas</t>
  </si>
  <si>
    <t>Lograr que el 70% de las acciones propuestas en el Plan de acción del CLG se cumplan.</t>
  </si>
  <si>
    <t>Se presentaron los informes por parte de los representantes de los diferentes sectores que conforman el CLG</t>
  </si>
  <si>
    <t>Se desarrollaron las actividades pertinentes con el Consejo Local de Gobierno. Los resultados generales han sido el desarrollo del Plan de Acción del Consejo Local de Gobierno, centrando sus objetivos en la elaboración del Plan de desarrollo local y la determinación de necesidades prioritarias para presupuestos participativos.</t>
  </si>
  <si>
    <t>Carpetas del CLG</t>
  </si>
  <si>
    <t>Número de informes  de la ejecución del plan de acción del Consejo Local de Gobierno</t>
  </si>
  <si>
    <t>Adelantar 4 informes de seguimiento y evaluación del cumplimiento del Plan de Acción del Consejo Local de Gobierno.</t>
  </si>
  <si>
    <t>Se hizo la convocatoria a las reuniones del CLG mediante oficio y correo electrónico</t>
  </si>
  <si>
    <t>Se desarrollaron las actividades pertinentes con el Consejo Local de Gobierno . Se ha permitido a la Administración Local al la articulación del trabajo para favorecer la elaboración acertada del plan de desarrollo Local para la vigencia 2012-2016.</t>
  </si>
  <si>
    <t>Consejos locales realizados</t>
  </si>
  <si>
    <t>Consejos citados por el Alcalde</t>
  </si>
  <si>
    <t xml:space="preserve">Número de Consejos citados por el Alcalde
</t>
  </si>
  <si>
    <t>Realizar la convocatoria de 12 consejos a través del Alcalde Local.</t>
  </si>
  <si>
    <t>NO HAY PROGRAMACION</t>
  </si>
  <si>
    <t>Carpetas  que reposan en la Oficina del Profesional de Planeación</t>
  </si>
  <si>
    <t>Informe de desarrollo y resultado del agenciamiento de las políticas publicas</t>
  </si>
  <si>
    <t>Elaborar un informe sobre el desarrollo  y resultado del agenciamiento de las políticas pública</t>
  </si>
  <si>
    <t>N/A</t>
  </si>
  <si>
    <t>Agenda de política publica</t>
  </si>
  <si>
    <t>Elaborar y desarrollar una agenda de la política pública para la localidad</t>
  </si>
  <si>
    <t>Se ajustó el Plan de Acción del año anterior, incorporando nuevas actividades y metas, siendo aprobado en el mes de febrero</t>
  </si>
  <si>
    <t>Carpeta del CLG</t>
  </si>
  <si>
    <t>Plan de acción del CLG formulado</t>
  </si>
  <si>
    <t>Formular un Plan de Acción del Consejo Local de Gobierno de la localidad articulado con las otras instancias de coordinación.</t>
  </si>
  <si>
    <t>Agenciamiento de la política Publica</t>
  </si>
  <si>
    <t>Se realizó el evento de rendición de Cuentas, con la coordinación de la veeduría distrital y realizándose convocatoria amplia a toda la comunidad de la localidad</t>
  </si>
  <si>
    <t>Carpeta de Rendición de Cuentas que está en poder de la jefe de prensa</t>
  </si>
  <si>
    <t>Número de  informes</t>
  </si>
  <si>
    <t>Realizar dos informes de rendición de cuentas, el cual debe ser presentado a la comunidad</t>
  </si>
  <si>
    <t xml:space="preserve">FORMULACION DEL PLAN DE GESTION RURAL DE SANTA FE, SEGÚN DECRETO 042 DE 2010 ALCALDIA MAYOR </t>
  </si>
  <si>
    <t>La ejecución de la actividad inicia a partir del tercer trimestre</t>
  </si>
  <si>
    <t>Plan de Gestión y equipo de cómputo que reposa en la Oficina de la Ulata</t>
  </si>
  <si>
    <t>Plan de gestión de desarrollo Rural</t>
  </si>
  <si>
    <t>Elaborar un plan de gestión para el desarrollo Rural (6 Alcaldías con ruralidad)</t>
  </si>
  <si>
    <t>Se conformó el Consejo de Planeación Local, haciéndose a convocatoria, inscripción y asambleas de nombramiento de los diferentes representantes de los diversos sectores que el participan</t>
  </si>
  <si>
    <t>Carpetas de conformación del col</t>
  </si>
  <si>
    <t>Numero de espacios</t>
  </si>
  <si>
    <t xml:space="preserve">Promover 2 espacios para el ejercicio de la organización y control social </t>
  </si>
  <si>
    <t>Se remitio el respectivo informe al Consejo Local de Planeación</t>
  </si>
  <si>
    <t>Se remitió el respectivo informe al Consejo Local de Planeación</t>
  </si>
  <si>
    <t>Carpeta del CPL que reposa en la Coordinación Administrativa y Financiera</t>
  </si>
  <si>
    <t>Número de Informes presentados al CPL</t>
  </si>
  <si>
    <t>Presentar al Consejo Local de Planeación  dos informes al año x alcaldía del cumplimiento del Plan de desarrollo local. (Acuerdo 13 del 2000).</t>
  </si>
  <si>
    <t>Informe de seguimiento elaborado, reposa en la Oficina de Planeación Local</t>
  </si>
  <si>
    <t>Se han alcanzado las metas ejecutandose los proyectos de inversión y logrando beneficiar al mayor número de personas posible . Existen 120 metas del proyecto mediante las cuales se ha beneficiado proporcionalmente sectores poblacionales</t>
  </si>
  <si>
    <t>Se han alcanzado las metas ejecutándose los proyectos de inversión y logrando beneficiar al mayor número de personas posible . Existen 120 metas del proyecto mediante las cuales se ha beneficiado proporcionalmente sectores poblaciones como: adultos mayores, madres gestantes y cabezas de familia y jóvenes.</t>
  </si>
  <si>
    <t>Se han alcanzado las metas ejecutándose los proyectos de inversión y logrando beneficiar al mayor número de personas posible</t>
  </si>
  <si>
    <t>TABLERO DE CONTROL Y CUADRO DE EJECICION DE METAS</t>
  </si>
  <si>
    <t>Porcentaje de cumplimiento de las metas del Plan de desarrollo</t>
  </si>
  <si>
    <t>Cumplir por lo menos 98% de las metas del Plan de desarrollo local vigente.</t>
  </si>
  <si>
    <t>Informe elaborado reposa en la Oficina de Planeación Local</t>
  </si>
  <si>
    <t>Se remitió el respectivo informe al Consejo Local de Planeación y la Junta Administradora Local de conformidad con el Acuerdo 13 de 2000. Los resultados de los avances servirán como criterio para la preparación del presupuesto y plan de inversiones de la vigencia siguiente o para preparar los ajustes presupuestales y de ejecución a que haya lugar</t>
  </si>
  <si>
    <t>Informe de seguimiento que reposa en la Oficina del Profesional de Planeación</t>
  </si>
  <si>
    <t>Nº de Informes de seguimientos programados</t>
  </si>
  <si>
    <t>Nº de Informes de seguimientos realizados</t>
  </si>
  <si>
    <t xml:space="preserve">Realizar 2 informes de seguimiento a las metas de los Planes de Desarrollo Local </t>
  </si>
  <si>
    <t>Informe de seguimiento</t>
  </si>
  <si>
    <t>Adelantar un informe de seguimiento y evaluación de los impactos generados de la ejecución de los planes , programas y proyectos de la localidad</t>
  </si>
  <si>
    <t>La Administración Local reformulo 13 proyectos</t>
  </si>
  <si>
    <t>La Administración Local esta a la espera del aval para la redistribución de recursos  vigencia 2012 de acuerdo a los lineamientos del Alcalde Mayor, para continuar con la formulación de proyectos en los temas que sean priorizados</t>
  </si>
  <si>
    <t>Se actualizaron en presupuesto y población</t>
  </si>
  <si>
    <t>Carpetas de Proyectos y aplicativo SEGPLAN</t>
  </si>
  <si>
    <t>Nº Proyectos de la Alcaldía</t>
  </si>
  <si>
    <t>Nº de Proyectos actualizados</t>
  </si>
  <si>
    <t>Realizar formulación y reformulación actualización a 35 proyectos de inversión</t>
  </si>
  <si>
    <t>Con la elaboración del POAI 2013 se elaboró la matriz de territorialización de la inversión por cada proyecto</t>
  </si>
  <si>
    <t>Debido a que hasta ahora se aprobo nuevo Plan de Desarrollo, el respectivo registro de proyectos se dará en el mes de octubre para poder elaborar el respectivo POAI</t>
  </si>
  <si>
    <t>POAI y documentos que reposan en la oficina de presupuesto</t>
  </si>
  <si>
    <t>Presupuesto de inversión realizado</t>
  </si>
  <si>
    <t>Presupuesto de inversión</t>
  </si>
  <si>
    <t>Elaborar un presupuesto de inversión anual y territorializado</t>
  </si>
  <si>
    <t>PLAN DE DESARROLLO APROBADO, Acuerdo Local No. 002 del 21 de Septiembre de 2012</t>
  </si>
  <si>
    <t>Plan de Acción y carpetas de Encuentros Ciudadanos</t>
  </si>
  <si>
    <t>Plan de desarrollo local</t>
  </si>
  <si>
    <t>Elaborar un Plan de Desarrollo Local con participación Ciudadana</t>
  </si>
  <si>
    <t>SE HAN TENIDO REUNION CON LAS ONG QUE REPRESENTAN A LAS PERSONAS EN EJERCICIO DE LA PROSTITUCION, Y ALGUNOS DUEÑOS DE ESTABLECIMIENTOS COMO HOSTAKLES Y RESIDENCIAS</t>
  </si>
  <si>
    <t>YA SE VIENE REALIZANDO ACERCAMIENTOS CON LAS COMUNIDADES DEL BARRIO ALAMEDA CAPUCHINA, CON PERSONAS EN EJERCICIO DE LA PROSTITUCION, OTRO PACTO SE ESTA REALIZANDO CON LOS CONDUCTORES DE LAS CAMIONETAS DE ACARREO EN  LOS SECTORES DE SAN VICTORINO Y LOS ELECTRODOMESTICOS DE LA CRA 13</t>
  </si>
  <si>
    <t>se adelantaran dos gestiones para la firma  a los pactos con apoyo de la secretaria de gobierno y el Fondo de vigilancia</t>
  </si>
  <si>
    <t>matriz de los pactos o la firma de los mismos, listados de asistencia y registro fotográfico</t>
  </si>
  <si>
    <t>Número de pactos programados.</t>
  </si>
  <si>
    <t>Número de pactos Gestionados</t>
  </si>
  <si>
    <t xml:space="preserve">No Pactos de seguridad y convivencia gestionados 
</t>
  </si>
  <si>
    <t>Gestionar ante la Secretaria de asuntos de seguridad y convivencia ciudadana la suscripción de 2 pactos de seguridad y convivencia.</t>
  </si>
  <si>
    <t>SE ESTAN REALIZANDO ACERCAMIENTOS CON LA COMUNIDAD DEL SECTOR ALAMEDA CAPUCHINA, PARA RETOMAR EL PACTO CON PERSONAS EN EJERCICIO DE PROSTITUCION, ENCABEZADOS POR LA PERSONERIA LOCAL( EL INCONVENIENTE QUE SE HA PRESENTADO ES EL CAMBIO CONTINUO DE PERSONERO LOCAL)</t>
  </si>
  <si>
    <t xml:space="preserve">No hubo programación de compromisos para el primer trimestre </t>
  </si>
  <si>
    <t>No de compromisos programados en los pactos  en el trimestre</t>
  </si>
  <si>
    <t xml:space="preserve">No de compromisos cumplidos  en los pactos </t>
  </si>
  <si>
    <t>Porcentaje de cumplimiento de los compromisos suscritos en los pactos</t>
  </si>
  <si>
    <t>Lograr el 50% de cumplimiento de los compromisos suscritos en los pactos</t>
  </si>
  <si>
    <t>SE VIENE DESARROLLANDO ACCIONES  E INTERVENCIONES INTERINSTITUCIONALES CON EL APOYO DE LA COMUNIDAD DONDE SE EVIDENCIAN PROBLEMAS DE CONVIVENCIA COMO LO SON LAS PERSONAS EN EJERCICIO DE LA PROSTITUCION Y LOS VENDEDORES INFORMALES QUE SE RETIRARON DE LA CRA 7</t>
  </si>
  <si>
    <t>SE VIENE DESARROLLANDO ACCIONES  E INTERVENCIONES INTERINSTITUCIONALES CON EL APOYO DE LA COMUNIDAD DONDE SE EVIDENCIAN PROBLEMAS DE CONVIVENCIA</t>
  </si>
  <si>
    <t>No hubo programación de estrategias para el trimestre</t>
  </si>
  <si>
    <t>listados de asistencia  sobre la planeación de las estrategias, registros fotográficos</t>
  </si>
  <si>
    <t>Numero de estrategias integrales en la prevención de factores que atentan contra la convivencia programadas en el trimestre</t>
  </si>
  <si>
    <t>Numero de estrategias integrales en la prevención de factores que atentan contra la convivencia implementadas</t>
  </si>
  <si>
    <t>Porcentaje de estrategias integrales implementadas</t>
  </si>
  <si>
    <t>Lograr el 50% de implementación de las estrategias integrales en la prevención de factores que atentan contra la convivencia</t>
  </si>
  <si>
    <t>CON LOS FRENTES DE SEGURIDAD DE LOS SECTORES DE SAN VICTORINO, LOS ELECTRODOMESTICOS DE LA LCRA 13, FRENTE DE SEGURIDAD DE LOS BARRIOS ALAMEDA CAPUCHINA, EL FRENTE DE SEGURIDAD DEL BARRIO MACARENA, Y LA ASOSIACION SAN DIEGO, Y LA RED DE UNIVERSIDADES DEL CENTRO</t>
  </si>
  <si>
    <t>se adelantaran dos informes  de los seguimientos a los pactos con apoyo de la secretaria de gobierno y el Fondo de vigilancia</t>
  </si>
  <si>
    <t>No seguimientos de los pactos territoriales programados</t>
  </si>
  <si>
    <t>No seguimientos de los pactos territoriales realizados</t>
  </si>
  <si>
    <t xml:space="preserve">No seguimientos de los pactos territoriales. 
</t>
  </si>
  <si>
    <t>Realizar 02 Informes de seguimiento de los pactos Territoriales suscritos de seguridad y convivencia para garantizar su sostenibilidad.</t>
  </si>
  <si>
    <t>SE EVIDENCIA EN LAS ACTAS DEL COMITÉ LOCAL DE EMERGENCIAS CLE DE SANTA FE</t>
  </si>
  <si>
    <t>NO HA PROGRAMACION</t>
  </si>
  <si>
    <t xml:space="preserve"> </t>
  </si>
  <si>
    <t>se cuenta con el plan de acción del CLE, en el archivo de la secretaria técnica del CLE, mis documentos/cle 2012/plandeaccion2012</t>
  </si>
  <si>
    <t>Número de recorridos programados.</t>
  </si>
  <si>
    <t>Número de recorridos llevados a cabo</t>
  </si>
  <si>
    <t>Número de Recorridos para identificación de puntos críticos</t>
  </si>
  <si>
    <t>Realizar 4 recorridos de identificación, monitoreo y estudio de puntos críticos  para llevar a cabo acciones de prevención en emergencias. CLE</t>
  </si>
  <si>
    <t>SE VIENE DESARROLLANDO EL PLAN DE ACCION DEL PLAN  INTEGRAL DE SEGURIDAD, TRATANDO LOS TEMAS DESDE EL CONSEJO DE SEGURIDAD DANDO RESPUESTA AL MISMO</t>
  </si>
  <si>
    <t>SE VIENE DESARROLLANDO EL PLAN DE ACCION INTEGRAL DE SEGURIDAD, TRATANDO LOS TEMAS DESDE EL CONSEJO DE SEGURIDAD DANDO RESPUESTA AL MISMO</t>
  </si>
  <si>
    <t>se adelantara un informe  del plan integral de  seguridad con apoyo de la secretaria de gobierno y el Fondo de vigilancia</t>
  </si>
  <si>
    <t>Informe del Plan integral de seguridad elaborado</t>
  </si>
  <si>
    <t>Plan integral de seguridad y convivencia</t>
  </si>
  <si>
    <t>Adelantar un informe anual sobre la ejecución y seguimiento del plan integral de seguridad local</t>
  </si>
  <si>
    <t>SE VIENE EJECUTANDO EL PLAN INTEGRAL DE SEGURIDAD Y CONVIVENCIA , FORMULADO CON EL APOYO DEL FVS Y DE LA SECRETARIA DE GOBIERNO Y LAS DEMAS ENTIDADES QUE HACEN PARTE DEL CONSEJO DE SEGURIDAD</t>
  </si>
  <si>
    <t>EL PLAN INTEGRAL DE SEGURIDAD Y CONVIVENCIA YA ELABORADO SE ENTREGO A LOS PARTICIPANTES DEL CONSEJO DE SEGURIDAD PARA SU EVALUACION  O MODIFICACION DEACUERDO A LAS MISIONALIDADES DE LAS ENTIDADES PARTICIPANTES</t>
  </si>
  <si>
    <t>se elaboró el plan integral de  seguridad con apoyo de la secretaria de gobierno y el Fondo de vigilancia</t>
  </si>
  <si>
    <t>Plan integral de seguridad elaborado</t>
  </si>
  <si>
    <t xml:space="preserve">Formular UN Plan integral de seguridad y convivencia. </t>
  </si>
  <si>
    <t xml:space="preserve">SE VIENE EJECUTANDO LAS INTERVENCIONES PROGRAMADAS EN LA MATRIZ </t>
  </si>
  <si>
    <t>se elaboró la matriz de intervención con apoyo de la secretaria de gobierno y el Fondo de vigilancia</t>
  </si>
  <si>
    <t>matriz elaborada</t>
  </si>
  <si>
    <t>matriz de intervención en seguridad</t>
  </si>
  <si>
    <t>Elaborar una matriz de intervención en seguridad priorizada (Identificación, monitoreo y estudio de las zonas vulnerables)</t>
  </si>
  <si>
    <t>SE HAN DESARROLLADO TRES CONSEJOS LOCALES DE SEGURIDAD , Y DOS INTERLOCALES, SE HAN REALIZADO LOS SEGUIMIENTOS DE LOS RESPECTIVOS CONSEJOS Y SE HAN PROGRAMADO LOS OPERATIVOS DE ACUERDO A LAS NECESIDADES DE LA COMUNIDAD IDENTIFICADAS POR LAS AUTORIDADES LOCALES</t>
  </si>
  <si>
    <t>SE REALIZARON DOS SEGUIMIENTOS, A LOS COMPROMISOS ADQUIRIDOS EN LOS CONSEJOS DE SEGURIDAD, REALIZANDO OPERATIVAOS DE CONTROL DE EXTRANJEROS, CONTROL DE EXPLOTACION SEXUAL Y COMERCIAL DE MENORES DE EDAD, CONTROL DE LA EXPLOTACION LABORAL DE MENORES, CONTROL POR PARTE DE LA POLICIA DE TRANSITO Y LA SECRETARIA DE MOVILIDAD DE MALPARQUEADOS</t>
  </si>
  <si>
    <t>se realizan informes en el consejo de seguridad siguiente de acuerdo a los compromisos adquiridos</t>
  </si>
  <si>
    <t>actas, listados de asistencia y registro fotográfico</t>
  </si>
  <si>
    <t>No. De seguimientos programados</t>
  </si>
  <si>
    <t>No. De seguimientos efectuados  en el trimestre</t>
  </si>
  <si>
    <t>Número de Seguimiento a los compromisos de Consejos de Seguridad</t>
  </si>
  <si>
    <t>Realizar 4 Informes de seguimientos a los compromisos adquiridos en los consejos de seguridad local.</t>
  </si>
  <si>
    <t>SE HAN REALIZADO DOS REUNIONES CON LOS LIDERES DE LOS CUADRANTES PARA QUE ELLOS  RINDAN CUENTAS A LA COMUNIDAD A CERCA DE LA OPERATIVIDAD, E IGUALMENTE RECEPCIONEN QUEJAS Y DENUNCIAS DE LA COMUNIDAD</t>
  </si>
  <si>
    <t>SE VINEN ADELANTANDO REUNIONES CON LA COMUNIDAD PARA PRESENTAR EL PROGRAMA DE LA ESTRATEGIA NACIONAL COMUNITARIA POR CUADRANTES, CON EL APOYO DE LOS LIDERES DE LOS CUADRANTES O COMANDANTES DE CAI; ESTA TAREA SE HA FORTALECIDO EN LOS CONSEJO DE SEGURIDAD LO CUALES SE VENIAN HACIENDO 1 POR MES Y SE AMPLIO A 4 POR MES.</t>
  </si>
  <si>
    <t>Desarrollar reuniones con los lideres de los cuadrantes para reuniones con la comunidad</t>
  </si>
  <si>
    <t>No estrategias diseñadas</t>
  </si>
  <si>
    <t>No estrategias implementadas</t>
  </si>
  <si>
    <t xml:space="preserve">Formular y ejecutar 4 estrategias de divulgación de las funciones y operación del Plan cuadrantes como un mecanismo de seguridad cercano al ciudadano. </t>
  </si>
  <si>
    <t>SE HAN REALIZADO TRES REUNIONES CON LOS COMERCIANTES DE SAN VICTORINO, ELECTRODOMESTICOS DE LA CRA 13 Y DE LAS UNIVERSIDADES, DONDE SE ESTA VIENDO LA POSIBILIDAD DE ADQUIRIR UNAS CAMARAS Y UNOS AVANTELES DONDE HAYA PRESUPUESTO DEL NIVEL CENTRAL, LOCAL Y PRIVADO</t>
  </si>
  <si>
    <t>SE VIENE DIVULGANDO EN LA PAGINA DE INTERNET DE LA ALCALDIA LOS RESULTADOS DE LOS OPERATIVOS, SE PUBLICARA EN EL PERIODICO IGUALMENTE, SE  ESTAN ENTREGANDO VOLANTES Y PLEGABLES A LAS COMUNIDADES EN LAS REUNION DE LOS CUADRANTES</t>
  </si>
  <si>
    <t>No Estrategias de autorregulación y corresponsabilidad realizadas.</t>
  </si>
  <si>
    <t>No Estrategias de autorregulación y corresponsabilidad</t>
  </si>
  <si>
    <t xml:space="preserve">Desarrollar e implementar 4 estrategias para  motivar la auto regulación y la corresponsabilidad ciudadana en materia de seguridad. </t>
  </si>
  <si>
    <t>Se cumplio con lo programado. Se realizaron actividades ludico pedagogicas con los jardines infantiles, colegios y comerciantes promoviendo las relaciones de vecindad, tenencia adecuada de mascotas, el reciclaje y ahorro de los servicios publicos. Se enfatizo especialmente en el sector de las cruces y la zona rural de la localidad (Verjon Alto y Verjon Bajo).</t>
  </si>
  <si>
    <t>Se cumplio con lo programado con la colaboracion de la Secretaria de Integracion Social y Camara y Comercio. Se realizaron actividades ludico pedagogicas con los jardines infantiles, colegios y comerciantes promoviendo las relaciones de vecindad, tenencia adecuada de mascotas, el reciclaje y ahorro de los servicios publicos.</t>
  </si>
  <si>
    <t xml:space="preserve">Teniendo en cuenta el alto grado de denuncias  de contravenciones por comportamientos contrarios a las relaciones de vecindad se realizaron visitas a sectores críticos con el fin de concientizar a la ciudadanía de que la única manera de solucionar sus conflictos es a través de la tolerancia y el dialogo. La SG y las inspecciones de policía estuvimos acompañadas por otras instituciones distritales. Se realizaron talleres y conferencias sobre relaciones de vecindad, manejo de mascotas, seguridad en establecimientos de comercio. Las actividades se realizaron específicamente en cada lugar en que se presentaba el comportamiento contrario a las noemas de convivencia.  </t>
  </si>
  <si>
    <t xml:space="preserve">Teniendo en cuenta que se hace necesario interactuar con la comunidad de la localidad dando a conocer las normas sobre convivencia ciudadana para hacer de Bogotá una ciudad mas humana se realizaron estas actividades con la participación de otras autoridades locales quienes ayudaron desde su punto de vista a aclarar inquietudes que la comunidad tenia. </t>
  </si>
  <si>
    <t>Número de actividades de sensibilización programadas</t>
  </si>
  <si>
    <t>Número de actividades de sensibilización realizadas.</t>
  </si>
  <si>
    <t>Realizar 30 acciones  de sensibilización para el acatamiento voluntario en   normas de convivencia. (Inspecciones de policía)</t>
  </si>
  <si>
    <t>NO APLICA</t>
  </si>
  <si>
    <t>Numero de mujeres victimas de la violencia atendidas</t>
  </si>
  <si>
    <t>Atender xxx mujeres victimas de violencia en acciones de tipo psicosocial.</t>
  </si>
  <si>
    <t xml:space="preserve">Se ejecutaron las jornadas programadas con al colaboracion del Consorcio Aseo Capital y la Oficina de Obras de la Alcaldia Local  en temas relacionados con los escombros (disposicion y entrega a la empresa de aseo). La comunidad recibe informacion respecto a como recuperan puntos criticos. Barrios: Las Cruces, Las Nieves, La Macarena, Lourdes, El Rocio Alto y Rocio Bajo, B. Ramirez </t>
  </si>
  <si>
    <t xml:space="preserve">Se ejecutaron las jornadas programadas con al colaboracion del Consorcio Aseo Capital, Camara y Comercio y Policia Nacional en las dos localidades (Santafe y Candelaria) . La comunidad recibe con entusiasmo las actividades en razon a que se les recuperan puntos criticos y se involucran a las partes (sector educativo, infractores y ciudadania) 1) 3 de julio….. Barrio Veracruz      2) 6 de julio…. Barrio San Martin    3) 25 de julio …...Calle 33 con Cra 5     4)24 de julio …… Las Nieves        5) 25 de julio….. Carrera 13 entre calles 34 a 32      6) 9 de agosto……. San Victorino      7) 29 de agosto ...... oficina de Denuncias y contravenciones Estacion de Polica La Candelaria    8) 12 de septiembre ...... Oficina de denuncias y contravenciones Estacion de Policia de Candelaria  9) 19 de septiembre ......... Carrera 8 entre calles 19 y 24 -comerciantes-      10) 26 de septiembre ...... Colegio Jorge Soto del Corral Barrio Lourdes </t>
  </si>
  <si>
    <t>Con la colaboración del Consorcio Aseo capital, vigías ambientales de Santafé y La Candelaria y la Policía Nacional se lograron realizar charlas, brigadas y visitas a diferentes puntos críticos en los que se logro concientizar a los habitantes de los sectores de Las Cruces, Las Nieves, San Bernardo, Centro de Bogotá. comerciantes, peatones y residentes de la importancia de sacar la basura los días establecidos y en el horario que haya programado la empresa recolectora de basuras. Se logro cumplir con la meta.</t>
  </si>
  <si>
    <t>Se realizaron en los barrios Egipto,  Los  Laches,  Las Cruces, El Dorado, San Bernardo, en compañía de Aseo Capital, Vigías Ambientales y Policía</t>
  </si>
  <si>
    <t>Listado de asistencia, actas y registro fotográfico</t>
  </si>
  <si>
    <t>No brigadas extramurales realizados.</t>
  </si>
  <si>
    <t xml:space="preserve">No brigadas extramurales  / </t>
  </si>
  <si>
    <t>Realizar 40 brigadas extramurales que se programen de acuerdo a la problemática (Jornadas pedagógicas sobre manejo adecuado de residuos sólidos)</t>
  </si>
  <si>
    <t>No programas de casas de justicia móvil realizados.</t>
  </si>
  <si>
    <t xml:space="preserve">No Programas de casas de justicia móvil </t>
  </si>
  <si>
    <t>Realizar 8 programas de casas de justicia móvil. (Dos por cada casa de justicia)</t>
  </si>
  <si>
    <t>No Jornadas de acceso a la Justicia realizados</t>
  </si>
  <si>
    <t>No Jornadas de acceso a la Justicia /</t>
  </si>
  <si>
    <t>Realizar xxx jornadas de acceso a la justicia en las casas de justicia</t>
  </si>
  <si>
    <t>No Casos atendidos en las Casas de Justicia y Centros de Convivencia realizados</t>
  </si>
  <si>
    <t>No Casos atendidos en las Casas de Justicia y Centros de Convivencia</t>
  </si>
  <si>
    <t>Atender xxx Casos en   casas de justicia y centros de convivencia</t>
  </si>
  <si>
    <t>Numero de Asesorías jurídicas</t>
  </si>
  <si>
    <t>Realizar xx Asesorías jurídicas especializadas en enfoque de derechos y de genero a mujeres victimas de violencia a través de las casas de Justicia.</t>
  </si>
  <si>
    <t>No. De ejercicios programados</t>
  </si>
  <si>
    <t>Número de ejercicios realizados</t>
  </si>
  <si>
    <t>Número de ejercicios  comunitarios realizados/ Coberturas a cuantos van a llegar con los ejercicios comunitarios</t>
  </si>
  <si>
    <t>Realizar xxx ejercicios comunitarios para la divulgación de servicios y la prevención de conflictos sociales desde las Casas de Justicia.</t>
  </si>
  <si>
    <t xml:space="preserve">Se sobrepasó la meta por cuanto se dio inicio a una reunión mensual a partir del mes de septiembre de acuerdo a los procedimientos de las UMC </t>
  </si>
  <si>
    <t>Se realizó la reunión correspondiente y en lo sucesivo se realizará una mensual de acuerdo a los procedimientos de las UMC</t>
  </si>
  <si>
    <t>Se realizó la reunión programada durante  este trimestre.</t>
  </si>
  <si>
    <t>Actas de reuniones</t>
  </si>
  <si>
    <t>Número de reuniones programadas</t>
  </si>
  <si>
    <t>Número de reuniones realizadas</t>
  </si>
  <si>
    <t xml:space="preserve">Realizar de 4 reuniones con la red local de Actores Voluntarios de Convivencia Comunitaria con el fin de articular, apoyar y orientar a la Red.    </t>
  </si>
  <si>
    <t>Se dio curso a los casos presentados en su totalidad (732 personas), siendo remitidos los casos no susceptibles de mediación o conciliación, pero orientados de igual manera sobre su acción a seguir</t>
  </si>
  <si>
    <t>Se dio curso a los casos presentados en su totalidad (133 casos)</t>
  </si>
  <si>
    <t xml:space="preserve">Debido a que las personas que acuden a la UMC en su totalidad son atendidas, se puede afirmar que se ha cumplido con el 100%, de acuerdo con el planteamiento de esta meta.  </t>
  </si>
  <si>
    <t xml:space="preserve">Atendiendo al registro en el formato denominado "Ficha de atención Inicial " Código 2L-GCS-F35 Versión 2.  Vigencia 20 Junio 2011. se puede llevar el registro puntual de los asistentes el cual corresponde con lo programado. </t>
  </si>
  <si>
    <t>Ficha de atención inicial</t>
  </si>
  <si>
    <t>No. De personas programadas</t>
  </si>
  <si>
    <t>Número de personas atendidas en las UMC.</t>
  </si>
  <si>
    <t>Atender 100% personas que acuden a las Unidades de Mediación y conciliación</t>
  </si>
  <si>
    <t>Se considera que la meta se cumplio, pero desde el inicio de año se planteo erroneamente en la cifra por cuanto el numero de Pac no permite realizar mas de 160 visitas a punto al año,.</t>
  </si>
  <si>
    <t>Cumplimiento de esta meta disminuyò debido a que no hay abogado en la Umc y a que el numero de acompañamienntos a los Pac se planteó mal desde el primer trimestre por cuanto, de ser visitados los puntos durante todo el año, solo sumarian 120 y no 230.</t>
  </si>
  <si>
    <t>El cumplimiento de esta meta disminuyó debido a que la Unidad de Mediación y Conciliación no cuenta desde el  primero de mayo de 2012 con  abogado . En estas visitas  los Actores Voluntarios de Convivencia cuentan con el apoyo de la Unidad de mediación y Conciliación tanto en orientaciones como asesorías   para prestar un mejor servicio a la ciudadanía, específicamente en Conciliaciones en equidad.</t>
  </si>
  <si>
    <t>La programación se ha cumplido a cabalidad, en cuanto se puede prever el resultado por contar con número de AVCC que asisten a PAC determinado y con el  equipo de funcionarias suficiente.</t>
  </si>
  <si>
    <t>Formato monitoreo puntos de atención comunitaria</t>
  </si>
  <si>
    <t>Número de visitas programadas</t>
  </si>
  <si>
    <t>Número de visitas realizadas a PAC</t>
  </si>
  <si>
    <t xml:space="preserve">Realizar 230 Visitas para seguimiento y acompañamiento a Puntos de Atención Comunitaria PAC. </t>
  </si>
  <si>
    <t xml:space="preserve">No se cumplió la meta debido a cancelación compromisos por parte de Idipron y por falta del profesional en derecho lo cual genero desde el primer semestre el cancelar el taller mensual de arrendamientos </t>
  </si>
  <si>
    <t>No se cumplió la meta debido a la postergación de dos (2) tallers previamente concertados con Idiprón</t>
  </si>
  <si>
    <t>Se incrementó ligeramente debido a actividad que se realizó en la parte alta de la localidad donde se requirió la participación activa de la UMC. Se realizó un apoyo a actividad adelantada por la Fundación Gestando Caminos, para aunar esfuerzos y articular articular acciones  para el fortalecimiento de la cultura ciudadana.  Población objetivo y  beneficiada: padres y madres Jardín Infantil El Consuelo.</t>
  </si>
  <si>
    <t>Aunque ha resultado difícil la convocatoria, debido a la dificultades que presenta la localidad por ser población flotante y la necesidad de empleo que impide dar importancia a la convivencia pacífica, se logró la meta planteada.</t>
  </si>
  <si>
    <t>Listados de asistencia</t>
  </si>
  <si>
    <t>Número de  personas programadas.</t>
  </si>
  <si>
    <t xml:space="preserve">Número de  personas sensibilizadas </t>
  </si>
  <si>
    <t>Número de  personas sensibilizadas</t>
  </si>
  <si>
    <t>Sensibilizar y motivar a 300 ciudadanos en temas relacionados con el abordaje para la resolución de conflictos y la promoción de convivencia pacífica (UMC).</t>
  </si>
  <si>
    <t>se expiden las certificacines de representacion legal, de acuerdo a las solicitudes escritas realizadas ante la Alcaldía Local de Santa Fe, informandoles que las pueden obtener por la página de la Secretaria de Gobierno, cumpliendose su expedición entre 5 y ocho días</t>
  </si>
  <si>
    <t>el  termino  de expedicion aumento , teniendo  encuenta el  volumen de solicitudes radicadas en la alcaldia .</t>
  </si>
  <si>
    <t>el termino de expedición se aumento aproximadamente a 8 días, teniendo en cuenta el volumen de solicitudes de certificaciones por cambio de administradores en la copropiedades.  Para los siguientes trimestres, se retornará a los cinco días promedio de expedición de las certificaciones</t>
  </si>
  <si>
    <t>Se ingresaron al sistema SI ACTUA, las personerías jurídicas solicitadas dándole la posibilidad al ciudadano de bajarla directamente por internet</t>
  </si>
  <si>
    <t>Expedientes y aplicativo SI ACTUA</t>
  </si>
  <si>
    <t>eficiencia</t>
  </si>
  <si>
    <t>No de certificaciones de existencia expedidas</t>
  </si>
  <si>
    <t>Promedio del tiempo</t>
  </si>
  <si>
    <t>Tiempo de expedición de las certificaciones</t>
  </si>
  <si>
    <t>Expedir las certificaciones de existencia de Personerías Jurídicas de propiedad horizontal en máximo cinco días.</t>
  </si>
  <si>
    <t>14.18</t>
  </si>
  <si>
    <t xml:space="preserve">Se realizaron 71 conciliaciones dentro del rango de los quince dias. En algunas de ellas el tiempo se sobrepaso por cuanto la queja inicial no llenaba los requisitos de ley y hasta que la parte interesada subsanara el escrito no se fijo fecha para la conciliacion; igualmente se fijo segunda fecha por solicitud de las partes </t>
  </si>
  <si>
    <t xml:space="preserve">Se realizaron 52 conciliaciones dentro del rango d elos quince dias. Algunas de ellas hubo necesidad de fijar segunda fecha por solciitud de las partes logrando con ello el archivo de la queja de manera pre-procesal </t>
  </si>
  <si>
    <t>Se realizaron 355 audiencias de conciliación y el tiempo que transcurrió entre el momento en que se recibió la queja y la fecha de conciliación oscilo entre 12 y 15 días corridos mas no hábiles. Se logro la meta.</t>
  </si>
  <si>
    <t xml:space="preserve">Dando cumplimiento al manual de procedimiento y en espera que las partes, que hacen parte de la queja, se notifiquen transcurren 15 días. Tiempo que siempre sea tenido en cuenta para la practica de las conciliaciones </t>
  </si>
  <si>
    <t>No audiencias de conciliación  realizadas</t>
  </si>
  <si>
    <t>Sumatoria del tiempo transcurrido entre la solicitud y la realización de la audiencia</t>
  </si>
  <si>
    <t>Tiempo de realización de la audiencia de conciliación</t>
  </si>
  <si>
    <t>Lograr en máximo  15 días la realización de la audiencia de conciliación. Secretaria general de las inspecciones de policía.</t>
  </si>
  <si>
    <t>14.17</t>
  </si>
  <si>
    <t>NO SE SUMINISTRÓ INFORMACIÓN</t>
  </si>
  <si>
    <t>se realizó en el sector comercial de San Victorino</t>
  </si>
  <si>
    <t>Numero de jornadas de prevención programadas</t>
  </si>
  <si>
    <t>Numero de jornadas de prevención realizadas</t>
  </si>
  <si>
    <t>Realizar 2 jornadas de sensibilización en la localidad en Normas de establecimientos de comercio.</t>
  </si>
  <si>
    <t>14.16</t>
  </si>
  <si>
    <t xml:space="preserve">SE REALIZO LAS 4 JORMADAS DE SENSIBILIZACIÓN </t>
  </si>
  <si>
    <t xml:space="preserve">no se han realizado jornadas de sensibilizacion </t>
  </si>
  <si>
    <t xml:space="preserve">No se han realizado jornadas de sensibilización </t>
  </si>
  <si>
    <t>Realizar 4 jornadas de sensibilización en la localidad en Normas de obras y urbanismo.</t>
  </si>
  <si>
    <t>14.15</t>
  </si>
  <si>
    <t>se cuentan a la fecha con 70 actuaciones admianistrativas de ley 232 de 1995 y espacio publico de las cuales tuvieron fallo 6 de establecimientos de comercio.  Las de espacio publico no tuvieron pronuncizmiento de fondo por estar en diligencias de pruebas y por tanto no se encuentran al despacho para fallo.  No se cumplio con la meta en espera de los instructivos de la secretaria de gobierno como quiera que hubo cambio de normatividad en el procedikiento es decir codigo contencioso administrativo</t>
  </si>
  <si>
    <t xml:space="preserve">Al 28 de septiembre del 2012 se han recibido 305 querellas (civiles y contravencionales) equivaliendo el 20% al logro obtenido en el presente trimestre. Los inspectores de manera eficiente a traves de visitas de oficio y requiriendo de manera reiterada a los investigados lograron que estos conciliaran y/o desistieran de las quejas. </t>
  </si>
  <si>
    <t>No se han fallado querellas del 2012</t>
  </si>
  <si>
    <t>Numero de querellas activas de la vigencia</t>
  </si>
  <si>
    <t>Numero de querellas falladas en la vigencia</t>
  </si>
  <si>
    <t>Porcentaje de querellas falladas en la vigencia</t>
  </si>
  <si>
    <t>Fallar el 20% de querellas activas de la vigencia  2012</t>
  </si>
  <si>
    <t>14.14</t>
  </si>
  <si>
    <t>en total hay 138 actuaciones administrativas de ley 232 de 1995 y espacio público, de las cuales 13 actuaciones administrativas fueron remitidas a otras entidades para trámite antes del presente trimestre por lo tanto no pueden tener movimiento alguno por parte de esta oficina.  de las 125 que se tiene físicamente tuvo impulsos administrativos de diferentes indole 48, las cuales representan el 40%, superandose la meta por contar con abogado de apoyo</t>
  </si>
  <si>
    <t>Para el segundo trimestre hay 128 actuaciones activas para el año 2011, se corrige el dato.   El número de querellas varía ya que durante el transcurso del trimestre las actuaciones administrativas son archivadas por cumplimiento de la medida ordenada (sellamientos), por dejar de funcionar, por cumplimiento a la ley 232 de 1995, por lo tanto la base del 30% varía para la medición de la meta</t>
  </si>
  <si>
    <t>Se tomó decisión de fondo para cada caso en particular de acuerdo al estado en que se encontraba cada actuación administrativa. Se tiene un total de 129 querellas.</t>
  </si>
  <si>
    <t>Carpeta de Resoluciones</t>
  </si>
  <si>
    <t xml:space="preserve">Numero de querellas activas de las vigencias  2011 </t>
  </si>
  <si>
    <t>Numero de querellas activas de las vigencias  2011 finiquitadas</t>
  </si>
  <si>
    <t xml:space="preserve">Porcentaje de querellas finiquitadas de la vigencia 2011 </t>
  </si>
  <si>
    <t xml:space="preserve">Resolver la situación jurídica (Impulso procesal) de las querellas activas de las vigencias  2011  tramitando al 30% de las mismas </t>
  </si>
  <si>
    <t>14.13</t>
  </si>
  <si>
    <t>en total hay 242 actuaciones de espacio pulbico y ley 232 de 1995 para el presente trimestre de las cuales físicamente 29 fueron remitidas a otras entidades para notificación antes del presente trimestre por lo tanto no pueden tener movimiento alguno.  la base para el porcentaje de la meta queda en 213 actuaciones de las cuales tuvo impulso 100 actuaciones equivalente al 50% , superandose la meta por contar con abogado de apoyo</t>
  </si>
  <si>
    <t>Se corrige el dato aportado, para el segundo trimestre se conocen 150  Actuaciones administrativas  del 2010 hacia atrás activas, para la vigencia del segundo trimestre.  El número de querellas varía ya que durante el transcurso del trimestre varias actuaciones administrativas son archivadas por cumplimiento de la medida ordenada (sellamientos), por dejar de funcionar, por cumplimiento a la ley 232 de 1995, por lo tanto la base del 30% varía para la medición de la meta</t>
  </si>
  <si>
    <t>Se tomó decisión de fondo para cada caso en particular de acuerdo al estado en que se encontraba cada actuación administrativa. Se tiene un total de 173 querellas.</t>
  </si>
  <si>
    <t>Carpetas de Resoluciones</t>
  </si>
  <si>
    <t>Numero de querellas activas de las vigencias  2010 y anteriores</t>
  </si>
  <si>
    <t>Numero de querellas activas de las vigencias  2010 y anteriores finiquitadas</t>
  </si>
  <si>
    <t>Porcentaje de querellas finiquitadas de la vigencia 2010 y anteriores</t>
  </si>
  <si>
    <t xml:space="preserve">Resolver la situación jurídica (Impulso procesal) de las querellas activas de las vigencias  2010 y anteriores tramitando al 30% de las mismas </t>
  </si>
  <si>
    <t>14.12</t>
  </si>
  <si>
    <t>se sobrepaso la meta, ya que se cuenta con un abogado de apoyo</t>
  </si>
  <si>
    <t>se conto con un abogado de apoyo para el impulso de las actuaciones administrativas.  Tanto la resolución que ordena la restitución del Espacio Público, com la decisión de los recursos impetrados y los fallos de archivo que se dan con ocasión de la restitución voluntaria; decisiones están encaminadas a la recuperación del espacio público</t>
  </si>
  <si>
    <t>Se abrieron actuaciones administrativas de acuerdo a los conceptos de uso del suelo expedidos por el Ingeniero</t>
  </si>
  <si>
    <t>Carpetas Resoluciones</t>
  </si>
  <si>
    <t>No. De decisiones programadas</t>
  </si>
  <si>
    <t>Número de decisiones de fondo proferidas</t>
  </si>
  <si>
    <t>Proferir 40  Decisiones de Fondo en materia de Espacio Público</t>
  </si>
  <si>
    <t>14.11</t>
  </si>
  <si>
    <t>SE HAN INICIADO 28 ACT. ADM ,  EN EL AÑO Y 10 PRELIMINARES.  EN ESTE TRIMESTRES SE  IMPULSARON 8 ACTUA. ADMIN. Y LAS 10 PRELIMINARES  QUE SE RADICARON EN EL SI ACTUA.</t>
  </si>
  <si>
    <t>se iniciaron 11 actuaciones administrativas y 16 impulsos procesales</t>
  </si>
  <si>
    <t>Se iniciaron 5 actuaciones administrativas  y 11 impulsos procesales. En total se han iniciado 17 Actuaciones Administrativa , de las cuales se les ha da impulso procesal a 11Actuaciones Adm.</t>
  </si>
  <si>
    <t xml:space="preserve">Se iniciaron 12 actuaciones administrativas en el 2.012 , a las cuales se le4s hizo impulso procesal </t>
  </si>
  <si>
    <t>Expedientes del 2012</t>
  </si>
  <si>
    <t>No actuaciones administrativas que se abrieron en la vigencia 2012</t>
  </si>
  <si>
    <t>No actuaciones administrativas con impulso procesal de 3 meses</t>
  </si>
  <si>
    <t xml:space="preserve">Porcentaje de actuaciones administrativas con impulso procesal </t>
  </si>
  <si>
    <t>Lograr que de las actuaciones administrativas que se abran en la vigencia 2012 por lo menos el 30%  tenga impulso procesal  en un periodo máximo de 3 meses. Obras</t>
  </si>
  <si>
    <t>14.10</t>
  </si>
  <si>
    <t>a la fecha se han abierto 70 actuaciones administrativas de ley 232 de 1995 y espacio publico, de las cuales 55 actuaciones tuvieron impulso procesal de diferente indole</t>
  </si>
  <si>
    <t>se impulsaron 15 actuaciones administrativas en notificación de auto de apertura al ministerio publico, administrados, al despacho para pronunciamiento de fondo y visitas ordenadas al ingeniero del grupo normativo</t>
  </si>
  <si>
    <t>Expedientes físicos y sistema SI ACTUA</t>
  </si>
  <si>
    <t>Número de actuaciones administrativas que se abrieron en la vig. 2012</t>
  </si>
  <si>
    <t>Número de actuaciones administrativas con impulso procesal en un periodo máximo de 3 meses</t>
  </si>
  <si>
    <t>Porcentaje de actuaciones administrativas con impulso procesal</t>
  </si>
  <si>
    <t>Lograr que de las actuaciones administrativas que se abran en la vigencia 2012 por lo menos el 50%  tenga impulso procesal  en un periodo máximo de 3 meses. Establecimientos de comercio y espacio publico.</t>
  </si>
  <si>
    <t>14.9</t>
  </si>
  <si>
    <t>ser realizaron operativos de restitución del espacio público por la indebida ocupación del mismo en toda la localidad</t>
  </si>
  <si>
    <t>se  realizaron operativos  de  control de espacio  publico , los cuales, fueron apoyados por los diferentes funcionarios</t>
  </si>
  <si>
    <t>se suspendió operativo por no haber disponibilidad de policía por eventos como marchas y demás actos que realizan en el centro de Bogotá.  .  Su impacto es positivo, toda vez que se hace la recuperación de las calles para el uso de la colectividad en general</t>
  </si>
  <si>
    <t>Se realizan los operativos de acuerdo con el acompañamiento de la Policía</t>
  </si>
  <si>
    <t>Carpetas de actas de operativos</t>
  </si>
  <si>
    <t>Numero de operativos realizados</t>
  </si>
  <si>
    <t>Realizar 160  operativos de control de espacio publico. (Jornadas de recuperación de Espacio Público)</t>
  </si>
  <si>
    <t>14.8</t>
  </si>
  <si>
    <t>se realizaron operativos inter-institucionales de control a establecimientos de comercio en lo relacionado con venta y consumo de licor, venta de alimentos, control a la presencia de menores en establecimientos de venta y consumo de licor dentro de los establecimientos</t>
  </si>
  <si>
    <t>se realizaron operativos de establecimientos de comercio   para verificar ley  232 de 1995</t>
  </si>
  <si>
    <t>se tuvo que suspender un operativo por cambio de coordinador normativo y jurídico.  Su impacto es en forma positiva, como quiera que es el control que se realiza para el cumplimiento de la norma, Ley 232 de 1995.</t>
  </si>
  <si>
    <t>Se verificó requisitos de funcionamiento de acuerdo a lo determinado en la Ley 232 del 95</t>
  </si>
  <si>
    <t>Realizar 30  operativos de control de establecimientos de comercio. (Ley 232 del 95)</t>
  </si>
  <si>
    <t>14.7</t>
  </si>
  <si>
    <t>no se emitieron solicitudes de inicio de cobros persuasivos por no haber multas para tal fin</t>
  </si>
  <si>
    <t xml:space="preserve">se  cuenta con un abogado  de apoyo,para la realizacion del cobro  persuasivo </t>
  </si>
  <si>
    <t>no se cuenta con abogado de apoyo para impulsar los cobros coactivos</t>
  </si>
  <si>
    <t>Se remitieron 44 a ejecuciones fiscales y 19 se realizaron acuerdos de pago</t>
  </si>
  <si>
    <t>Carpeta por cada cobro, contentiva de resolución, acto administrativo, notificaciones y acuerdos</t>
  </si>
  <si>
    <t>No decisiones en firme que imponen multa</t>
  </si>
  <si>
    <t>No cobros persuasivos realizados</t>
  </si>
  <si>
    <t xml:space="preserve">Porcentaje de cobros persuasivos realizados </t>
  </si>
  <si>
    <t>Realizar el cobro persuasivo al 100% de las decisiones en firme  a establecimientos de comercio (Requeridas y Solicitadas)</t>
  </si>
  <si>
    <t>14.6</t>
  </si>
  <si>
    <t>SE ENVIARON A COBRO PERSUASIVO 3  ACTUACIONES ADM. POR ENCONTRARSEN EN FIRME Y EJECUTORIADAS</t>
  </si>
  <si>
    <t>se entrego solamente una Actuacion Administrtiva por cuanto llego del concejo de justicia para materializarla</t>
  </si>
  <si>
    <t>No hay abogado para gestionar  cobro persuasivo se esta efectuando en la misma Asesoría</t>
  </si>
  <si>
    <t>CARPETAS DE COBRO PERSUASIVO</t>
  </si>
  <si>
    <t>Realizar el cobro persuasivo al 100% de las decisiones en firme a obras que imponen multa.</t>
  </si>
  <si>
    <t>14.5</t>
  </si>
  <si>
    <t>se realizaron 157 concepto de uso de suelo, superando la meta por tener un ingeniero y un arquitecto de apoyo para realizar las visitas de ordenes de trabajo</t>
  </si>
  <si>
    <t xml:space="preserve">se  cuenta con un arqueitecto  de apoyo contatista, por lo  tanto  se supero  la meta  fijada , son los juicios emitidos por el  profesional  idoneo para  la toma de decisiones  en materia del  uso  del  suelo </t>
  </si>
  <si>
    <t>se cuenta con un arquitecto de apoyo y por tal razón se superó la meta fijada.  Son los juicios emitidos por el profesional idóneo, para la toma de decisiones en materia de uso del suelo</t>
  </si>
  <si>
    <t>Se practicaron visitas a establecimientos de comercio y se expidieron conceptos de uso motivados por la presentación de quejas, recibidas en radicación y/o oficina servicio al ciudadano e informes de entidades</t>
  </si>
  <si>
    <t>CARPETAS CON ORDENES DE TRABAJO</t>
  </si>
  <si>
    <t>Número de conceptos programadas.</t>
  </si>
  <si>
    <t>Número de conceptos emitidos.</t>
  </si>
  <si>
    <t>Emisión de conceptos técnicos.</t>
  </si>
  <si>
    <t>Emitir  240 Conceptos Técnicos sobre establecimiento de comercio.</t>
  </si>
  <si>
    <t>14.4</t>
  </si>
  <si>
    <t>se dictaron resoluciones de ordenes de cierre definitivo, tramite a recursos de reposición y ordenes de archivo por dejar de funcionar o por cumplimiento a la ley 232 de 1995</t>
  </si>
  <si>
    <t xml:space="preserve">no  se cumplio la meta ya que  hubo  cambio  de alcalde Local </t>
  </si>
  <si>
    <t>no se da cumplimiento a la meta, ya que la asesora jurídica estaba realizando un reemplazo de vacaciones en las inspecciones de policía de la alcaldía local de santa fe.  Verificando que efectivamente las actividades comerciales que se desarrollan son las permitidas en la U.P.Z., y el impacto es tanto general e individual, en forma positiva toda vez que se hace acatamiento a la norma</t>
  </si>
  <si>
    <t>Se profirieron fallos de cierre definitivo, de recurso de reposición, depuración de cartera, liquidación de multas y de archivo del expediente</t>
  </si>
  <si>
    <t>CARPETAS RESOLUCIONES</t>
  </si>
  <si>
    <t>Proferir 180  Decisiones de Fondo en materia de Establecimientos de Comercio</t>
  </si>
  <si>
    <t>14.3</t>
  </si>
  <si>
    <t>SE REALIZARON 129 VISITAS POR  QUE HAY UN ARQUITECTO Y UN ING DE APOYO</t>
  </si>
  <si>
    <t xml:space="preserve">se realizo este numero de informes tecnicos por cuanto se cuenta con un Ingeniero y un Arquitecto de contrato hasta finales del de septiembre. </t>
  </si>
  <si>
    <t>Se cuenta con un ingeniero y un arquitecto. El otro Ingeniero esta colaborando con la oficina de planeación. Los conceptos técnicos es la ayuda técnica para poder determinar si hay infracción al régimen de obras  y poder tomar una decisión de fondo de acuerdo al Dictamen técnico.</t>
  </si>
  <si>
    <t>Se realizo este numero de conceptos técnicos por cuanto hay un ingeniero y un arquitecto de contrato  y el ingeniero de planta.</t>
  </si>
  <si>
    <t>Carpeta con los conceptos técnicos emitido</t>
  </si>
  <si>
    <t>Número de  conceptos técnicos emitidos</t>
  </si>
  <si>
    <t>Emitir 600  Conceptos Técnicos sobre infracción y control urbanístico.</t>
  </si>
  <si>
    <t>14.2</t>
  </si>
  <si>
    <t>SE EFECTUARON  MAS RESOLUCIONES DE FALLO POR QUE SE CUENTA CON DOS ABOGADAS DE APOYO</t>
  </si>
  <si>
    <t>Se profirieron solo 42 decisiones de fondo por cuanto la Asesora de Obra estuvo incapacitada en el mes de agosto.</t>
  </si>
  <si>
    <t xml:space="preserve">SE profirieron 22 resoluciones únicamente por que hubo cambio de Alcaldesa . Decisiones de fondo que terminan las Actuaciones Administrativas que se iniciaron por infracción al Régimen de Obras y Urbanismo. </t>
  </si>
  <si>
    <t>Se profirieron 44 resoluciones de fondo. No hubo Autos Inhibitorios</t>
  </si>
  <si>
    <t>Carpetas con las decisiones de fondo proferidas</t>
  </si>
  <si>
    <t xml:space="preserve">Proferir 180  Decisiones de Fondo en materia de Obras y Urbanismo </t>
  </si>
  <si>
    <t>14.1</t>
  </si>
  <si>
    <t>PROCESOS MISIONALES</t>
  </si>
  <si>
    <t>INFORMES MENSUALES QUE SE REALIZAN PARA LA CENTRAL DE SDQS., SE PUIEDEN VERIFICAR EN ARCHIVO FISICO. 177</t>
  </si>
  <si>
    <t>CERTIFICADOS REGISTRADO EN EL APLICATIVO SI ACTUA</t>
  </si>
  <si>
    <t>INFORMES MENSUALES QUE SE REALIZAN PARA LA CENTRAL DE SDQS., SE PUIEDEN VERIFICAR EN ARCHIVO FISICO.  EL INFORME PERMITE ESTABLECER LA OPORTUNIDAD CONQUE SE ENTREGAN LOS REQUERIMIENTOS A LAS DIFERENTES OFICINAS PARA SU RESPUESTA.</t>
  </si>
  <si>
    <t>CERTIFICADOS REGISTRADOS EN EL APLICATIVO SI ACTUA.</t>
  </si>
  <si>
    <t>Aplicativo SI ACTUA</t>
  </si>
  <si>
    <t>No. De solicitudes de certificados recibidos</t>
  </si>
  <si>
    <t>No. De certificados expedidos antes de 3 días hábiles</t>
  </si>
  <si>
    <t>Porcentaje de certificados de residencia solicitados</t>
  </si>
  <si>
    <t>Expedir el 100% de los Certificados de Residencia solicitados en 3 días hábiles.</t>
  </si>
  <si>
    <t>INFORMES MENSUALES QUE SE REALIZAN PARA LA CENTRAL DE SDQS., SE PUIEDEN VERIFICAR EN ARCHIVO FISICO. 1 MENSUAL</t>
  </si>
  <si>
    <t>INFORMES MENSUALES QUE SE REALIZAN PARA LA CENTRAL DE SDQS</t>
  </si>
  <si>
    <t>INFORMES MENSUALES QUE SE REALIZAN PARA LA CENTRAL DE SDQS., SE PUIEDEN VERIFICAR EN ARCHIVO FISICO.</t>
  </si>
  <si>
    <t>SE REALIZARON INFORMES MENSUALES LOS CUALES VAN DIRIGIDOS A LA CENTRAL DE QUEJAS Y SOLUCIONES.</t>
  </si>
  <si>
    <t>Carpeta de Informes mensuales gestión oficina de quejas y reclamos</t>
  </si>
  <si>
    <t>Informes de gestión programado</t>
  </si>
  <si>
    <t>Informes de gestión realizado</t>
  </si>
  <si>
    <t>Informe de gestión</t>
  </si>
  <si>
    <t>Adelantar 12  Informes de gestión de la Oficina de Quejas y reclamos</t>
  </si>
  <si>
    <t>CANTIDAD DE REQUERIMIENTOS QUE SE REGISTRARON EN EL SISTEMA DE SDQS, LOS CUALES SE PUEDEN VERIFICAR EN EL MISMO SISTEMA.  EL REQUERIMIENTO PERMITE BRINDAR RESPUESTA OPORTUNA A LOS REQUERIMIENTOS DE LA COMUNIDAD. 37</t>
  </si>
  <si>
    <t>CANTIDAD DE REQUERIMIENTOS QUE SE REGISTRARON EN EL SISTEMA DE SQDS.</t>
  </si>
  <si>
    <t>CANTIDAD DE REQUERIMIENTOS QUE SE REGISTRARON EN EL SISTEMA DE SDQS, LOS CUALES SE PUEDEN VERIFICAR EN EL MISMO SISTEMA.  EL REQUERIMIENTO PERMITE BRINDAR RESPUESTA OPORTUNA A LOS REQUERIMIENTOS DE LA COMUNIDAD.</t>
  </si>
  <si>
    <t>REQUERIMIENTOS QUE SE REGISTRARON EN EL SISTEMA DE QUEJAS Y SOLUCIONES, SE REALIZO SEGUIMIENTO.</t>
  </si>
  <si>
    <t>Aplicativo Quejas y Soluciones</t>
  </si>
  <si>
    <t>No. De quejas registradas en el aplicativo</t>
  </si>
  <si>
    <t>No. De quejas con seguimiento</t>
  </si>
  <si>
    <t>Porcentaje de seguimiento de quejas y soluciones</t>
  </si>
  <si>
    <t>Realizar seguimiento al 100% de los requerimientos registrados en el aplicativo de Quejas y Soluciones</t>
  </si>
  <si>
    <t>PROCESOS TRANSVERSALES</t>
  </si>
  <si>
    <t>SE EVIDENCIA EN LAS CARPETAS DE CADA CONTRATO LIQUIDADO EN EL TRIMESTRE DE LOS CUALES 15 FUERON DE PRESTACION DE SERVICIOS 4 DE CONVENIOS DE ASOCIACION 2 DE SUMINISTROS 4 CONVENIOS INTERADMINISTRATIVOS</t>
  </si>
  <si>
    <t>SE EVIDENCIA EN LAS CARPETAS DE CADA CONTRATO LIQUIDADO EN EL TRIMESTRE</t>
  </si>
  <si>
    <t>SE LOGRO LA AMETA GRACIAS A QUE SE CONTO CON EL CONCUROS DE TODAS LAS PERSONAS INVOLUCRADAS</t>
  </si>
  <si>
    <t>SE EVIDENCIA EN LAS CARPETAS DE LOS RESPECTIVOS CONTRATOS</t>
  </si>
  <si>
    <t>No. De contratos por liquidar.</t>
  </si>
  <si>
    <t>No. De contratos liquidados</t>
  </si>
  <si>
    <t>Liquidación de contratos</t>
  </si>
  <si>
    <t xml:space="preserve">Liquidar el 100% de contratos terminados de vigencia 2010 y de los años anteriores que cumplan requisitos </t>
  </si>
  <si>
    <t>Se realizó verificación, toma física de inventario de todos los bienes y elementos de propiedad del FDLSF, encontrandose todo en su sitio, buen estado, funcionando y con las placas respectivas.</t>
  </si>
  <si>
    <t>LA PROGRAMACIÓN SE REALIZARÁ EN EL ÚLTIMO TRIMESTRE</t>
  </si>
  <si>
    <t>Carpetas de comodatos que reposan en el Almacén</t>
  </si>
  <si>
    <t>No. De contratos de comodato suscritos.</t>
  </si>
  <si>
    <t>No. De contratos de comodato con seguimiento</t>
  </si>
  <si>
    <t>Porcentaje de contratos de comodato con seguimiento</t>
  </si>
  <si>
    <t>Realizar 1 seguimiento anual al 100% de contratos de comodato, en términos de lo establecido en la Resolución 01 de 2001 .</t>
  </si>
  <si>
    <t>Ok informacion contable validada y entregada a los entes de control, documentos soportes se encuentran disponibles para consulta, informacion soportada con aplicativo de SI CAPITAL</t>
  </si>
  <si>
    <t>Ok informacion contable validada y entregada a los entes de control, documentos soportes se encuentran disponibles para consulta, informacion soportada con aplicativo WINSAF</t>
  </si>
  <si>
    <t>Ok información contable validada y entregada a los entes de control, documentos soportes se encuentran disponibles para consulta, información soportada con aplicativo WINSAF</t>
  </si>
  <si>
    <t>Carpetas con estados financieros y equipo de cómputo que reposan en la oficina de Contabilidad</t>
  </si>
  <si>
    <t>Estados financieros programados</t>
  </si>
  <si>
    <t>Estados financieros presentados</t>
  </si>
  <si>
    <t>Estados Financieros</t>
  </si>
  <si>
    <t>Elaborar y presentar   12  estados financieros  dentro de los diez primeros días del mes siguiente a reportar.</t>
  </si>
  <si>
    <t>Teniendo en cuenta que los contratos se efectuaron en el cuarto trimestre de 2011 y on vigencia de un año, los contratos terminarán en el tercer trimestre de 2013. El monto total del presupuesto es de $18,607,808,000. La ejecución de giros de gastos de funcionamiento de la vigencia 2012 es del 31.74%, de gastos de inversión directa vigencia 2012 es del 7.34% a junio 30 de 2012</t>
  </si>
  <si>
    <t>18,607,808,000</t>
  </si>
  <si>
    <t>1,247,936,3796</t>
  </si>
  <si>
    <t>Teniendo en cuenta que los contratos se efectuaron en el cuarto trimestre de 2011 y on vigencia de un año, los contratos terminarán en el tercer trimestre de 2013. El monto total del presupuesto es de $18,607,808,000</t>
  </si>
  <si>
    <t>Ejecución Presupuestal de PREDIS</t>
  </si>
  <si>
    <t>Valor Presupuesto disponible</t>
  </si>
  <si>
    <t xml:space="preserve">Valor de Giros efectuados </t>
  </si>
  <si>
    <t>Porcentaje de Giros de  la vigencia</t>
  </si>
  <si>
    <t>Girar como mínimo el 60% del presupuesto de la vigencia.</t>
  </si>
  <si>
    <t>Los procesos contractuales se encuentran en ejecución y otros en liquidación. La ejecución de giros de gastos de inversión de obligaciones por pagar vigencias anteriores 2010 es del 16.74% a junio 30 de 2012</t>
  </si>
  <si>
    <t>4,416,998,172</t>
  </si>
  <si>
    <t>627,595,491</t>
  </si>
  <si>
    <t xml:space="preserve">Teniendo en cuenta que se acabaron las UEL, el FDLSF asume el trámite de las Obligaciones por Pagar. </t>
  </si>
  <si>
    <t>Valor de Obligaciones por pagar  vigencia 2010ç</t>
  </si>
  <si>
    <t xml:space="preserve"> Giros efectuados  de Obligaciones por Pagar vigencia 2010</t>
  </si>
  <si>
    <t>Porcentaje de giros efectuados de las Obligaciones por Pagar vigencia 2010</t>
  </si>
  <si>
    <t>Girar el 100% de las Obligaciones por pagar del año 2010.</t>
  </si>
  <si>
    <t>Esta ejecución se da gracias a la agilización de las cuentas por parte de los interventores. El monto de las obligaciones es de $13,394,001,433. Efectivamente la información corresponde con la que está en PREDIS. Las obligaciones por pagar se distribuyen en 35 proyectos de inversión de obligaciones por pagar de la vigencia fiscal 2011. La ejecución de giros de gastos de funcionamiento obligaciones por pagar es del 75.69% de gastos de inversión obligaciones por pagar vigencia 2011 es del 38.70%</t>
  </si>
  <si>
    <t>13,394,001,433</t>
  </si>
  <si>
    <t>4,092,485,168</t>
  </si>
  <si>
    <t>Esta ejecución se da gracias a la agilización de las cuentas por parte de los interventores. El monto de las obligaciones es de $12,126,592,652. Efectivamente la información corresponde con la que está en PREDIS. Las obligaciones por pagar se distribuyen en 35 proyectos de inversión de obligaciones por pagar de la vigencia fiscal 2011. La ejecución de giros de gastos de funcionamiento obligaciones por pagar es del 75.69% de gastos de inversión obligaciones por pagar vigencia 2011 es del 38.70%</t>
  </si>
  <si>
    <t>Esta ejecución se da gracias a la agilización de las cuentas por parte de los interventores. El monto de las obligaciones es de $12,126,592,652</t>
  </si>
  <si>
    <t>Valor de Obligaciones por pagar  vigencia 2011</t>
  </si>
  <si>
    <t xml:space="preserve"> Giros efectuados  de Obligaciones por Pagar vigencia 2011</t>
  </si>
  <si>
    <t>Porcentaje de giros efectuados de las Obligaciones por Pagar vigencia 2011.</t>
  </si>
  <si>
    <t>Girar como mínimo el  60% de  las Obligaciones por pagar del año 2011.</t>
  </si>
  <si>
    <t>Se ha cumplido con los criterios de :1. Administración de comunicaciones oficiales
2. Organización y administración de archivos de gestión
3. Ejecución del proceso de eliminación y conservación ambiental 
4. Formulación e implementación de instrumentos de gestión</t>
  </si>
  <si>
    <t>Carpetas y archivos de cada área de la Alcaldía Local y el archivo central de la misma</t>
  </si>
  <si>
    <t>Total de lineamientos archivistos</t>
  </si>
  <si>
    <t>Numero de lineamientos archivísticos aplicados</t>
  </si>
  <si>
    <t>Porcentaje de aplicación de los lineamientos</t>
  </si>
  <si>
    <t xml:space="preserve">Aplicación del 100%  los lineamientos archivísticos y procedimientos emitidos por Gestión Documental de la Secretaria Distrital de Gobierno, a los archivos de gestión de las Alcaldías Locales   </t>
  </si>
  <si>
    <t>Por cambio de administración, por el proceso de armonización del nuevo Plan de Desarrollo, los procesos de contratación se encuentran en curso. El presupuesto del FDLSF en gastos de funcionamiento se ejecutó atendiendo las necesidades de pagos de servicios públicos, seguros de vida ediles, mantenimiento y reparaciones en general, combustibles y arrendamientos, en cuanto a la ejecución de gastos de inversión el presupuesto se está ejecutando con cargo a 31 proyectos y a sus componentes, y estos impactaron en la localidad en temas de educación, salud, recreación y deportes, en medio ambiente. La ejecución de los gastos de funcionamiento de la vigencia 2012 es del 59.67%, de funcionamiento, obligaciones por pagar es del 91.88%, de gastos de inversión directa vigencia 2012 es del 29.50% de inversión obligaciones por pagar vigencia 2011 es del 88.41% y de obligaciones por pagar vigencia 2010 es del 59.13% para un gran total de ejecución del 49.50% a junio 30 de 2012</t>
  </si>
  <si>
    <t>4,811,202,200</t>
  </si>
  <si>
    <t>Vamos cumpliendo los porcentajes asignados por la Secretaría de Gobierno</t>
  </si>
  <si>
    <t>Valor Presupuesto disponible funcionamiento e inversión.</t>
  </si>
  <si>
    <t>Valor del Presupuesto ejecutado de funcionamiento e inversión</t>
  </si>
  <si>
    <t>Porcentaje de Ejecución presupuestal de funcionamiento e inversión</t>
  </si>
  <si>
    <t>Ejecutar el 100% del presupuesto de funcionamiento e inversión directa asignado en la vigencia.</t>
  </si>
  <si>
    <t xml:space="preserve">Se está cargando la Información Financiera por el Aplicativo de SI CAPITAL y se ha reportado a los entes de Control. Lo único que está pendiente por SI CAPITAL y que está en proceso es el aplicativo de SAI/SAE almacén, a la fecha se ha digitado la información que geenra WINSAF al aplicativo SI CAPITAL. </t>
  </si>
  <si>
    <t>Se ha seguido cargando la información mes a mes  y se ha verificado saldos desde el mes Marzo a Agosto, y en el mes de de Septiembre los funcionarios de SI Capital dieron aviso de digitar la información de Almacén por el Aplicativo de SI CAPITAL en Contabilidad, porque el FDLS tenían atrasados los meses de Marzo a la fecha en Almacén.  Sin embargo por SI CAPITAL está pendiente Almacén para su cargue normal por el aplicativo de SAI/SAE</t>
  </si>
  <si>
    <t>Se ha cargado movimientos mes de abril y mayo pendiente mes de junio tanto en contabilidad como en almacén e inventarios la información esta en revisión y pendiente de aprobación- sujeto a correcciones y ajustes y reclasificaciones, la información contable se valido con el aplicativo WINSAF</t>
  </si>
  <si>
    <t>Se ha cargado saldos iniciales a marzo 31 de 2012 tanto en contabilidad como en almacén e inventarios la información esta en revisión y pendiente de aprobación- sujeto a correcciones y ajustes y reclasificaciones, la información contable se valido con el aplicativo WINSAF</t>
  </si>
  <si>
    <t>Aplicativo SI CAPITAL</t>
  </si>
  <si>
    <t>No de transacciones efectuadas</t>
  </si>
  <si>
    <t>No de transacciones registradas en el Aplicativo</t>
  </si>
  <si>
    <t>Porcentaje de transacciones registradas en el Aplicativo SI CAPITAL</t>
  </si>
  <si>
    <t>Registrar al 100% las transacciones contables, Almacén, inventarios en el Aplicativo SI CAPITAL</t>
  </si>
  <si>
    <t>SE ADELANTARON LOS PROCESOS QUE TUVIERON EL VISTO BUENO DEL COMITÉ DE CONTRATACION COMO CONSTA EN LAS ACTAS DEL COMITÉ. SE ADELANTARON PROCESOS PARA ADQUISICIÓN DE BIENES Y SERVICIOS Y DE CONTRATOS DE PRESTACIÓN DE SERVICIOS.</t>
  </si>
  <si>
    <t>SE CUMPLIO LA META AL 100% GRACIAS A QUE SE CONTRATO LO PROGRAMADO</t>
  </si>
  <si>
    <t>CARPETAS DE LOS RESPECTIVOS PROCESOS</t>
  </si>
  <si>
    <t>N° procesos contractuales requeridos</t>
  </si>
  <si>
    <t>N° procesos contractuales realizados</t>
  </si>
  <si>
    <t xml:space="preserve">Porcentaje de Procesos Contractuales </t>
  </si>
  <si>
    <t>Realizar el 100% de los procesos contractuales para adquirir los bienes y servicios del plan de contratación. (Previa aprobación del comité de contratación)</t>
  </si>
  <si>
    <t>8.1</t>
  </si>
  <si>
    <t>PROCESOS APOYO</t>
  </si>
  <si>
    <t>Se sancionaron dos Acuerdos: el 01 sobre adición presupuestal y el 02 por el cual se adopta el Plan de Desarrollo Local 2013-2016</t>
  </si>
  <si>
    <t>No hubo acuerdos sancionados, ya que la JAL no presentó ninguno</t>
  </si>
  <si>
    <t>Carpeta con acuerdos sancionados</t>
  </si>
  <si>
    <t>Nº de Acuerdos Locales presentados por las JAL a las Alcaldías con cumplimiento de requisitos</t>
  </si>
  <si>
    <t>Nº de Acuerdos Locales sancionados</t>
  </si>
  <si>
    <t>Porcentaje  de proyectos de Acuerdos Locales sancionados</t>
  </si>
  <si>
    <t>Sancionar 100%  de  proyectos de acuerdo   presentados por la JAL que cumplan requisitos.</t>
  </si>
  <si>
    <t>La JAL presentó dos Acuerdos para revisión: el 01 sobre adición presupuestal y el 02 por el cual se adopta el Plan de Desarrollo Local 2013-2016</t>
  </si>
  <si>
    <t>La JAL no presentó Acuerdos para revisión</t>
  </si>
  <si>
    <t>La JAL no presentó a Acuerdos para revisión</t>
  </si>
  <si>
    <t>Carpeta con acuerdos presentados por la JAL</t>
  </si>
  <si>
    <t>Nº de Acuerdos Locales presentados por las JAL a las Alcaldías</t>
  </si>
  <si>
    <t xml:space="preserve">Nº de Acuerdos Locales Revisados </t>
  </si>
  <si>
    <t>Porcentaje  de proyectos de Acuerdos Locales revisados</t>
  </si>
  <si>
    <t>Revisar el 100% de los Proyectos de acuerdos locales presentados por la JAL.</t>
  </si>
  <si>
    <t>7.Contratación - cumple
8.Tramites y Servicios- cumple
9.Recurso Humano - cumple
FALTA DIRECTORIO ENTIDADES, INFORMES DE RENDICION DE CUENTAS E INFORME DE PROGRAMAS SOCIALES</t>
  </si>
  <si>
    <t>4.Información Financiera y Contable: No tiene información
5.Servicios de Información: Cumple con el criterio Noticias
6.Normatividad: No cumple.                                    
Por motivo de intrusión de los sitios web de las localidades en el mes de Septiembre 2012,  no se presentó un gran avance pues no se tenían usuarios y claves para actualizar contenidos, además se presentaron cambios constantes de personal encargado de alimentar los sitios,  motivo por el cual se tuvo que volver a capacitar a algunas localidades desde el comienzo.
Se revisaron nuevamente los  criterios de parámetros del segundo trimestre que se encontraban  sin cumplir o incompletos,  especialmente el parámetro de Planeación, Gestión y Control donde ninguna localidad lo tiene completo como especifica el Articulo 74 de la Ley 1474 del 2011 donde todas las entidades del estados a más tardar el 31 de enero de cada año, deberán publicar en sus respectivas páginas web el plan de acción.</t>
  </si>
  <si>
    <t>2.Información General de la Entidad, cumple con el criterio del organigrama.
3.Planeación, Gestión y Control, cumple con los siguientes criterios:  Plan de acción e informe de gestión.</t>
  </si>
  <si>
    <t>1.Aspecto a cumplir por la Localidad (Datos de Contacto)</t>
  </si>
  <si>
    <t>Carpeta con documentos que muestran avance , así mismo la página WEB</t>
  </si>
  <si>
    <t>Porcentaje de avance</t>
  </si>
  <si>
    <t>Porcentaje de avance en los requerimientos de Implementación de Gobierno en Línea</t>
  </si>
  <si>
    <t>Cumplir con el  100%  del plan de implementación del  nivel inicial del Manual Gobierno en Línea V. 3.0.</t>
  </si>
  <si>
    <t>LAS TRES ESTRATEGIAS SE PLANTEARON EN EL PRIMER TRIMESTRE  DEL AÑO</t>
  </si>
  <si>
    <t>servicios Institucionales, santa fe integrada  y puerta a puerta. Estas campañas se realizaron de la siguiente manera en la primera se elaboraron cartillas,  y se repartieron. En la integrada se realizó el día del hombre, y los cumpleaños con diferentes actividades y puerta a puerta, se realzó con el uso de págs. web y correos .</t>
  </si>
  <si>
    <t>Carpeta que contiene las estrategias, su formulación y avance las mismas</t>
  </si>
  <si>
    <t>Número de estrategias comunicativas programadas</t>
  </si>
  <si>
    <t xml:space="preserve">Número de estrategias comunicativas Realizadas
</t>
  </si>
  <si>
    <t xml:space="preserve">Número de estrategias comunicativas implementadas
</t>
  </si>
  <si>
    <t>Formular y Adelantar 3 estrategia de comunicación externa  e interna</t>
  </si>
  <si>
    <t xml:space="preserve">PLAN FORMULADO SIN AVANCE DE JECUCIÓN </t>
  </si>
  <si>
    <t>El Plan de medios ya está formulado.</t>
  </si>
  <si>
    <t>Carpeta con el Plan de comunicaciones</t>
  </si>
  <si>
    <t xml:space="preserve">Plan de comunicaciones </t>
  </si>
  <si>
    <t>Formular un plan de comunicaciones para la generación, acceso y democratización de la información soporte para la toma de decisiones de la entidad.</t>
  </si>
  <si>
    <t xml:space="preserve">comunicados de prensa, volantes, divulgación en medios, registro fotográfico y convocatoria de Cabildos </t>
  </si>
  <si>
    <t>carpetas con documentación{on soporte de las campañas.</t>
  </si>
  <si>
    <t xml:space="preserve">No de campañas comunicativas programadas.
</t>
  </si>
  <si>
    <t xml:space="preserve">No de campañas comunicativas realizadas
</t>
  </si>
  <si>
    <t xml:space="preserve">No. De Campañas comunicativas </t>
  </si>
  <si>
    <t xml:space="preserve">Realizar 1 campaña comunicativa orientada a difundir los servicios institucionales y promover el control social. </t>
  </si>
  <si>
    <t>PROCESOS ESTRATEGICOS</t>
  </si>
  <si>
    <t>DENOMINADOR</t>
  </si>
  <si>
    <t>NUMERADOR</t>
  </si>
  <si>
    <t>% Ejec</t>
  </si>
  <si>
    <t>Ejec</t>
  </si>
  <si>
    <t xml:space="preserve">Prog </t>
  </si>
  <si>
    <t>Ejec.</t>
  </si>
  <si>
    <t>Prog</t>
  </si>
  <si>
    <t>ANÁLISIS DE AVANCE</t>
  </si>
  <si>
    <t>FÓRMULA INDICADOR</t>
  </si>
  <si>
    <t xml:space="preserve">CATEGORÍA
</t>
  </si>
  <si>
    <t>FÓRMULA</t>
  </si>
  <si>
    <t>NOMBRE</t>
  </si>
  <si>
    <t>ANUAL</t>
  </si>
  <si>
    <t>Trimestre IV</t>
  </si>
  <si>
    <t>Trimestre III</t>
  </si>
  <si>
    <t>Trimestre II</t>
  </si>
  <si>
    <t>Trimestre I</t>
  </si>
  <si>
    <t>EJECUCIÓN TRIMESTRE IV</t>
  </si>
  <si>
    <t>EJECUCIÓN TRIMESTRE III</t>
  </si>
  <si>
    <t>EJECUCIÓN TRIMESTRE II</t>
  </si>
  <si>
    <t>EJECUCIÓN TRIMESTRE I</t>
  </si>
  <si>
    <t>MEDIO DE VERIFICACION</t>
  </si>
  <si>
    <t>AVANCE POND. META</t>
  </si>
  <si>
    <t>CUANTIFICACIÓN DE LA META</t>
  </si>
  <si>
    <t>Tipo de Anualización</t>
  </si>
  <si>
    <t>ESTRUCTURA DEL INDICADOR</t>
  </si>
  <si>
    <t>POND META</t>
  </si>
  <si>
    <t>META PROCESO</t>
  </si>
  <si>
    <t>ID. META GLOBAL</t>
  </si>
  <si>
    <t>OBJETIVO ESTRATÉGICO</t>
  </si>
  <si>
    <t>Alcalde(sa) Local Santa Fe</t>
  </si>
  <si>
    <t>RESPONSABLE DEPENDENCIA</t>
  </si>
  <si>
    <t>AVANCE DEL PLAN DE GESTIÓN:</t>
  </si>
  <si>
    <t>Somos la entidad cabeza del Sector Gobierno, Seguridad y Convivencia, responsable  de formular, agenciar y evaluar las políticas públicas en materia de derechos humanos, convivencia, seguridad, acceso a la justicia, construcción de ciudadanía, gobernabilidad democrática y el fortalecimiento del desarrollo local, en beneficio de las personas en el Distrito Capital</t>
  </si>
  <si>
    <t>MISIÓN:</t>
  </si>
  <si>
    <t>FORMATO DE FORMULACIÓN Y SEGUIMIENTO DE PLANES DE GESTIÓN</t>
  </si>
  <si>
    <t>SECRETARÍA DISTRITAL DE GOBIERNO</t>
  </si>
  <si>
    <t>VIGENCIA 2013</t>
  </si>
  <si>
    <t>Somos la entidad cabeza del Sector Gobierno, Seguridad y Convivencia, responsable  de formular, agenciar y evaluar las políticas públicas en materia de derechos humanos, convivencia, seguridad, acceso a la justicia, construcción de ciudadanía, gobernabilidad democrática y el fortalecimiento del desarrollo local, en beneficio de las personas en el Distrito Capital.</t>
  </si>
  <si>
    <t>Alcaldía Local Santa Fe</t>
  </si>
  <si>
    <t>Alcade Local CARLOS RODOLFO BORJA HERRERA</t>
  </si>
  <si>
    <t>I</t>
  </si>
  <si>
    <t>II</t>
  </si>
  <si>
    <t>III</t>
  </si>
  <si>
    <t>IV</t>
  </si>
  <si>
    <t>Avane Anual Plan de Gestiòn</t>
  </si>
  <si>
    <t>Eject</t>
  </si>
  <si>
    <t>% Eject</t>
  </si>
  <si>
    <t>TRIMESTRE I</t>
  </si>
  <si>
    <t>TRIMESTRE II</t>
  </si>
  <si>
    <t>TRIMESTRE III</t>
  </si>
  <si>
    <t>TRIMESTRE IV</t>
  </si>
  <si>
    <t>PROCESOS ESTRATÉGICOS</t>
  </si>
  <si>
    <t>Identificación Meta Especifica</t>
  </si>
  <si>
    <t>Programado</t>
  </si>
  <si>
    <t>Ejecutado</t>
  </si>
  <si>
    <t>Análisis de avance</t>
  </si>
  <si>
    <t>Medio de verificación.</t>
  </si>
  <si>
    <t>GESTIÓN DE COMUNICACIONES</t>
  </si>
  <si>
    <t xml:space="preserve">Realizar 2 campañas comunicativas orientadas a difundir los servicios institucionales y promover el control social. </t>
  </si>
  <si>
    <t xml:space="preserve">Cantidad </t>
  </si>
  <si>
    <t>Campañas comunicativas</t>
  </si>
  <si>
    <t>N° de campañas ejecutadas</t>
  </si>
  <si>
    <t>N° de campañas programadas</t>
  </si>
  <si>
    <t xml:space="preserve">Desde el mes de enero la Oficina de Prensa viene adelantando en Monserrate la campaña preventiva "Que le plan no sea perder el rumbo" </t>
  </si>
  <si>
    <t>Piezas comunicativas (Pancartas, Afiches, Volantes; cuña radial )  disfraces representando el peligr</t>
  </si>
  <si>
    <t>LA CAMPAÑA QUE EL PALN NO SEA PERDR EL RUMBO ES PERMANENTE (SE ENFATIZA DE ACUERDO A LA NECESIDAD).</t>
  </si>
  <si>
    <t>PENDONES, VOLANTES, PACARTAS, DISFRACES IMPACTOS EN LOS MEDIOS DE COMUNICACION.</t>
  </si>
  <si>
    <t xml:space="preserve">Se realiza la campaña : "En la calle no te eleves.. Cuida tu celular" asi mismo se desarrollaron las campañas: CAMPAÑA QUE EL PLAN NO SEA PERDR EL RUMBO ES PERMANENTE (PERMANENTE), CAMPÑA EN SANTA FE EL ARMA ES EL DESARME, CAMPAÑA DE LIMPIEZA EN EL PARQUE SANTANDER: SANTA FE TU ESPACIO </t>
  </si>
  <si>
    <t xml:space="preserve">Aficahes, volantes, baner, camisetas, gorras </t>
  </si>
  <si>
    <t>Formular 1 plan de comunicaciones para la generación, acceso y democratización de la información soporte para la toma de decisiones de la entidad.</t>
  </si>
  <si>
    <t>Plan de comunicación para la generación, acceso y democratización de la información</t>
  </si>
  <si>
    <t>N° de planes de comunicación realizados</t>
  </si>
  <si>
    <t>N° planes de comunicación formulados</t>
  </si>
  <si>
    <t>EL PLAN DE COMUNICACIONE FUE ELABORADO Y APROBADO POR EL ALCALDE LOCAL. EN ESTE MOMENTO ESTA EN DESARROLLO.</t>
  </si>
  <si>
    <t>EL ARCHIVO DEL PLAN SE PUEDE VER DIGITALMENTE EN EL COMPUTADOR DE LA OFICINA DE PRENSA (CARPETA PRESA/PLANEACION/PLAN DE COMUNICACIONES)</t>
  </si>
  <si>
    <t>Formular 6 estrategias de comunicación externa  e interna para la entidad.  (3 internas y 3 externas por cada alcaldía local y nivel central).</t>
  </si>
  <si>
    <t>Estrategias comunicativas implementadas</t>
  </si>
  <si>
    <t>Número de estrategias comunicativas Realizadas</t>
  </si>
  <si>
    <t>Numero de estrategias comunicativas programadas</t>
  </si>
  <si>
    <t>EN DESARROLLO DE LAS SIGUIENTES ESTRATEGIAS: CONSOLIDARSE COMO CENTRO DE INFORMACION; FUENTE DE INFORMACION PARA MEDIOS ALTERNATIVOS/COMUNITARIOS E IDENTIDADES DISTRITALES; FORTALECIMIENTO DE LA PAGINA WEB INSTITUCIONAL Y REDES SOCIALES  (APLICA NIVEL EXTERNO/ INTERNO), CREACION DE CANAL INFORMATIVO INTERNO  IMPLEMENTACION DE PROCESOS  Y PROTOCOLOS DE COMUNICACION.</t>
  </si>
  <si>
    <t xml:space="preserve">Relaciones publicas con los periodistas que cubren Bogotá; uso de herramientas (boletines de prensa, registro fotografico /video; correos electronicos, publicaciones en redes socailes, pagina web, llamadas), aunmento de seguidores en redes sociales/pagina web institucional, campaña expectativa para lanzamiento de canal informativo interno, programacion de reunion para socializacion de estrategias y protocolos de comunicacion.  </t>
  </si>
  <si>
    <t xml:space="preserve">Publicaciopnes en los medios de comunicación; elaboracion y diseño de la edicion numero 1 del  boletin interno ;  cereacion del fan page en facebook ; actualizacion de la pagina web institucional; carpeta compartida con la Oficina de Planeacion para la sociliazacion de proyectos y manejo de imagen institucional  </t>
  </si>
  <si>
    <t>PROCESOS DE APOYO</t>
  </si>
  <si>
    <t>GESTIÓN Y ADQUISICIÓN DE RECURSOS (LOCAL)</t>
  </si>
  <si>
    <t>Elaborar 1 plan de compras y contratación (Antes del primer trimestre).</t>
  </si>
  <si>
    <t>Plan de compras y contratación</t>
  </si>
  <si>
    <t>N° plan de compras y contratación  realizados</t>
  </si>
  <si>
    <t>N° plan de compras Y contratación  programados</t>
  </si>
  <si>
    <t>PLAN DE CONTRTACION PUBLICADO EN EL PORTAL DE CONTRATACION A LA VISTA.</t>
  </si>
  <si>
    <t>Archivar el 100% de documentos de acuerdo a las series documentales de la tabla de retención. (según la normatividad vigente).</t>
  </si>
  <si>
    <t>Archivos de documentos según tabla de retención documental</t>
  </si>
  <si>
    <t>N° de capetas archivadas según tabla de retención documental</t>
  </si>
  <si>
    <t>N° de capetas archivadas</t>
  </si>
  <si>
    <t>CARPETAS ORDENADAS SEGÚN LAS SERIES DOCUMENTALES DE LAS TABLAS DE RETENCION DOCUMENTAL</t>
  </si>
  <si>
    <t>ARCHIVO CENTRAL DE LA ALCALDIA Y DE LAS DIFERENTES ÁREAS QUE LA COMPONEN</t>
  </si>
  <si>
    <t>Girar como mínimo el  100% de  las Obligaciones por pagar de las vigencias anteriores.</t>
  </si>
  <si>
    <t xml:space="preserve">Giro de las obligaciones </t>
  </si>
  <si>
    <t>valor Girado de las obligaciones por pagar</t>
  </si>
  <si>
    <t>valor  de las obligaciones por pagar</t>
  </si>
  <si>
    <t>SE GIRO EL 20,94% CORRESPONDIENTE A LA TOTALIDAD DE LOS VALORES SOLICITADOS EN PAGO EN PRESUPUESTO.</t>
  </si>
  <si>
    <t>EJECUCION PRESUPUESTAL.</t>
  </si>
  <si>
    <t>VALOR TOTAL DE LAS OBLIGACIONES: 3,223,825,312 Y LO GIRADO FUE DE 1,685,317,079. SE AUTORIZO GIRAR DE ACUERDO CON LAS ACTAS DE LIQUIDACION EFECTUADAS PARA DICHAS OBLIGACIONES</t>
  </si>
  <si>
    <t>ACTAS DE LIQUIDACION</t>
  </si>
  <si>
    <t>Girar como mínimo el 80% del presupuesto asignado para  la vigencia.</t>
  </si>
  <si>
    <t>SE ESTA EN LA ETAPA DE FORMULACION Y CONTRATACION DE LOS PROYECTOS</t>
  </si>
  <si>
    <t>EJECUCION PRESUPUESTAL</t>
  </si>
  <si>
    <t>SE GIRO EL 4,91% CORRESPONDIENTE A LA TOTALIDAD DE LOS VALORES SOLICITADOS EN PAGO EN PRESUPUESTO</t>
  </si>
  <si>
    <t>El presupuesto de la vigencia equivale a $17.532.188.335 y los giros del trimestre equivalen a $838.639.539 lo que no da  un porcentaje de giros del 4.78 y no del 5.96 como se había reportado inicialmente.</t>
  </si>
  <si>
    <t>PREDIS</t>
  </si>
  <si>
    <t>DEL TOTAL DEL PRESUPUESTO 17.446.054.671 SE GIRO EN EL TRIMESTRE 5.196.726.376</t>
  </si>
  <si>
    <t xml:space="preserve">Liquidar el 100% de contratos terminados de vigencia 2012 y  años anteriores que cumplan requisitos. </t>
  </si>
  <si>
    <t>suma</t>
  </si>
  <si>
    <t xml:space="preserve"> contratos liquidados vig. Anteriores</t>
  </si>
  <si>
    <t>No. De contratos que cumplan requisitos por liquidar.</t>
  </si>
  <si>
    <t>se liquidaron 23 contratos terminados vigencia 2012 y años anteriores, sin embargo se reportan 22 ya que el aplicativo no permite ejecuciones por encima de lo programado</t>
  </si>
  <si>
    <t>carpetas que reposan en el archivo de contratacion del fdlsf</t>
  </si>
  <si>
    <t>LA META SE CUMPLIO POR ENCIMA DE LO PROGRAMADO TODA VEZ QUE SE CONTO CON LA ENTREGA OPORTUNA DE LA INFORMACION DE LOS CONTRATISTAS E INTERVENTORES PARA PODER SUSCRIBIR LAS ACTAS DE LIQUIDACION</t>
  </si>
  <si>
    <t>CARPETAS CONTENTIVAS DE LOS CONTRATOS</t>
  </si>
  <si>
    <t>SE HAN LOGRADO SUBSANAR LAS INCONCISTENCIAS EN LAS LIQUIDACIONES PARA PODER DAR TRAMITE A LAS MISMAS. El total de contratos a liquidar es de 70 en la vigencia, de los cuales se liquidaron 22.</t>
  </si>
  <si>
    <t>CARPETA CONTENTIVAS DE LOS CONTRATOS</t>
  </si>
  <si>
    <t>SE HAN LOGRADO SUBSANAR LAS INCONCISTENCIAS EN LAS LIQUIDACIONES PARA PODER DAR TRAMITE A LAS MISMAS. El total de contratos a liquidar es de 70 en la vigencia, de los cuales se liquidaron 23.</t>
  </si>
  <si>
    <t>Realizar 2 seguimientos sobre la eficacia, eficiencia o efectividad de las acciones de mejora identificadas en los planes de mejoramiento (de acuerdo a las fuentes establecidas en el procedimiento de gestión para la mejora), con el fin de cerrar las acciones.</t>
  </si>
  <si>
    <t>Seguimiento a los planes de mejoramiento</t>
  </si>
  <si>
    <t xml:space="preserve">Número de seguimientos realizados al plan de mejoramiento </t>
  </si>
  <si>
    <t>Número de seguimientos programados al plan de mejoramiento</t>
  </si>
  <si>
    <t>SE REALIZO SEGUIMIENTO AL PLAN DE MEJRAMIENTO FORMULADO PARA SUBSANAR LOS INFORMES DE CONTROL INTERNO Y DE CALIDAD Y CONTRALORIA.</t>
  </si>
  <si>
    <t>Informe de seguimiento enviado Planeacion Y Sistemas de Información SGD y Contraloría.</t>
  </si>
  <si>
    <t>Se hizo seguimiento Plan de mejoramiento de las auditorias internas y externas (Veeduria y Contraloria).</t>
  </si>
  <si>
    <t>Se evidencia en el aplicativo de Gestión para la Mejora y el seguimiento del Plan de Mejoramiento con la Contraloria se evidencia en la Acta de reunión con Control Interno del 18 de diciembre del 2013.</t>
  </si>
  <si>
    <t>Diseñar e implementar un modelo de Inspección, Vigilancia y control, que dé respuestas a las necesidades de la ciudad.</t>
  </si>
  <si>
    <t>GESTIÓN NORMATIVA Y JURÍDICA LOCAL</t>
  </si>
  <si>
    <t>Elaborar 1 cronograma de operativos para espacio Público antes del primer trimestre de la vigencia</t>
  </si>
  <si>
    <t>Elaboración del cronograma de operativos</t>
  </si>
  <si>
    <t>N° Cronogramas elaborados</t>
  </si>
  <si>
    <t>N° Cronogramas Programados</t>
  </si>
  <si>
    <t>Cumplir el 100% del cronograma de operativos programados (espacio publico).</t>
  </si>
  <si>
    <r>
      <t xml:space="preserve">Operativos realizados en materia de </t>
    </r>
    <r>
      <rPr>
        <sz val="11"/>
        <color indexed="10"/>
        <rFont val="Calibri"/>
        <family val="2"/>
      </rPr>
      <t>Espacio Público</t>
    </r>
  </si>
  <si>
    <t xml:space="preserve">N° de operativos realizados </t>
  </si>
  <si>
    <t xml:space="preserve">N° de operativos programados </t>
  </si>
  <si>
    <t>Elaborar 1 cronograma de operativos para establecimientos de comercio antes del primer trimestre de la vigencia</t>
  </si>
  <si>
    <t>SE ELABORA CRONOGRAMA PARA CONTROL AL FUNCIONAMIENTO DE ESTABLECIMIENTOS DE COMERCIO.</t>
  </si>
  <si>
    <t>CUADRO DE PROGRAMACION.</t>
  </si>
  <si>
    <t>Cumplir el 100% del cronograma de operativos programados (Establecimientos de comercio ).</t>
  </si>
  <si>
    <r>
      <t xml:space="preserve">Operativos realizados en materia de </t>
    </r>
    <r>
      <rPr>
        <sz val="11"/>
        <color indexed="10"/>
        <rFont val="Calibri"/>
        <family val="2"/>
      </rPr>
      <t>Establecimientos de Comercio</t>
    </r>
  </si>
  <si>
    <t>Se ejecutaron los operativos programados  para el primer trimestre.</t>
  </si>
  <si>
    <t>Acta de operativos obrantes en archivo de la asesoria juridica</t>
  </si>
  <si>
    <t>programados, 2 fueron suspendidos: 25 de abril no hizo presencia el Hospital Centro Oriente y Personeria Local, 17 de mayo  no se pudo contar con acompañamiento de la Policia, por presentarse en dicha fecha diferentes eventos masivos en la ciudad y no había personal policial disponible para el apoyo en la realización del operativo.</t>
  </si>
  <si>
    <t>ACTA DE OPERATIVOS OBRANTES EN ARCHIVO JURIDICA</t>
  </si>
  <si>
    <t>estaban programados 4 operativos, se incluyo 1 mas para 5 en total, se cancelaron 2 por no tener acompañamiento de la Policia de la Tercera Estación y 1 por los problemas de orden público que se presentaron en el centro por las protestas y caminatas del paro agrario</t>
  </si>
  <si>
    <t>ACTAS DE OPERATIVO OBRANTES EN ARCHIVO DE JURIDICA</t>
  </si>
  <si>
    <t>se programaron 5 operativos de control a establecimientos de comercio a determinadas actividades comerciales, las cuales fueron modificadas de acuerdo a las necesidades de control a ciertas actividades comerciales, teniendo en cuenta la epoca de festividades navideñas</t>
  </si>
  <si>
    <t>actas de operativos</t>
  </si>
  <si>
    <t>Resolver 50 % de los expedientes  de la vigencia 2012 y anteriores en materia de Espacio Público,  por medio de la decisión principal (Entendida esta como el Acto Administrativo que surge después de agotar las inspecciones técnicas, la expresión de opiniones y demás actividades preliminares y que  se sienta como la primera posición de la Alcaldía local.)</t>
  </si>
  <si>
    <t>Decisiones de fondo proferidas (Decisiones Principales) de la vigencia 2012</t>
  </si>
  <si>
    <t>Nº de Decisiones principales proferidas</t>
  </si>
  <si>
    <t>Inventario de expedientes de actuaciones administrativas a 31 de diciembre de 2012</t>
  </si>
  <si>
    <t>SE DICTÓ UN FALLO ORDENANDOSE LA RESTITUCION DEL ESPACIO PUBLICO</t>
  </si>
  <si>
    <t>COPIA DE RESOLUCION OBRANTE EN ARCHIVO DE JURIDICA.</t>
  </si>
  <si>
    <t>se dictaron fallos de archivo y de sancion de restitucion de espacio publico, en 5 fallos en el trimestre, superandose la meda por contar con abogado de apoyo.</t>
  </si>
  <si>
    <t>se rectifica la base de actuaciones de espacio publico que no tienen fallo principal, siendo 35 actuaciones de 2012 hacia atrás.  Para el presente trimestre se fallaron 6 actuaciones administrativas.esquivalente al 33,33%, de acuerdo a la base rectificada el porcentaje del primer trimestre es 5,5% correspondiente a 1 fallo. Para el segundo trimestre el porcentaje es 27,77% correspondiente a 5 fallos.  total parcial a la fecha de la meta es del 66,60%.  Se sobrepasa la meta porque se dio prioridad al área de espacio publico</t>
  </si>
  <si>
    <t>COPIAS DE RESOLUCIONES OBRANTES EN ARCHIVO DE LA OFICINA JURIDICA</t>
  </si>
  <si>
    <t>Se fallaron 22 actuaciones administrativas, las cuales fueron: 10 por primer vez, 1 revocando y 11 archivando.  Equivalente al 25%, de acuerdo a la base rectificada el porcentaje del primer trimestre es 5,5% correspondiente a 1 fallo. Para el segundo trimestre el porcentaje es 27,77% correspondiente a 5 fallos.  total parcial a la fecha de la meta es del 66,60%. para el cuarto trimestre se cumplio con la meta establecida sobrepasando la meta  porque se dio prioridad al área de espacio publico</t>
  </si>
  <si>
    <t>ACTUACIONES OBRANTES EN EL ARCHIVO DE JURIDICA.</t>
  </si>
  <si>
    <t>Resolver 70% de los expedientes de la vigencia 2012 y anteriores en materia de Obras,  por medio de la decisión principal (Entendida esta como el Acto Administrativo que surge después de agotar las inspecciones técnicas, la expresión de opiniones y demás actividades preliminares y que  se sienta como la primera posición de la Alcaldía local.)</t>
  </si>
  <si>
    <t>COPIA DE RESOLUCION OBRANTE EN ARCHIVO DE JURIDICA</t>
  </si>
  <si>
    <t>SE TIENE COMO BASE 142 ACTUACIONES ADMINISTRATIVAS  PARA FALLOS PRINCIPALES DEL 2012 HACIA ATRÁS DE LO CUAL HAY QUE FALLAR EL 70% QUE EQUIVALE A 100 A.A. el cual esta representado a 92 Actuaciones para fallo durante la vigencia al cual se le aplica el porcetanje de cada trimestre.PARA EL SEGUNDO TRIMESTRE SE DICTARON 23 FALLOS SANCIONATORIOS Y ARCHIVOS EQUIVALENTE AL 16 % SIENDO LA META EL 15%. SE SOBREPASO LA META POR CUANTO SE CUENTA CON ABOGADO DE APOYO.</t>
  </si>
  <si>
    <t>SE PUEDEN ENCONTRAR ESTAS RESOLUCIONES DE FALLO EN LA CARPETA DE RESOLUCIONES  Y EN CADA UNA DE LAS ACTUACIONES ADMINISTRATIVAS.</t>
  </si>
  <si>
    <t>SE TIENE COMO BASE 92 ACTUACIONES ADMINISTRATIVAS  PARA FALLOS PRINCIPALES DEL 2012 HACIA ATRÁS DE LO CUAL HAY QUE FALLAR EL 70% QUE EQUIVALE A 65 A.A. PARA EL TERCER TRIMESTRE SE DICTARON 25 FALLOS SANCIONATORIOS Y ARCHIVOS EQUIVALENTE AL 27 % SIENDO LA META EL 20%. SE SOBREPASO LA META POR CUANTO SE CUENTA CON ABOGADO DE APOYO.</t>
  </si>
  <si>
    <t>SE PUEDEN ENCONTRAR ESTAS RESOLUCIONES DE FALLO EN LA CARPETA DE RESOLUCIONES  Y EN CADA UNA DE LAS ACTUACIONES ADMINISTRATIVAS</t>
  </si>
  <si>
    <t>SE TIENE COMO BASE 92 ACTUACIONES ADMINISTRATIVAS  PARA FALLOS PRINCIPALES DEL 2012 HACIA ATRÁS DE LO CUAL HAY QUE FALLAR EL 70% QUE EQUIVALE A 65 A.A. PARA EL  CUARTO          TRIMESTRE SE DICTARON 51  FALLOS SANCIONATORIOS Y ARCHIVOS EQUIVALENTE AL 55 % SIENDO LA META EL 20%. SE SOBREPASO LA META POR CUANTO SE CUENTA CON ABOGADO DE APOYO.</t>
  </si>
  <si>
    <t>Resolver 50% de los expedientes de la vigencia 2012 y anteriores en materia de Establecimientos de Comercio,  por medio de la decisión principal (Entendida esta como el Acto Administrativo que surge después de agotar las inspecciones técnicas, la expresión de opiniones y demás actividades preliminares y que  se sienta como la primera posición de la Alcaldía local.)</t>
  </si>
  <si>
    <t>Decisiones de fondo proferidas(Decisiones Principales) de la vigencia 2012</t>
  </si>
  <si>
    <t>SE RESOLVIERON 16 EXPEDIENTES, SIN EMBARGO SE REPORTAN 5.6 PORQUE EL APLICATIVO NO PERMITE MOSTRAR EJECUCIONES POR ENCIMA DE LO PROGRAMADO</t>
  </si>
  <si>
    <t>COPIA DE LAS RESOLUCIONES OBRANTES EN ARCHIVO DE LA ASESORIA JURIDICA</t>
  </si>
  <si>
    <t>la base tomada para fallos principales de querellas activas es de 112 actuaciones, para lo cual de acuerdo al plan de gestion se debe resolver el 50%. el cual esta representado a 56 Actuaciones para fallo durante la vigencia al cual se le aplica el porcetanje de cada trimestre. Para el segundo trimestre se dictaron 15 fallos principales  en las actuaciones administrativas, determinandose sanciones de cierre definitivo y archivos.  Los 15 fallos equivalen al 30% para el trimestre, superandose la meta, ya que se cuenta con un abodagado de apoyo</t>
  </si>
  <si>
    <t>COPIAS DE RESOLUCIONES OBRANTES EN ARCHIVO DE JURIDICA.</t>
  </si>
  <si>
    <t>Se dictaron 3 fallos principales de cierre definitivo para el presente trimestre para un 2,60%, ya que los demás fallos dictados correspondieron a trámites de recursos de reposición, revocatorias y perdida de fuerza ejecutoria, además que la Asesora Jurídica estuvo en período de vacaciones.  De igual manera se hace aclaración en los indicadores de los dos primeros trimestres: 1er trimestre, se dictaron 15 fallos principales, los cuales corresponden al 13,40%, habiendose terminado para el trimtestre impulsar el 5%. Para el 2o trimestre se dictaron 15 fallos principales correspondiendo al 13,40%, habiéndose determinado para el trimestre el 15% de impulso, para un total parcial de 29,4%, contra un 40% programado para los tres primeros trimestres  Para el tercer trimestre se tratará de dictar los 23 fallos principales que hacen falta para dar cumplimiento a la meta del 50% de 112 actuaciones por fallar</t>
  </si>
  <si>
    <t>se dictaron 17 fallos en total, de los cuales hay tramites de perdida de fuerza ejecutoria, recursos de reposición y tramites finales a preliminares.  No se logra la meta, ya que con el cambio del Plan de Ordenamiento Terrotorial, las actuaciones administrativas no se pudieron fallar de fondo, ya que a la fecha se está en la transición del conocimiento del nuevo POT y además previo es necesario solicitar en cada caso particular, el concepto de uso de suelo a la SECRETARIA DISTRITAL DE PLANEACION, para tomar decisiones de fondo</t>
  </si>
  <si>
    <t>copias de resoluciones en carpeta de archivo</t>
  </si>
  <si>
    <t>Resolver 50 % de los expedientes de la vigencia 2013 en materia de Espacio Público,  por medio de la decisión principal ( Entendida esta como el Acto Administrativo que surge después de agotar las inspecciones técnicas, la expresión de opiniones y demás actividades preliminares.)</t>
  </si>
  <si>
    <t>Decisiones de fondo proferidas(Decisiones Principales) de la vigencia 2013</t>
  </si>
  <si>
    <t>Nº de expedientes de actuaciones  recibidas en la vigencia 2013</t>
  </si>
  <si>
    <t>no hay datos</t>
  </si>
  <si>
    <t>se cumplio con la meta del 50% de expedientes de vigencia de 2013</t>
  </si>
  <si>
    <t>ARCHIVO DE LA OFICINA JURIDICA Y EN EL SISTEMA SI ACTUA</t>
  </si>
  <si>
    <t>Resolver 40% de los expedientes de la vigencia 2013 en materia de Obras,  por medio de la decisión principal (Entendida esta como el Acto Administrativo que surge después de agotar las inspecciones técnicas, la expresión de opiniones y demás actividades preliminares y que  se sienta como la primera posición de la Alcaldía local.)</t>
  </si>
  <si>
    <t>SE TIENE COMO BASE 26  ACTUACIONES ADMINISTRATIVAS  PARA FALLOS PRINCIPALES DEL 2013 DE LO CUAL HAY QUE FALLAR EL 40% QUE EQUIVALE A10 A.A. PARA EL  CUARTO  TRIMESTRE SE DICTARON  15  FALLOS SANCIONATORIOS Y ARCHIVOS EQUIVALENTE AL 60 % SIENDO LA META EL 40%. SE SOBREPASO LA META POR CUANTO SE CUENTA CON ABOGADO DE APOYO.</t>
  </si>
  <si>
    <t>Resolver 80% de los expedientes de la vigencia 2013 en materia de Establecimientos de Comercio,  por medio de la decisión principal (Entendida esta como el Acto Administrativo que surge después de agotar las inspecciones técnicas, la expresión de opiniones y demás actividades preliminares y que  se sienta como la primera posición de la Alcaldìa local.)</t>
  </si>
  <si>
    <t>Se fallaron en total 6 actuaciones de ley 232 de 1995 de la vigencia de 2013, las demás actuaciones se encuentran en diferentes etapas procesales y no se han fallado más por la entrada del nuevo PLAN DE ORDENAMIENTO TERRITORIAL ya que se está en la etapa de su conocimiento para su aplicación, teniendo que solicitarse en cada caso particular el concepto de uso de suelo a la SECRETARIA DISTRITAL DE PLANEACION</t>
  </si>
  <si>
    <t>Impulsar 60% de las acciones policivas en términos procesales ( Querellas y Contravenciones de la Vigencia 2012 y anteriores)</t>
  </si>
  <si>
    <t>Impulso procesal de querellas y contravenciones de la vigencia 2012</t>
  </si>
  <si>
    <t>Nº de querellas y contravenciones con impulso procesal  de la vigencia 2012</t>
  </si>
  <si>
    <t>Inventario de querellas y contravenciones a 31 de diciembre de 2012</t>
  </si>
  <si>
    <t>Se realizaron 95 impulsos de acciones policivas, sin embargo por cuestión del aplicativo que no deja colocar ejecuciones por encima de lo programado, se muestran apenas 60</t>
  </si>
  <si>
    <t>aplicativo si actua y querellas</t>
  </si>
  <si>
    <t xml:space="preserve">TODAS LAS QUERELLAS Y CONTRAVENCIONES RECIBIERON IMPULSO PROCESAL. SE DIO TERMINACION DEFINITIVA A 96 DE ELLAS. PARA VIGENCIA SE DEBE ATENDER 451 QUERELLAS QUE CORRESPONDEN AL 60%. </t>
  </si>
  <si>
    <t>EXPEDIENTE Y APLICATIVO SI ACTUA .</t>
  </si>
  <si>
    <t>Se cumplio con la meta al darsele impulso procesal a todas y cada una de las querellas y contravenciones que se tramitan en las inspecciones 3 A, C y D. Dentro del tramite se emitieron 45 fallos los cuales se encuentran en firme y ejecutoriados</t>
  </si>
  <si>
    <t xml:space="preserve">Aplicativo SI ACTUA y cada expediente </t>
  </si>
  <si>
    <t>Se cumplio con la meta al dar impulso procesal a todas y cada una de las querellas y contravenciones que se tramitan en las inspecciones 3 A, C y D. Dentro del tramite se emitieron 31 fallos los cuales se encuentran en firme y ejecutoriados</t>
  </si>
  <si>
    <t>SE PUEDEN ENCONTRAR LAS RESOLUCIONES EN FIRME Y EJECUTARIADAS Y LOS MOVIENTOS DADOS A CADA UNA DE LAS ACTUACIONES ADMINISTRATIVAS EN CADA UNO DE LOS EXPEDIENTES</t>
  </si>
  <si>
    <t>Impulsar 60% de las acciones policivas en términos procesales  ( Querellas y Contravenciones de la Vigencia 2013)</t>
  </si>
  <si>
    <t>Impulso procesal de querellas y contravenciones de la vigencia 2013</t>
  </si>
  <si>
    <t>Nº de querellas y contravenciones con impulso procesal  de la vigencia 2013</t>
  </si>
  <si>
    <t>Nº de Querellas y contravenciones recibidas en la vigencia 2013</t>
  </si>
  <si>
    <t>Se reporta ejecución por debajo de lo programado. Sin embargo la secretaria general de inspecciones no argumento el porque no se logro dar cumplimiento al 60% programado para este trimestre.</t>
  </si>
  <si>
    <t>Aplicativo SI ACTUA y querellas.</t>
  </si>
  <si>
    <t>TODAS LAS QUERELLAS Y CONTRAVENCIONES RECIBIERON IMPULSO PROCESAL. SE DIO TERMINACION DEFINITIVA A 29 DE ELLAS. PARA VIGENCIA SE TIENE UN TOTAL 147 QUERELLAS DE LAS CUALES SE DEBE ATENDER EL 60% QUE CORRESPONDE A 89 QUERELLAS.</t>
  </si>
  <si>
    <t xml:space="preserve">EXPEDIENTE Y APLICATIVO SI ACTUA </t>
  </si>
  <si>
    <t>Se cumplio con la meta al darsele impulso procesal a todas y cada una de las querellas y contravenciones que se tramitan en las inspecciones 3 A, C y D. Dentro del tramite se emitieron 32 fallos los cuales se encuentran en firme y ejecutoriados</t>
  </si>
  <si>
    <t>Se cumplio con la meta al darsele impulso procesal a todas y cada una de las querellas y contravenciones que se tramitan en las inspecciones 3 A, C y D. Dentro del tramite se emitieron 52 fallos los cuales se encuentran en firme y ejecutoriados</t>
  </si>
  <si>
    <t>SE PUEDEN ENCONTRAR LAS RESOLUCIONES EN FIRME Y EJECUTARIADAS Y EL IMPULSO A LAS ACTUACIONES ADMINISTRATIVAS EN CADA UNO DE LOS EXPEDIENTES</t>
  </si>
  <si>
    <t>Lograr en máximo  15 días la realización de la audiencia de conciliación, Secretaria general de las inspecciones de policía o Corregidores.</t>
  </si>
  <si>
    <t>constante</t>
  </si>
  <si>
    <t>Tiempo promedio de realización de audiencias de conciliación</t>
  </si>
  <si>
    <t xml:space="preserve">Sumatoria de días para la realización de todas las audiencias de conciliación </t>
  </si>
  <si>
    <t>N° de Audiencias realizadas.</t>
  </si>
  <si>
    <t>SE EFECTUARON 91 AUDIENCIAS DENTRO DE LOS 15 DIAS COMO PRIMERA FECHA.</t>
  </si>
  <si>
    <t>APLICATIVO SI-ACTUA Y QUERELLAS</t>
  </si>
  <si>
    <t>NO SE ALCANZO LA META POR CUANTO LA TITULAR DE LA SECRETARIA GENERAL ESTUVO INCAPACITADA DURANTE MES Y MEDIO Y NO ENCARGARON A FUNCIONARIO LO QUE GENERO REPRESAMIENTO EN LAS CONCILIACIONES. UNA VEZ SE REINTEGRO LA FUNCIONARIA SE FIJARON LAS FECHAS PERO ESTAN IBAN A MAS DE 35 DIAS.</t>
  </si>
  <si>
    <t>APLICATIVO SI-ACTUA, CARPETA CONCILIACIONES Y QUERELLAS</t>
  </si>
  <si>
    <t>Se realizaron las audiencias de conciliacion en un tiempo menor del establecido por cuanto en la mayoria de los casos estaban involucrados menores de edad o adultos en situacion vulnerable haciendose necesaria la premura en la evacuacion de la conciliacion.     Se realizaron 97 conciliaciones (68 por primera vez y 29 segunda fecha) para un total de 916 horas trascurridas entre el momento de la radicacion y/o fijacion de segunda fecha y la practica de la conciliacion.</t>
  </si>
  <si>
    <t xml:space="preserve">Carpeta de conciliacion y cada expediente </t>
  </si>
  <si>
    <t>Se realizaron las audiencias de conciliacion en un tiempo menor del establecido por cuanto en la mayoria de los casos estaba involucrada poblacion en situacion vulnerable haciendose necesaria la premura en la evacuacion de la conciliacion.     Se realizaron 62 conciliaciones (44 por primera vez y 18 segunda fecha) para un total de 555 dias trascurridos entre el momento de la radicacion y/o fijacion de segunda fecha y la practica de la conciliacion.</t>
  </si>
  <si>
    <t>Suscribir 4 pactos con vendedores ambulantes para el control del espacio público.</t>
  </si>
  <si>
    <t>Pactos desarrollados y/o suscritos con vendedores ambulantes</t>
  </si>
  <si>
    <t>Nº de pactos suscritos y/o desarrollados</t>
  </si>
  <si>
    <t>Nº de pactos que se programen para desarrollar</t>
  </si>
  <si>
    <t>SE SUSCRIBIO UN PACTO  CON VENDEDORES AMBULANTES SEGÚN LO PRE3VISTO</t>
  </si>
  <si>
    <t>SE HA TENIDO REUNION CON LAS ONG QUE REPRESENTAN A LAS PERSONAS EN EJERCICIO DE LA PROSTITUCION, Y ALGUNOS DUEÑOS DE ESTABLECIMIENTOS COMO HOSTALES Y RESIDENCIAS</t>
  </si>
  <si>
    <t>SE SUSCRIBIO UN PACTO  CON VENDEDORES AMBULANTES  DE LAS CALLES 22, 23 Y 24, SEGÚN LO PREVISTO Y VENTAS DE  GALLINA EN LA CALLE 13 CON 13</t>
  </si>
  <si>
    <t>SE CREO MESA DE TRBAJO DONDE INTERVIENEN EL IPES Y SECRETARIA DE GOBIERNO CON LOS VENDEDORES INFORMALES DE LAS CALLES 22,23 Y 24 QUIENES OCUPAN ESTE ESPACIO LOS DOMINGOS Y FESTIVOS CON QUIENES SE VIENE HACIENDO REUNIONES PERIODICAS PARA QUE ESTAS PERSONAS SALGAN DE LA INFORMALIDAD.Y CON LOS VENDEDORES DELA AV JIMENEZ CON 13 SE COMPROMETIERON A REALIZAR ACERCAMIENTOS CON EL IPES PARA PODER SALIR DE LA INFORMALIDAD.</t>
  </si>
  <si>
    <t>NO HAY INFORMACION</t>
  </si>
  <si>
    <t>Generar 4 informes de seguimiento frente a la materializacion de ordenes de demolición en firme.</t>
  </si>
  <si>
    <t>Informes de seguimiento a los procesos de materialización de las ordenes de demolición</t>
  </si>
  <si>
    <t>Nº de Informes de seguimiento elaborados</t>
  </si>
  <si>
    <t>Nº de Informes de seguimiento programados</t>
  </si>
  <si>
    <t>NO SE CUMPLIO CON LA META POR CUANTO NO SE HA FIJADO FECHA DE DEMOLICIONES. POR CUANTO NO HASIDO POSIBLE LOS ESTUDIOS Y PRESUPUESTOS PREVIOS POR PARTE DEL CONTRATISTA.</t>
  </si>
  <si>
    <t>SE GENERARON 14 INFORMES AL ARQUITECTO DEL GRUPO DE GESTIÓN JURIDICA , PARA VERIFICAR  EL ESTADO DE LOS INMUEBLE  Y   SI NO SE HA DEMOLIDO SE ORDENARA LA DEMOLICION POR LA ALCALDIA, CON EL COBRO POSTERIOR AL INFRACTROR.</t>
  </si>
  <si>
    <t>SE PUEDEN ENCONTRAR ESTOS INFORMES  EN LA CARPETA DE ORDENES DE VISITA  Y EN CADA UNA DE LAS ACTUACIONES ADMINISTRATIVAS.</t>
  </si>
  <si>
    <t>Generar 4 informes de seguimiento frente a la materilización de ordenes de cierre de establecimiento de comercio</t>
  </si>
  <si>
    <t>Informes de seguimiento a los procesos de materialización de las ordenes de cierre a establecimientos de comercio</t>
  </si>
  <si>
    <t>SE DESARROLLO UN CONTROL AL CUMPLIMIENTO DE ORDENES DE CIERRE DEFINITIVO EN INMUEBLES EN DONDE SE APLICARON SELLOS , TOMANDOSE REGSITRO FOTOGRAFICO.  SE VERIFICO CUMPLIMIENTO EN DONDE SE REALIZÓ EL CONTROL</t>
  </si>
  <si>
    <t>ACTA DE OPERATIVO OBRANTE ARCHIVO DE JURIDICA</t>
  </si>
  <si>
    <t>se practicaron 2 operativos durante el trimestre para verificar el cumplimiento de ordenes de cierre definitivo.  Se sobrepasa la meta, ya que fue necesario realizar dichas visitas para dar respuesta a solicitudes de información de la Personería Local</t>
  </si>
  <si>
    <t>se practicaron 2 operativos durante el trimestre para verificar el cumplimiento de ordenes de cierre definitivo.  Se sobrepasa la meta, ya que fue necesario realizar dichas visitas para dar respuesta a solicitudes de información solicitada</t>
  </si>
  <si>
    <t>se realiza control al cumplimiento de ordenes de sello aplicados</t>
  </si>
  <si>
    <t>Se realizó seguimiento al Plan de mejoramiento formulado para subsanar los informes de control interno y de calidad y Contraloria.</t>
  </si>
  <si>
    <t>GESTIÓN PARA LA CONVIVENCIA Y SEGURIDAD INTEGRAL</t>
  </si>
  <si>
    <t>Lograr que el 80% de las personas que culminen la sensibilización y la motivación  evalúen el taller de formación con un nivel igual o superior  a bueno</t>
  </si>
  <si>
    <t xml:space="preserve">Porcentaje </t>
  </si>
  <si>
    <t>Logro de calificación superior a bueno</t>
  </si>
  <si>
    <t>N° de personas que evalúen el taller con una calificación superior a buena</t>
  </si>
  <si>
    <t xml:space="preserve">N° de personas evaluadas en el taller </t>
  </si>
  <si>
    <t>El N° de personas que evaluaron el taller con una calificacion superior a buena fueron 7. Sin embargo y teniendo en cuenta los parametros del aplicativo, no es posible reportar ejecución por encima de lo programado.
La evaluación se realiza con personas participantes en procesos de sencibilziacion frente al abordaje del conflicto ya que en el primer trimestre no se realizan motivaciones.</t>
  </si>
  <si>
    <t>Formatos de evaluacion 2L-GCS-F21.</t>
  </si>
  <si>
    <t>Avance optimo. Evaluación scorresponde a personas en proceso de Sensibilización frente al abordaje del conflicto y dos grupos de taller de ley 820.</t>
  </si>
  <si>
    <t xml:space="preserve">Formatos de evaluación 2L-GCS-F21  </t>
  </si>
  <si>
    <t>28 personas evaluaron los cuatro talleres de motivación realizados en el trimestre con una calificación entre buena y excelente. 
Por cada taller se toma una muestra representativa no inferior al 20% de los participantes se debe replantear en cuanto a calificación del 80% de las persinas evaluad como lo indica el denominador y no del total de personas participantes</t>
  </si>
  <si>
    <t>17 evaluaciones correspondientes a muestra representativa de participantes en tres (3) talleres de motivación realizados entre octubre y noviembre. Cumpliendo la meta propuesta</t>
  </si>
  <si>
    <t>Formatos de evaluación 2L-GCS-F21 (Medio físico carpeta procedimiento Motivación y formación básica)</t>
  </si>
  <si>
    <t>Alcanzar el 80% en el nivel de satisfacción del servicio de todo el proceso de mediación institucional.</t>
  </si>
  <si>
    <t xml:space="preserve">Nivel de satisfacción del servicio </t>
  </si>
  <si>
    <t>Sumatoria de puntuación obtenida</t>
  </si>
  <si>
    <t>Puntuación máxima a obtener(45)</t>
  </si>
  <si>
    <t xml:space="preserve">La sumatoria de puntuación obtenida es de 15. Sin embargo y teniendo en cuenta los parametros del sistema no es posible reportar ejecución por encima de lo programado.
</t>
  </si>
  <si>
    <t>Formato consulta satisfaccion del servicio 2L-GCS-F7</t>
  </si>
  <si>
    <t>Avance optimo correspondiente al 93% del nivel de satisfacción.La meta está mal formulada en su medición por cuanto el puntaje maximo (denominador) es 15.Por lo anterior, el numero de resultado no se corresponde con el enunciado.</t>
  </si>
  <si>
    <t>Formato consulta satisfacción del servcio 2L-GCS-F7 (2 consultas)</t>
  </si>
  <si>
    <t>Se recalca que la sumatoria de la evaluación hecha por los ciudadanos es de 15 y no de 45 cpmo ya se ha reiterado. En general la calificación frente al ejercicio de mediación es buena y superior a los 12 puntos (80%)</t>
  </si>
  <si>
    <t>El 100% de las personas evaluadas calificaron el ejercicio de mediación como bueno o excelente con puntajes de cuatro (4) o (5) respectivamente. El indicador está mal planteado por cuanto tiene en cuenta la sumatoria de la evaluación pero no el numero de personas que evaluan</t>
  </si>
  <si>
    <t>Formatos de consulta satisfacción del servicio (Formato 2L-GCS-F7 - medio fisico  carpeta: Guia de acogida y orientación)</t>
  </si>
  <si>
    <t>motivar y sensibilizar a 200 ciudadanos en temas relacionados con el abordaje alternativo de conflictos</t>
  </si>
  <si>
    <t>Personas Motivadas y Sensibilizadas</t>
  </si>
  <si>
    <t>Número de  personas sensibilizadas y motivadas</t>
  </si>
  <si>
    <t>El numero es inferior al esperado debido a que no hubo respuesta a convocatoria de sensibilización y en Motivación está pendiente convenios con Ied de las localidades Santa fe y Candelaria</t>
  </si>
  <si>
    <t>Formatos de asistencia 2L-GCS-F20</t>
  </si>
  <si>
    <t>El numero es inferior al esperado puersto que no se encuentra a respuesta a convocatoria. Se replanteará estrategia de divulgación. Igualmente aun carece la Umc de profesional en derecho.</t>
  </si>
  <si>
    <t xml:space="preserve">Se logró por primera vez en el año superar la meta de trimestre establecida debido a convenio con Secretaria de integración socil realizando talleres preventivos de motivación con padres usuarios de jardines infantiles. Sin embargo, aun es dificil una respuesta a las convocatorias por parte de la comunidad en Gral. </t>
  </si>
  <si>
    <t>Al cierre del año 2013 se presentó la mayor cantidad de participantes superando ampliamente el numero programado. Compensando la baja participación en el primer trimestre del año</t>
  </si>
  <si>
    <t xml:space="preserve">Listados de asistencia  ( Formato 2L-GCS-F24 - Medio : Físico.  Carpeta procedimiento Motivación para ola convivencia  y formacion) </t>
  </si>
  <si>
    <t xml:space="preserve">Realizar 9 reuniones de retroalimentación con la red local de AVCC con el fin de mejorar los servicios prestados a la comunidad.   </t>
  </si>
  <si>
    <t>Reuniones de retroalimentación</t>
  </si>
  <si>
    <t>Número de reuniones de retroalimentación realizadas</t>
  </si>
  <si>
    <t>Número de reuniones de retroalimentación programadas</t>
  </si>
  <si>
    <t>SE CUMPLIO CON LA META</t>
  </si>
  <si>
    <t>Formato acta nde reunión 1D-PGE-F10</t>
  </si>
  <si>
    <t>Se canceló la reunión del mes de junio por solicitud de los Avcc debido a temporada vacacional</t>
  </si>
  <si>
    <t>La meta se ha cumplido según lo estimado</t>
  </si>
  <si>
    <t>La ultima reunión del año programafda para el mes de noviembre se canceló debido a la inasistencia de los Avcc de las localidades Santa fe y Candelaria. En el mes de diciembre no se realiza reunión debido a no actividad de los Pac.</t>
  </si>
  <si>
    <t>Acta de reunión y listado de asistencia (Medio: Físico, Carpeta procedimiento "Acompañamiento a procesos sociales)</t>
  </si>
  <si>
    <t>Realizar XXX informe de la gestión Institucional basado en las siguientes etapas( Formulación de la estrategia de intervención, Contactos, Aplicación y evaluación del servicio ofertado)</t>
  </si>
  <si>
    <t>Informe de gestión institucional</t>
  </si>
  <si>
    <t>Informe de gestión elaborado</t>
  </si>
  <si>
    <t>Informe de gestión programado</t>
  </si>
  <si>
    <t>El informe de gestión se entregará en el ultimo trimestre en el cual se considera que debido a la falta de demanda en casos de carácter comunitario se justificará la no intervención en caso de no contar con un caso intervención.</t>
  </si>
  <si>
    <t>No aplica</t>
  </si>
  <si>
    <t>Realizar xxx procesos de Sensibilización basados en las conflictividades de la localidad.</t>
  </si>
  <si>
    <t>Procesos de Sensibilización desarrollados por conflictividad</t>
  </si>
  <si>
    <t xml:space="preserve">Numero de procesos desarrollados </t>
  </si>
  <si>
    <t>Numero de conflictividades en los cuales se desarrollará el proceso de sensibilización.</t>
  </si>
  <si>
    <t>Ejecutar xxx Estrategias comunicativas que permitan posicionar los servicios de las casas de justicia( Afiches, Plegables, Web etc.)</t>
  </si>
  <si>
    <t>Ejecución de estrategias comunicativas</t>
  </si>
  <si>
    <t>Número de Estrategias comunicativas Ejecutadas</t>
  </si>
  <si>
    <t xml:space="preserve">Número de Estrategias comunicativas programadas. </t>
  </si>
  <si>
    <t xml:space="preserve">Realizar XXX Programas de casa de Justicia Móvil. </t>
  </si>
  <si>
    <t>Implementación de los programas de casas de Justicia Móvil.</t>
  </si>
  <si>
    <t>Número de programas de casas de Justicia móvil Realizadas</t>
  </si>
  <si>
    <t>Numero de programas de casas de Justicia móvil Programadas.</t>
  </si>
  <si>
    <t xml:space="preserve">Realizar  15 brigadas extramurales que se programen de acuerdo a la problemática (Jornadas pedagogicas sobre manejo adecuado de residuos sólidos) </t>
  </si>
  <si>
    <t xml:space="preserve">Realización  de Brigadas Extramurales </t>
  </si>
  <si>
    <t>Número de Brigadas extramurales realizadas</t>
  </si>
  <si>
    <t>Número de Brigadas extramurales programadas.</t>
  </si>
  <si>
    <t>2  SE FECTUARON EL MISMO TRABAJO DE SENSIBILIZACION SOBRE RESIDUOS SOLIDOS</t>
  </si>
  <si>
    <t>ACTA Y LISTADO DE ASISTENCIA</t>
  </si>
  <si>
    <t xml:space="preserve">SE CUMPLIO CON LA META. SE REALIZARON ACTIVIDADES DONDE FUIMOS A COMPAÑADOS POR OTRAS AUTORIDADES LOCALES COMO POLICIA NACIONAL E INTEGRACION SOCIAL.   </t>
  </si>
  <si>
    <t xml:space="preserve">LISTADO DE ASISTENCIA, CARPETA TRABAJO COMUNITARIO Y APLICATIVO SI ACTUA </t>
  </si>
  <si>
    <t xml:space="preserve">Se realizaron capacitaciones en el Colegio JULIO CESAR GARCIA -reciclaje-, el Edificio "Calle 20" -manejo de residuos solidos y escombros- y recuperacion de punto critico en el sector de San Victorino. Ademas de dictarsen charlas sobre comparendos pedagogicos -Secretaria general de Inspecciones- a infractores  que arrojan basuras en el espacio publico: vendedores ambulantes -Secretaria General de Inspecciones-, habitante de Calle -Calle 22 entre Carreras 7 y 10-. </t>
  </si>
  <si>
    <t xml:space="preserve">Carpeta trabajo comunitario y APLICATIVO SI ACTUA </t>
  </si>
  <si>
    <t xml:space="preserve">Se realizaron capacitaciones en el Centro Comercial EL LEY Cl 23 No. 22-30/36/44 -Disposicion y manejo de residuos solidos-, SAN VICTORINO Plazoleta la Mariposa -requerimiento a vendedores ambulantes para que mantengan limpio el espacio publico  y una taller sobre el reciclaje con botellas plasticas (Salon de la JAL). </t>
  </si>
  <si>
    <t xml:space="preserve">Formular 1 Plan integral de convivencia y seguridad ciudadana. </t>
  </si>
  <si>
    <t>Planes Integrales de Seguridad y Convivencia Formulados.</t>
  </si>
  <si>
    <t>Numero de planes Integrales de Seguridad y Convivencia Formulados</t>
  </si>
  <si>
    <t>Numero de planes Integrales de Seguridad y Convivencia programados</t>
  </si>
  <si>
    <t>Elaborar 1 informe   en la vigencia sobre la ejecución y seguimiento del plan integral de seguridad local</t>
  </si>
  <si>
    <t>Informes de Seguimiento a la ejecución del plan Integral de Seguridad.</t>
  </si>
  <si>
    <t>Número de Informes elaborados</t>
  </si>
  <si>
    <t>Número de Informes programados.</t>
  </si>
  <si>
    <t>Realizar 8 recorridos de identificación y monitoreo  de puntos críticos  para llevar a cabo acciones de prevención en emergencias. CLE</t>
  </si>
  <si>
    <t xml:space="preserve">Recorridos para identificación y monitoreo de puntos críticos. </t>
  </si>
  <si>
    <t>Número de recorridos realizados</t>
  </si>
  <si>
    <t>Número de recorridos programados</t>
  </si>
  <si>
    <t>Debido a que nuestra localidad está asentada en una formación de ladera y presenta todas las patologías que conllevan a una po0sible emergencia  y de acuerdo con los requerimientos de la comunidad y de los integrantes del CLE, se realizaron seis recorridos adicionales  parab vigilar y hacer seguimiento a los puntos criticos existentes y los nuevos que se han presentado por causa del clima.</t>
  </si>
  <si>
    <t>ACTAS DE RECORRIDO.</t>
  </si>
  <si>
    <t>Debido a que nuestra localidad está asentada en una formación de ladera y presenta todas las patologías que conllevan a una po0sible emergencia  y de acuerdo con los requerimientos LA META SE CUMPLIO DEBIDO A QUE LA OLA INVERNAL DEL TRIMESTRE NOS LLEVO A REALIZAR CONSTATNTES SEGUIMINETOS A LOS PUNTOS PRIORIZADOS TANTO DE REMOSION EN MASA COMO DE OLA INVERNAL</t>
  </si>
  <si>
    <t>ACTAS DEL COMITÉ LOCAL DE EMERGENCIAS</t>
  </si>
  <si>
    <t>SE REALIZARON LOS RECORRIDOS PROGRAMADOS DE ACUERDO CON LO ESTIPULADO EN LAS REUNIONES DEL CLE ORDINARIAS Y EXTRAORDINARIAS ACTUALIZANDO LAS MATRICES DE OLA INVERNAL Y REMOCIÓN EN MASA.  LOS MONITOREOS SE REALIZARON EN TODA LA LOCALIDAD.</t>
  </si>
  <si>
    <t>ACTAS DE RECORRIDOS</t>
  </si>
  <si>
    <t>Realizar 15 acciones  de sensibilización para el acatamiento voluntario en   normas de convivencia. (Inspecciones de policía)</t>
  </si>
  <si>
    <t>Acciones de Sensibilización para el acatamiento voluntario en normas de convivencia</t>
  </si>
  <si>
    <t>Número de acciones de sensibilización realizadas.</t>
  </si>
  <si>
    <t>Número de acciones de sensibilización programadas</t>
  </si>
  <si>
    <t>EN ESTE TRBAJO PEDAGÒCICO SE EFECTUÒ LA SENSIBILIZACION EXTRAMURAL</t>
  </si>
  <si>
    <t xml:space="preserve">Se realizaron charlas y reuniones a tenedores de caninos considerados de raza peligrosa,   a consumidores de bebidas alcoholicas en espacio publico -Parque Nacional- a responsables de establecimientos de comercio -restaurantes de la Carrera 9 entre calles 19 y 16 seguridad contra incendios-, a ciudadanos que realizan obras para el manejo de escombros y a comerciantes de la cra. 8 entre calles 19 y 26 contra incendios.  </t>
  </si>
  <si>
    <t xml:space="preserve">Se realizaron charlas pedagogicas a tenedores de caninos considerados de raza peligrosa que deambulaban por el Parque Nacional (Torre del Reloj) y a ciudadanos que estaban realizando obras con permisoo de Curaduria pero no disponian correctamente los escombros en el espacio publico (Sala de Conciliacion de la Secretaria General) </t>
  </si>
  <si>
    <t>Diseñar 1  instrumento que permita medir el impacto generado en las acciones de sensibilización.</t>
  </si>
  <si>
    <t>Instrumento de medición de los impactos generados por las acciones de sensibilización</t>
  </si>
  <si>
    <t>Numero de Instrumentos Diseñados</t>
  </si>
  <si>
    <t>Numero de Instrumentos Programados</t>
  </si>
  <si>
    <t>Consolidar la institucionalidad local como líder en los procesos de implementación, evaluación y control de las políticas públicas, el desarrollo territorial y la gestión social integral.</t>
  </si>
  <si>
    <t>GESTIÓN PARA EL DESARROLLO LOCAL</t>
  </si>
  <si>
    <t>Ejecutar el 100% del presupuesto  territorializado de acuerdo a la matriz de la Territorialización.</t>
  </si>
  <si>
    <t>presupuestos territorializados</t>
  </si>
  <si>
    <t>presupuestos territorializado ejecutado</t>
  </si>
  <si>
    <t>Presupuesto territorializado programado de acuerdo a la matriz</t>
  </si>
  <si>
    <t>LA EJECUCIÓN SE INCREMENTARÁ EN EL SEGUNDO TRIMESTRE, UNA VEZ FINALICE LA FASE DE FORMULACIÓN Y SE INICIE LA DE CONTRATACIÓN</t>
  </si>
  <si>
    <t>APLICATIVO PREDIS Y EJECUCIÓN PRESUPUESTAL</t>
  </si>
  <si>
    <t>PENDIENTES DE CONSOLIDAR LA INFORMACION PARA SUMINISTRAR DATO REAL</t>
  </si>
  <si>
    <t>INFORMACION ENCONTRADA EN EL APLICATIVO PREDIS</t>
  </si>
  <si>
    <t>PENDIENTE DE CONSOLIDACIÓN REAL</t>
  </si>
  <si>
    <t>MATRIZ DE TERRITORIALIZACIÓN</t>
  </si>
  <si>
    <t>EL PRESUPUESTO TERRITORIALIZADO ES DE 13,196,561,000 Y SE EJECUTO 2,639,312,200, PERO SE ESTA PENDIENTE DE CONSOLIDACION FINAL.</t>
  </si>
  <si>
    <t>MATRIZ DE TERRITORIALIZACION</t>
  </si>
  <si>
    <t>Lograr  25% de avance en cumplimiento de las metas del plan de desarrollo local vigente.</t>
  </si>
  <si>
    <t>Avance metas plan  de desarrollo</t>
  </si>
  <si>
    <t>N° Metas ejecutadas en el plan de desarrollo</t>
  </si>
  <si>
    <t>N° Metas programadas en el plan de desarrollo</t>
  </si>
  <si>
    <t>LAS METAS SON PARA LA VIGENCIA DEL PLAN DE DESARROLLO Y SE CUMPLEN DE ACUERDO CON LO PRESUPUESTADO. Durante el tercer trimestre se avanzó en siete de las 42 metas  que corresponden a proyectos de inversión social y gestión administrativa</t>
  </si>
  <si>
    <t>NÚMERO DE PROYECTOS FORMULADOS.                  MUSI</t>
  </si>
  <si>
    <t>LAS METAS SON PARA LA VIGENCIA DEL PLAN DE DESARROLLO Y SE CUMPLEN DE ACUERDO CON LO PRESUPUESTADO. Durante el tercer trimestre se avanzó en dos de las 42 metas  que corresponden a proyectos de inversión social y gestión administrativa</t>
  </si>
  <si>
    <t xml:space="preserve">Publicar 1  informe de rendición de cuentas en la página Web de la alcaldía local. </t>
  </si>
  <si>
    <t>Informes de rendición de cuentas</t>
  </si>
  <si>
    <t>N° de  informes publicados en la pagina Web</t>
  </si>
  <si>
    <t>N° de  informes programados</t>
  </si>
  <si>
    <t>Se publicó el informe en la pagina web segun directrices de la veeduria distrital</t>
  </si>
  <si>
    <t>pagina web y archivo que reposa en la oficina de comunicaciones</t>
  </si>
  <si>
    <t>Adelantar 2 informes de seguimiento y evaluación de los impactos generados de la ejecución de los planes, programas y proyectos de la localidad.</t>
  </si>
  <si>
    <t>N° de informes de seguimiento  realizados</t>
  </si>
  <si>
    <t>N° de informes de seguimiento  programados</t>
  </si>
  <si>
    <t>SE PRESENTARA CON EL INFORME ANUAL DE RENDICION DE CUENTAS</t>
  </si>
  <si>
    <t>Diseñar e implementar herramientas que fortalezca a las alcaldías locales y garantice las acciones transectoriales necesarias para dar respuesta integrales a los territorios.</t>
  </si>
  <si>
    <t>AGENCIAMIENTO DE LA POLÍTICA PÚBLICA EN LO LOCAL</t>
  </si>
  <si>
    <t>Aprobar 1 Plan de Acción del Consejo Local de Gobierno de la localidad articulado con las otras instancias de coordinación antes del primer trimestre de la vigencia.</t>
  </si>
  <si>
    <t>Aprobación de los planes de acción del Consejo Local de gobierno.</t>
  </si>
  <si>
    <t>N° de planes de acción del consejo local de gobierno aprobados</t>
  </si>
  <si>
    <t>N° de planes de acción del consejo local recepcionados</t>
  </si>
  <si>
    <t>SE ELABORO CONJUNTAMENTE CON TODOS LOS INTEGRANTES DEL CONSEJO LOCAL DE GOBIERNO Y FUE APROBADO EN LA SESION DEL MES DE FEBRERO.</t>
  </si>
  <si>
    <t>PLAN DE ACCION.</t>
  </si>
  <si>
    <t>Adelantar 2 informes de seguimiento y evaluación del cumplimiento del Plan de Acción del Consejo Local de Gobierno.</t>
  </si>
  <si>
    <t>Informes de seguimiento y evaluación del cumplimiento del plan de acción.</t>
  </si>
  <si>
    <t>N° de informes de seguimiento y evaluación elaborados.</t>
  </si>
  <si>
    <t>N° de informes de seguimiento y evaluación programados</t>
  </si>
  <si>
    <t>Se realizó el informe pero queda pendiente el envío a las entidades.</t>
  </si>
  <si>
    <t>Informe de seguimiento primer semestre de 2013.</t>
  </si>
  <si>
    <t>SE PRESENTO EN CLG DEL MES DE DICIEMBRE</t>
  </si>
  <si>
    <t>ACTAS DEL CLG</t>
  </si>
  <si>
    <t>Lograr que el 90% de las acciones propuestas en el Plan de acción del CLG se cumplan.</t>
  </si>
  <si>
    <t>cumplimiento de las acciones propuestas en el CLG</t>
  </si>
  <si>
    <t>N° de acciones ejecutadas  en el plan de acción.</t>
  </si>
  <si>
    <t>N° de acciones programadas  para el plan de acción</t>
  </si>
  <si>
    <t>Se cumplieron 4 metas, sin embargo se reporta como cumplimiento 2.7 metas porque el aplicativo no permite ejecuciones por encima de lo programado</t>
  </si>
  <si>
    <t>Carpeta del Consejo Local de Gopbierno que reposa en la Oficina de la Coordinación Administrativa y Financiera</t>
  </si>
  <si>
    <t>El Secretarío Técnico del CLG presentó en el mes de Junio a los directivos los avances del plan de acción, del cual e ha ejecutado el 42.5 %.</t>
  </si>
  <si>
    <t>Informe de seguimiento y evaluación del cumplimiento del Plan de acción del CLG.</t>
  </si>
  <si>
    <t>SE HA VENIDO CUMPLIENDO CABALMENTE EL CRONOGRAMA DE ACTIVIDADES. Se han ejecutado 10m de 12 actividades programadas del plan de acción en mas de un 50% de la actividad</t>
  </si>
  <si>
    <t>LO PROGRAMADO DEL PLAN DE ACCION SE HA VENIDO CUMPLIENDO EN UN 100%</t>
  </si>
  <si>
    <t xml:space="preserve">Dentro de del seguimiento se encontraron las siguientes observaciones: los avances del plan de acción no se presentaron en el mes de abril, sino en junio, teniendo en cuenta que había sido aprobado en el mes anterior y no había mayor avance. </t>
  </si>
  <si>
    <t xml:space="preserve">Acta de reunión </t>
  </si>
  <si>
    <t>INFORMACION NO RESGISTRADA EN EL APLICATIVO SIPSE</t>
  </si>
  <si>
    <t>INFORMACION AJUSTADA O COLPLEMENTARIA DESPUES DEL CIERRE APLICATIVO SIPSE</t>
  </si>
  <si>
    <t>VIGENCIA 2014</t>
  </si>
  <si>
    <t>ALCALDIA LOCAL DE SANTAFE</t>
  </si>
  <si>
    <t>FECHA DE FORMULACION DD/MM/AA</t>
  </si>
  <si>
    <t>ALCALDE O ALCALDESA LOCAL</t>
  </si>
  <si>
    <t>OBJETIVO DE CALIDAD</t>
  </si>
  <si>
    <t>Avance Anual Plan de Gestión</t>
  </si>
  <si>
    <t>FUENTE DE INFORMACION</t>
  </si>
  <si>
    <t>OBSERVACIONES</t>
  </si>
  <si>
    <t>TIPO DE PROCESOS: ESTRATÉGICOS</t>
  </si>
  <si>
    <t>Mejorar y fortalecer la capacidad institucional en el marco de la modernización de la gestión administrativa que permita el cumplimiento de su que hacer misional</t>
  </si>
  <si>
    <r>
      <t xml:space="preserve">Realizar </t>
    </r>
    <r>
      <rPr>
        <sz val="10"/>
        <color indexed="10"/>
        <rFont val="Arial"/>
        <family val="2"/>
        <charset val="1"/>
      </rPr>
      <t>2</t>
    </r>
    <r>
      <rPr>
        <sz val="10"/>
        <rFont val="Arial"/>
        <family val="2"/>
        <charset val="1"/>
      </rPr>
      <t xml:space="preserve"> campañas comunicativas orientadas a difundir los servicios institucionales y promover el control social. </t>
    </r>
  </si>
  <si>
    <t>Campañas comunicativas realizadas</t>
  </si>
  <si>
    <t>N° de campañas realizadas</t>
  </si>
  <si>
    <t xml:space="preserve">se realizo la campaña en la calle no te eleves cuida tu celular </t>
  </si>
  <si>
    <t xml:space="preserve">piezas de comunicación carpeta prensa </t>
  </si>
  <si>
    <t>Se realizó campaña  de recuperaciópn de parques  "Por una Mejor Visión"</t>
  </si>
  <si>
    <t xml:space="preserve">Piezas de copmunicacion  (volantes, afiches) /Carpeta prensa </t>
  </si>
  <si>
    <r>
      <t xml:space="preserve">Formular </t>
    </r>
    <r>
      <rPr>
        <sz val="10"/>
        <color indexed="10"/>
        <rFont val="Arial"/>
        <family val="2"/>
        <charset val="1"/>
      </rPr>
      <t xml:space="preserve">1 </t>
    </r>
    <r>
      <rPr>
        <sz val="10"/>
        <rFont val="Arial"/>
        <family val="2"/>
        <charset val="1"/>
      </rPr>
      <t>plan de comunicaciones para la generación, acceso y democratización de la información soporte para la toma de decisiones de la entidad. (Nivel Central en el primer trimestre y las localidades en el primer semestre).</t>
    </r>
  </si>
  <si>
    <t>Plan de comunicación formulado para la generación, acceso y democratización de la información</t>
  </si>
  <si>
    <t>N° de planes de comunicación formulados</t>
  </si>
  <si>
    <t>N° planes de comunicación Programados</t>
  </si>
  <si>
    <t xml:space="preserve">se realizo el Plan de Comunicaciones para la Alcaldia Local </t>
  </si>
  <si>
    <t xml:space="preserve">carpeta prensa/Plan de comunicación </t>
  </si>
  <si>
    <r>
      <t xml:space="preserve">Formular </t>
    </r>
    <r>
      <rPr>
        <sz val="10"/>
        <color indexed="10"/>
        <rFont val="Arial"/>
        <family val="2"/>
        <charset val="1"/>
      </rPr>
      <t>6</t>
    </r>
    <r>
      <rPr>
        <sz val="10"/>
        <rFont val="Arial"/>
        <family val="2"/>
        <charset val="1"/>
      </rPr>
      <t xml:space="preserve"> estrategias de comunicación externa  e interna para la entidad.  (3 internas y 3 externas por cada alcaldía local y nivel central).</t>
    </r>
  </si>
  <si>
    <t>Estrategias de comunicación internas y externas formuladas</t>
  </si>
  <si>
    <t>Número de estrategias comunicativas Formuladas</t>
  </si>
  <si>
    <t xml:space="preserve">Se plantearon 6 estrategias de comunicación (3 externas/ 3 internas) de acuerdo al Plan de Comunicaciones . Están en desarrollo </t>
  </si>
  <si>
    <t xml:space="preserve">carpeta Prensa /Plan de comunicaciones </t>
  </si>
  <si>
    <t>Se desarrollaron 6 estrategias de comunicación (3 externas/ 3 internas) de acuerdo al Plan de Comunicaciones</t>
  </si>
  <si>
    <t xml:space="preserve">Carpeta Prensa </t>
  </si>
  <si>
    <t>TIPO DE PROCESOS DE APOYO</t>
  </si>
  <si>
    <r>
      <t>Registrar</t>
    </r>
    <r>
      <rPr>
        <sz val="10"/>
        <color indexed="16"/>
        <rFont val="Arial"/>
        <family val="2"/>
        <charset val="1"/>
      </rPr>
      <t xml:space="preserve"> </t>
    </r>
    <r>
      <rPr>
        <sz val="10"/>
        <color indexed="10"/>
        <rFont val="Arial"/>
        <family val="2"/>
        <charset val="1"/>
      </rPr>
      <t>1</t>
    </r>
    <r>
      <rPr>
        <sz val="10"/>
        <color indexed="8"/>
        <rFont val="Arial"/>
        <family val="2"/>
        <charset val="1"/>
      </rPr>
      <t xml:space="preserve"> plan de compras  y contratación aprobado, en los aplicativos vigentes (sivicof, paginas web de alcaldía local, secop, contratación a la vista) antes del primer trimestre</t>
    </r>
  </si>
  <si>
    <t>Plan de compras y contratación registrado en los aplicativos(sivicof, paginas web de alcaldía local, secop, contratación a la vista)</t>
  </si>
  <si>
    <t xml:space="preserve">N. de planes de compras y contratación registrados en los aplicativos antes del primer trimestre </t>
  </si>
  <si>
    <t>N. de planes de compras  y contratación aprobados</t>
  </si>
  <si>
    <t>Documento registrado en los aplicativos (sivicof, paginas web de alcaldía local, secop, contratación a la vista)</t>
  </si>
  <si>
    <r>
      <t>Plan de compras se debe registrar en los aplicativos antes del primer trimestre</t>
    </r>
    <r>
      <rPr>
        <sz val="12"/>
        <color indexed="8"/>
        <rFont val="Times New Roman"/>
        <family val="1"/>
      </rPr>
      <t>.</t>
    </r>
  </si>
  <si>
    <t>SE ELABORO PLAN DE COMPRAS Y SE PUBLICO EN LA PAGINA WEB.</t>
  </si>
  <si>
    <t>PAGINA WEB</t>
  </si>
  <si>
    <r>
      <t xml:space="preserve">Registrar el </t>
    </r>
    <r>
      <rPr>
        <sz val="10"/>
        <color indexed="10"/>
        <rFont val="Arial"/>
        <family val="2"/>
        <charset val="1"/>
      </rPr>
      <t>100%</t>
    </r>
    <r>
      <rPr>
        <sz val="10"/>
        <color indexed="8"/>
        <rFont val="Arial"/>
        <family val="2"/>
        <charset val="1"/>
      </rPr>
      <t xml:space="preserve"> de las modificaciones del plan de compras y contratación en los aplicativos vigentes, dentro de los 15 días calendario siguientes a su aprobación</t>
    </r>
  </si>
  <si>
    <t xml:space="preserve">Modificaciones registradas del plan de compras y contratación en los aplicativos vigentes, dentro de los 15 días calendario siguientes a su aprobación </t>
  </si>
  <si>
    <t>N. de modificaciones registradas dentro de los 15 días calendario</t>
  </si>
  <si>
    <t xml:space="preserve">N. de modificaciones aprobadas en comité de contratación
</t>
  </si>
  <si>
    <t xml:space="preserve">Documento modificado en los aplicativos vigentes
</t>
  </si>
  <si>
    <t>NO SE REALIZARON MODIFICACIONES</t>
  </si>
  <si>
    <t>SIN MODIFICACIONES</t>
  </si>
  <si>
    <t>NO TUVO MODIFICACIONES</t>
  </si>
  <si>
    <t>EL PLAN DE COMPRAS NO TUVO MODIFICACIONES</t>
  </si>
  <si>
    <t>NO SE PRESENTAN MODIFICIONES PORQUE LO QUE SE APROBÓ QUEDÓ EN FIRME Y DURANTE EL TRIMESTRE NO SE TOCÓ ESTE TEMA</t>
  </si>
  <si>
    <t>Se modifico el plan de Compras correpsondiente y se publico en el SECOP</t>
  </si>
  <si>
    <t>SECOP</t>
  </si>
  <si>
    <r>
      <t xml:space="preserve">Comprometer el </t>
    </r>
    <r>
      <rPr>
        <sz val="10"/>
        <color indexed="10"/>
        <rFont val="Arial"/>
        <family val="2"/>
        <charset val="1"/>
      </rPr>
      <t>97%</t>
    </r>
    <r>
      <rPr>
        <sz val="10"/>
        <color indexed="8"/>
        <rFont val="Arial"/>
        <family val="2"/>
        <charset val="1"/>
      </rPr>
      <t xml:space="preserve"> del presupuesto asignado a la vigencia</t>
    </r>
  </si>
  <si>
    <t>Presupuesto asignado a la vigencia comprometido</t>
  </si>
  <si>
    <t>Valor del presupuesto comprometido</t>
  </si>
  <si>
    <t>Valor del presupuesto asignado a la vigencia</t>
  </si>
  <si>
    <t>El avance se ha dado según lo programado. El valor del presupuesto comprometido es de $2196877050 y el valor del presupuesto asignado es de $17291023000</t>
  </si>
  <si>
    <t>INFORME PREDIS</t>
  </si>
  <si>
    <t>se esta cumpliendo plan de ejecución. El valor del presupuesto comprometido es de 3.181.741.341 y el presupuesto asignado en la vigencia es de $17.291.023.000</t>
  </si>
  <si>
    <t>Informe Predis</t>
  </si>
  <si>
    <t>Se esta cumpliendo plan de ejecución. El valor del presupuesto comprometido es de 8.023.639.620 y el presupuesto asignado en la vigencia es de $17.291.023.000</t>
  </si>
  <si>
    <t>Comprometido 19802377465 de un total de 852089402</t>
  </si>
  <si>
    <t>Girar el 60% del presupuesto asignado a la vigencia</t>
  </si>
  <si>
    <t>Presupuesto asignado a la vigencia girado</t>
  </si>
  <si>
    <t>Valor del presupuesto girado</t>
  </si>
  <si>
    <t>Valor del presupuesto asignado</t>
  </si>
  <si>
    <t>El avance se ha dado según lo programado. El valor del presupuesto girado es de $302961012 y el valor del presupuesto asignado es de 17.291.023.000.</t>
  </si>
  <si>
    <t>Los giros han sido afectados por la aplicación de la Ley de Garantás El valor del presupuesto girado es de $385119155 y el valor del presupuesto asignado es de 17.291.023.000.</t>
  </si>
  <si>
    <t>El avance se ha dado según lo programado. El valor del presupuesto girado es de $821.066.827 y el valor del presupuesto asignado es de 17.291.023.000.</t>
  </si>
  <si>
    <t>En este trimestre se ajusta el  presupuesto por  excedentes financieros en 2.511.354.465 para un total de 19.802.367.465. El valor girado en el trimestre fue de 6,175,267,958</t>
  </si>
  <si>
    <t>Girar el 30% de las Obligaciones por Pagar de las vigencias anteriores (2013- atrás)</t>
  </si>
  <si>
    <t>Obligaciones por Pagar giradas de las vigencias anteriores (2013- atrás)</t>
  </si>
  <si>
    <t>Valor de las obligaciones por pagar giradas</t>
  </si>
  <si>
    <t>Valor de las obligaciones por pagar</t>
  </si>
  <si>
    <t>valor oxp es de 19,405,874,449 y el valor girado 1.902.548.071</t>
  </si>
  <si>
    <t>valor oxp es de 15,877,229,933 y el valor girado 4.417.060.473</t>
  </si>
  <si>
    <t>valor oxp es de 19,405,874,449 y el valor girado 4.866.430.028</t>
  </si>
  <si>
    <t>total pagado a 31 de dic 2014 3176192518 de un total de 15877229933</t>
  </si>
  <si>
    <r>
      <t xml:space="preserve">Cumplir el </t>
    </r>
    <r>
      <rPr>
        <sz val="10"/>
        <color indexed="10"/>
        <rFont val="Arial"/>
        <family val="2"/>
        <charset val="1"/>
      </rPr>
      <t>97%</t>
    </r>
    <r>
      <rPr>
        <sz val="10"/>
        <color indexed="8"/>
        <rFont val="Arial"/>
        <family val="2"/>
        <charset val="1"/>
      </rPr>
      <t xml:space="preserve"> del PAC mensualmente</t>
    </r>
  </si>
  <si>
    <t xml:space="preserve">
Programación Anual de Caja (PAC) cumplido mensualmente</t>
  </si>
  <si>
    <t>Valor girado</t>
  </si>
  <si>
    <t xml:space="preserve">Valor programado
</t>
  </si>
  <si>
    <t>SE HA DADO SEGUN LA PROGRAMACIÓN. EL VALOR DEL PAC PROGRAMADO ES DE 2,159,175,116 Y EL PAC GIRADO NES DE 2,157,082,746</t>
  </si>
  <si>
    <t>SE HA DADO SEGUN LA PROGRAMACIÓN. EL VALOR DEL PAC PROGRAMADO ES DE 4,239,389,827 Y EL PAC GIRADO ES DE 3,637,246,460</t>
  </si>
  <si>
    <t>SE HA DADO SEGUN LA PROGRAMACIÓN. EL VALOR DEL PAC PROGRAMADO ES DE 8.627.012.336 Y EL PAC GIRADO MES DE  8.627.012.336</t>
  </si>
  <si>
    <r>
      <t xml:space="preserve">Implementar el </t>
    </r>
    <r>
      <rPr>
        <sz val="10"/>
        <color indexed="10"/>
        <rFont val="Arial"/>
        <family val="2"/>
        <charset val="1"/>
      </rPr>
      <t>100%</t>
    </r>
    <r>
      <rPr>
        <sz val="10"/>
        <color indexed="8"/>
        <rFont val="Arial"/>
        <family val="2"/>
        <charset val="1"/>
      </rPr>
      <t xml:space="preserve"> de la  estrategia para evitar la perdida y/o deterioro de los bienes y documentos de la Alcaldía Local de acuerdo a la directiva 003 del 2013</t>
    </r>
  </si>
  <si>
    <t>Estrategia implementada para evitar la perdida y/o deterioro de los bienes y documentos de la Alcaldía Local</t>
  </si>
  <si>
    <t>N. de acciones implementadas en la estrategia</t>
  </si>
  <si>
    <t>N. de acciones programadas en el plan de acción de la estrategia</t>
  </si>
  <si>
    <t>Cada alcaldía desarrolla las estrategias.
Cumplimiento de la directiva 003 del año 2013</t>
  </si>
  <si>
    <t>LA INFORMACION SE OBTUVO MEDIANTE COMUNICACIONES DE LAS PERSONAS ENCARGADAS DE LOS ELEMENTOS SOBRE LA PERDIDA Y HURTO DE ESTOS ELEMENTOS. SE PRESENTARON 2 HURTOS: UN TELEVISOR DE 42” ENTREGADO A LA JAC LOS LACHES Y UNA VIDEO CAMARA ENTREGADA AL AREA DE COMUNICACIONES DE LA ALCALDIA LOCAL. EN AMBOS CASOS SE COLOCARON LAS DENUNCIAS PERTINENTES Y SE DIO AVISO A LA OFICINA DE ASUNTOS DISCIPLINARIOS DE LA SECRETARIA DE GOBIERNO, A TODOS LOS ENTES DE CONTROL Y A LA FISCALIA.</t>
  </si>
  <si>
    <t>CARPETA DE HURTOS Y PERDIDA DE ELEMENTOS</t>
  </si>
  <si>
    <t>EN ESTE TRIMESTRE NO SE HAN PRESENTADO HURTOS Y/O PÉRDIDAS DE BIENES Y DOCUMENTOS</t>
  </si>
  <si>
    <t>EN ESTE TRIMESTRE NO SE HAN PRESENTADO HURTOS Y/O PÉRDIDAS DE BIENES Y DOCUMENTOS.. POR ERROR SE PRESENTÓ 100% DE EJECUCIÓN EN EL PRIMER TRIMESTRE, PERO EN REALIDAD SE MOSTRABA AVANCE DEL 100% DEL 25% PROGRAMADO</t>
  </si>
  <si>
    <r>
      <t xml:space="preserve">Garantizar que el </t>
    </r>
    <r>
      <rPr>
        <sz val="10"/>
        <color indexed="10"/>
        <rFont val="Arial"/>
        <family val="2"/>
        <charset val="1"/>
      </rPr>
      <t>100%</t>
    </r>
    <r>
      <rPr>
        <sz val="10"/>
        <color indexed="8"/>
        <rFont val="Arial"/>
        <family val="2"/>
        <charset val="1"/>
      </rPr>
      <t xml:space="preserve"> de los saldos de las cuentas contables registradas en el aplicativo LIMAY coincidan con lo reportado trimestralmente a Secretaria de Hacienda
</t>
    </r>
  </si>
  <si>
    <t xml:space="preserve"> Saldos de las cuentas contables  registrados en el aplicativo LIMAY que coincidan con lo reportado trimestralmente a Secretaria de Hacienda </t>
  </si>
  <si>
    <t>N. de cuentas reportadas en LIMAY y en Hacienda que coincidan</t>
  </si>
  <si>
    <t>N. total de cuentas contables reportadas trimestralmente en Hacienda</t>
  </si>
  <si>
    <t>Para el numerador aplicativo SI CAPITAL,LIMAY y para el denominador reportes de hacienda</t>
  </si>
  <si>
    <r>
      <t xml:space="preserve">No se maneja linea base en esta meta para el cargue en el SIPSE
</t>
    </r>
    <r>
      <rPr>
        <sz val="10"/>
        <color indexed="8"/>
        <rFont val="Arial"/>
        <family val="2"/>
      </rPr>
      <t xml:space="preserve">El reporte en el aplicativo SIPSE se realizara con la información obtenida de Hacienda el dia 16 del mes siguiente al terminar la vigencia </t>
    </r>
  </si>
  <si>
    <t>SE GARANTIZA QUE LOS SALDOS REPORTADOS A LA SHD SON SOPORTADOS POR LO REPORTADO EN EL MODULO LIMAY</t>
  </si>
  <si>
    <t>CONCILIACIONES Y MEMORANDO DE ENVIO DE LA INFORMACION</t>
  </si>
  <si>
    <r>
      <t>Conciliar el</t>
    </r>
    <r>
      <rPr>
        <sz val="10"/>
        <color indexed="10"/>
        <rFont val="Arial"/>
        <family val="2"/>
        <charset val="1"/>
      </rPr>
      <t xml:space="preserve"> 100%</t>
    </r>
    <r>
      <rPr>
        <sz val="10"/>
        <color indexed="8"/>
        <rFont val="Arial"/>
        <family val="2"/>
        <charset val="1"/>
      </rPr>
      <t xml:space="preserve"> saldos de las cuentas de cierre a nivel de almacén e inventarios con los saldos en el aplicativo LIMAY</t>
    </r>
  </si>
  <si>
    <t xml:space="preserve"> Saldos de las cuentas de cierre conciliados a nivel de almacén e inventarios con los saldos en el aplicativo LIMAY</t>
  </si>
  <si>
    <t>N. de cuentas reportadas en SAE Y SAI</t>
  </si>
  <si>
    <t>N. total de cuentas contabilizadas en LIMAY</t>
  </si>
  <si>
    <t>Para el numerador Aplicativo SAE Y SAI y para el denominador  aplicativo LIMAY</t>
  </si>
  <si>
    <r>
      <t xml:space="preserve">No se maneja linea base en esta meta para el cargue en el SIPSE
</t>
    </r>
    <r>
      <rPr>
        <sz val="10"/>
        <color indexed="8"/>
        <rFont val="Arial"/>
        <family val="2"/>
      </rPr>
      <t xml:space="preserve">El reporte en el aplicativo SIPSE se realizara con la información obtenida el dia 16 del mes siguiente al terminar la vigencia </t>
    </r>
  </si>
  <si>
    <t>EL 100% DE LOS SALDOS DE ALMACEN SON CONCILIADOS MENSUALMENTE CON LOS REFLEJADOS EN EL MODULO LIMAY</t>
  </si>
  <si>
    <t>REPORTES DEL SISTEMA Y FORMATO DE CONCILIACION</t>
  </si>
  <si>
    <t>8,10</t>
  </si>
  <si>
    <r>
      <t xml:space="preserve">Registrar el </t>
    </r>
    <r>
      <rPr>
        <sz val="10"/>
        <color indexed="10"/>
        <rFont val="Arial"/>
        <family val="2"/>
        <charset val="1"/>
      </rPr>
      <t>100%</t>
    </r>
    <r>
      <rPr>
        <sz val="10"/>
        <color indexed="8"/>
        <rFont val="Arial"/>
        <family val="2"/>
        <charset val="1"/>
      </rPr>
      <t xml:space="preserve"> de los contratos en el  sistema SISCO
</t>
    </r>
  </si>
  <si>
    <t>contratos registrados en el sistema SISCO</t>
  </si>
  <si>
    <t>N. de contratos registrados en SISCO</t>
  </si>
  <si>
    <t>N. de contratos reportados a Contraloría</t>
  </si>
  <si>
    <t>Aplicativo SISCO para el numerador y para el denominador contratos reportados en Contraloría</t>
  </si>
  <si>
    <t>Esta meta se programa y se reporta en el 4to trimestre para su ejecución
Para su cargue en el aplicativo SIPSE  el dia 16 del mes siguiente terminada  la vigencia</t>
  </si>
  <si>
    <t>Se encuentran registrados 142 Estudios previos de los contratos reportados a la Contraloria con corte a 30 de Noviembre de 2014</t>
  </si>
  <si>
    <t>SISCO</t>
  </si>
  <si>
    <t>TIPO DE PROCESOS MISIONALES</t>
  </si>
  <si>
    <t>Fortalecer la gobernabilidad local en materia policiva y administrativa, mediante acciones de prevención, inspección, vigilancia y control</t>
  </si>
  <si>
    <r>
      <t xml:space="preserve">
Actualizar </t>
    </r>
    <r>
      <rPr>
        <sz val="10"/>
        <color indexed="10"/>
        <rFont val="Arial"/>
        <family val="2"/>
        <charset val="1"/>
      </rPr>
      <t>100%</t>
    </r>
    <r>
      <rPr>
        <sz val="10"/>
        <color indexed="8"/>
        <rFont val="Arial"/>
        <family val="2"/>
        <charset val="1"/>
      </rPr>
      <t xml:space="preserve"> de los expedientes (ACTIVOS) anteriores a 2001 en el aplicativo SI ACTUA</t>
    </r>
  </si>
  <si>
    <t xml:space="preserve">
Expedientes anteriores a 2001 actualizados en el aplicativo SI ACTUA</t>
  </si>
  <si>
    <t>N. de expedientes actualizados en el aplicativo SI ACTUA</t>
  </si>
  <si>
    <t>N. de expedientes inventariados físicamente</t>
  </si>
  <si>
    <r>
      <t>RESPONSABLES</t>
    </r>
    <r>
      <rPr>
        <sz val="10"/>
        <color indexed="8"/>
        <rFont val="Arial"/>
        <family val="2"/>
        <charset val="1"/>
      </rPr>
      <t>: Alcaldías locales, Coordinación Normativa y Jurídica, SDG, Subsecretaria de Asuntos Locales, Dirección de Apoyo a Localidades. 
Aun no se incluiría el escaneo de los expedientes
El plazo máximo para la ejecución de la meta es en el 2do trimestre</t>
    </r>
  </si>
  <si>
    <t>EN ESTABLECIMIENTOS DE COMERCIO SE TIENE COMO BASE 7, EN ESPACIO PUBLICO 4 Y EN  LA ASESORIA DE OBRAS SE TIENE 12 PARA UN TOTAL 23 ACTUACIONES ADMINISTRATIVAS LAS CUALES SE ENCUENTRAN  REGISTRADAS EN EL APLICATIVO SI ACTUA,  CUMPLIENDO EL 100% CON LA META  Y SOBREPASANDO LO PROGRAMADO; ES POR LO CUAL SE ACLARA QUE SE CUMPLIO EN EL SEGUNDO TRIMESTRE EL CUAL NO FUE PROGRAMADO.</t>
  </si>
  <si>
    <t>APLICATIVO SI ACTUA</t>
  </si>
  <si>
    <t>NO SE REPORTA INFORMACION POR CUANTO SE CUMPLIO LA META</t>
  </si>
  <si>
    <r>
      <t xml:space="preserve">Actualizar </t>
    </r>
    <r>
      <rPr>
        <sz val="10"/>
        <color indexed="10"/>
        <rFont val="Arial"/>
        <family val="2"/>
        <charset val="1"/>
      </rPr>
      <t>100%</t>
    </r>
    <r>
      <rPr>
        <sz val="10"/>
        <color indexed="8"/>
        <rFont val="Arial"/>
        <family val="2"/>
        <charset val="1"/>
      </rPr>
      <t xml:space="preserve"> de los expedientes (ACTIVOS) desde el 2001 hasta 2013 en el aplicativo SI ACTUA</t>
    </r>
  </si>
  <si>
    <r>
      <t xml:space="preserve">
</t>
    </r>
    <r>
      <rPr>
        <sz val="10"/>
        <color indexed="8"/>
        <rFont val="Arial"/>
        <family val="2"/>
        <charset val="1"/>
      </rPr>
      <t>Expedientes actualizados de la vigencia 2001 hasta 2013  en el aplicativo SI ACTUA</t>
    </r>
  </si>
  <si>
    <r>
      <t>RESPONSABLES</t>
    </r>
    <r>
      <rPr>
        <sz val="10"/>
        <color indexed="8"/>
        <rFont val="Arial"/>
        <family val="2"/>
        <charset val="1"/>
      </rPr>
      <t>: Alcaldías locales, Coordinación Normativa y Jurídica, SDG, Subsecretaria de Asuntos Locales, Dirección de Apoyo a Localidades. 
Aun no se incluiría el escaneo de los expedientes</t>
    </r>
  </si>
  <si>
    <t>EN ESTABLECIMIENTOS DE COMERCIO SE TIENE COMO BASE 218, EN ESPACIO PUBLICO 110 Y EN  LA ASESORIA DE OBRAS SE TIENE  299 PARA UN TOTAL 627 ACTUACIONES ADMINISTRATIVAS LAS CUALES SE ENCUENTRAN  REGISTRADAS EN EL APLICATIVO SI ACTUA ESPACIO PUBLICO Y ESTABLECIMIENTO DE COMERCIO Y QUEDANDO PENDIENTE 17  ACTUACIONES ADMINISTRATIVAS POR LA ASESORIA DE OBRAS PARA INGRESAR AL APLICATIVO PARA CUMPLIR EL 100%.</t>
  </si>
  <si>
    <t>APLICATIVO  SI ACTUA.</t>
  </si>
  <si>
    <t>EN ESTABLECIMIENTOS DE COMERCIO SE TIENE COMO BASE 218, EN ESPACIO PUBLICO 110 Y EN  LA ASESORIA DE OBRAS SE TIENE  299 PARA UN TOTAL 627 ACTUACIONES ADMINISTRATIVAS LAS CUALES SE ENCUENTRAN  REGISTRADAS EN EL APLICATIVO SI ACTUA ESPACIO PUBLICO Y ESTABLECIMIENTO DE COMERCIO Y ASESORIA DE OBRAS PARA UN TOTAL DEL 100%.</t>
  </si>
  <si>
    <t>NO SE REPORTA INFORMACION POR CUANTO YA SE CUMPLIO LA META EL 100% EN EL SEGUNDO TRIMESTRE</t>
  </si>
  <si>
    <r>
      <t>Actualizar</t>
    </r>
    <r>
      <rPr>
        <sz val="10"/>
        <color indexed="10"/>
        <rFont val="Arial"/>
        <family val="2"/>
        <charset val="1"/>
      </rPr>
      <t xml:space="preserve"> 100 %</t>
    </r>
    <r>
      <rPr>
        <sz val="10"/>
        <color indexed="8"/>
        <rFont val="Arial"/>
        <family val="2"/>
        <charset val="1"/>
      </rPr>
      <t xml:space="preserve"> de los expedientes (ACTIVOS) abiertos en el 2014  en el aplicativo SI ACTUA</t>
    </r>
  </si>
  <si>
    <t xml:space="preserve">Expedientes abiertos en el 2014 actualizados en el aplicativo SI ACTUA </t>
  </si>
  <si>
    <t>N. de expedientes abiertos durante los trimestres del 2014</t>
  </si>
  <si>
    <t xml:space="preserve"> EN ESTABLECIMIENTOS DE COMERICIO SE INICIO 1 ACTUACION ADMINISTRATIVA, 2 EN LA ASESORIA DE OBRAS Y EN ESPACIO PUBLICO 2 LAS CUALES SE ENCUENTRAN REGISTRADAS EN EL APLICATIVO SI ACTUA.</t>
  </si>
  <si>
    <t xml:space="preserve"> EN ESTE TRIMESTRE SE APERTURARON EN ESTABLECIMIENTOS DE COMERICIO SE INICIO 6 ACTUACIONES ADMINISTRATIVAS, 9 EN LA ASESORIA DE OBRAS Y EN ESPACIO PUBLICO 0, PARA UN TOTAL 15 LAS CUALES SE ENCUENTRAN REGISTRADAS EN EL APLICATIVO SI ACTUA.</t>
  </si>
  <si>
    <t xml:space="preserve"> EN ESTE TRIMESTRE SE APERTURARON EN ESTABLECIMIENTOS DE COMERICIO 5 ACTUACIONES ADMINISTRATIVAS, 14 EN LA ASESORIA DE OBRAS Y EN ESPACIO PUBLICO 0, PARA UN TOTAL 19  LAS CUALES SE ENCUENTRAN REGISTRADAS EN EL APLICATIVO SI ACTUA.</t>
  </si>
  <si>
    <t xml:space="preserve"> EN ESTE TRIMESTRE SE APERTURARON EN ESTABLECIMIENTOS DE COMERICIO 5 ACTUACIONES ADMINISTRATIVAS, 0 EN LA ASESORIA DE OBRAS Y EN ESPACIO PUBLICO 0, PARA UN TOTAL 5  LAS CUALES SE ENCUENTRAN REGISTRADAS EN EL APLICATIVO SI ACTUA.</t>
  </si>
  <si>
    <r>
      <t>Fallar el</t>
    </r>
    <r>
      <rPr>
        <sz val="10"/>
        <color indexed="12"/>
        <rFont val="Arial"/>
        <family val="2"/>
        <charset val="1"/>
      </rPr>
      <t xml:space="preserve"> 70% </t>
    </r>
    <r>
      <rPr>
        <sz val="10"/>
        <color indexed="8"/>
        <rFont val="Arial"/>
        <family val="2"/>
        <charset val="1"/>
      </rPr>
      <t>de las actuaciones administrativas en primera instancia en materia de  obras y urbanismo, establecimientos de comercio y espacio publico del 2001 y años anteriores, de conformidad con lo establecido legalmente con base en la labor de impulso procesal.</t>
    </r>
  </si>
  <si>
    <r>
      <t xml:space="preserve">Actuaciones administrativas en obras y urbanismo, establecimientos de </t>
    </r>
    <r>
      <rPr>
        <sz val="10"/>
        <rFont val="Arial"/>
        <family val="2"/>
        <charset val="1"/>
      </rPr>
      <t xml:space="preserve">comercio y espacio publico, del 2001 y años anteriores, falladas de conformidad con lo establecido legalmente con base en la labor de impulso procesal </t>
    </r>
  </si>
  <si>
    <t>N. de expedientes sustanciados y fallados</t>
  </si>
  <si>
    <t>N. de expedientes reportados físicamente</t>
  </si>
  <si>
    <t xml:space="preserve">Inventario físico llevado a cabo durante le mes de diciembre de 2013    </t>
  </si>
  <si>
    <r>
      <t>RESPONSABLES</t>
    </r>
    <r>
      <rPr>
        <sz val="10"/>
        <color indexed="8"/>
        <rFont val="Arial"/>
        <family val="2"/>
        <charset val="1"/>
      </rPr>
      <t xml:space="preserve">: Alcaldías locales, Coordinación Normativa y Jurídica, SDG, Subsecretaria de Asuntos Locales, Dirección de Apoyo a Localidades. 
</t>
    </r>
  </si>
  <si>
    <t xml:space="preserve">SE ENCUENTRA UNA SOLA ACTUACION ADMINISTRATIVA PARA DECISION E FONDO DE PRIMERA VEZ LA CUAL SE ENCUENTRA PARA FALLO.ASESORIA JURIDICA </t>
  </si>
  <si>
    <t>CARPETA DE RESOLUCIONES ASESORIA JURIDICA Y EN LA ACTUACION ADMINISTRATIVA</t>
  </si>
  <si>
    <t>DE LAS ACTUACIONES ADMINSITARTIVAS DEL AÑO 2001 Y AÑOS ANTERIORES  SE TIENEN REPORTADO FISICAMENTE 19 A.A.,DE LOS CUALES EN LA ASESORIA DE OBRAS SE TIENE SUSTANCIADOS Y FALLADOS 15 A.A., EN ESPACIO PUBLICO SE TOMA EL REGISTRO DE 3 ACTUACIONES SUSTANCIADOS Y FALLADAS DEL APLICATIVO SI ACTUA Y ESTABLECIMIENTO DE COMERCIO 1 LA CUAL SE ENCUENTRA PENDIENTE PARA FALLO DE PRIMERA VEZ (UN TOTAL DE 18)</t>
  </si>
  <si>
    <t>DE LAS ACTUACIONES ADMINSITARTIVAS DEL AÑO 2001 Y AÑOS ANTERIORES  SE TIENEN REPORTADO FISICAMENTE 19 A.A.,DE LOS CUALES EN LA ASESORIA DE OBRAS SE TIENE SUSTANCIADOS Y FALLADOS 15 A.A., EN ESPACIO PUBLICO SE TOMA EL REGISTRO DE 3 ACTUACIONES SUSTANCIADOS Y FALLADAS DEL APLICATIVO SI ACTUA Y ESTABLECIMIENTO DE COMERCIO 1 LA CUAL SE FALLO EL 08 DE SEPTIEMBRE DE 2014(UN TOTAL DE 19). CUMPLIENDO LA META 100%. EN LOS TRIMESTRES ANTERIORES NO SE REPORTO EJECUCION POR CUANTO NO HUBO FALLOS.</t>
  </si>
  <si>
    <r>
      <t xml:space="preserve">Fallar el </t>
    </r>
    <r>
      <rPr>
        <sz val="10"/>
        <color indexed="12"/>
        <rFont val="Arial"/>
        <family val="2"/>
        <charset val="1"/>
      </rPr>
      <t>50%</t>
    </r>
    <r>
      <rPr>
        <sz val="10"/>
        <rFont val="Arial"/>
        <family val="2"/>
        <charset val="1"/>
      </rPr>
      <t xml:space="preserve"> de las actuaciones administrativas en primera instancia en materia de obras y urbanismo, aperturadas entre el 2002 y el 2010, de conformidad con lo establecido legalmente con base en la labor de impulso procesal.</t>
    </r>
  </si>
  <si>
    <t>Actuaciones administrativas en obras y urbanismo, aperturadas entre el 2002 y el 2010 falladas, de conformidad con lo establecido legalmente con base en la labor de impulso procesal.</t>
  </si>
  <si>
    <t>N. de expedientes sustanciados y fallados de fondo en primera instancia en materia de obras y urbanismo</t>
  </si>
  <si>
    <r>
      <t xml:space="preserve">N. </t>
    </r>
    <r>
      <rPr>
        <sz val="10"/>
        <rFont val="Arial"/>
        <family val="2"/>
        <charset val="1"/>
      </rPr>
      <t xml:space="preserve">de expedientes reportados físicamente
</t>
    </r>
  </si>
  <si>
    <r>
      <t>RESPONSABLES</t>
    </r>
    <r>
      <rPr>
        <sz val="10"/>
        <color indexed="8"/>
        <rFont val="Arial"/>
        <family val="2"/>
        <charset val="1"/>
      </rPr>
      <t>: Alcaldías locales, Coordinación Normativa y Jurídica, SDG, Subsecretaria de Asuntos Locales, Dirección de Apoyo a Localidades.
Fuente de información inventario físico llevado a cabo durante le mes de diciembre de 2013</t>
    </r>
    <r>
      <rPr>
        <sz val="10"/>
        <color indexed="9"/>
        <rFont val="Calibri"/>
        <family val="1"/>
        <charset val="1"/>
      </rPr>
      <t xml:space="preserve"> el escaneo de los expedientes</t>
    </r>
  </si>
  <si>
    <t>SE ENCUENTRA 2 ACTUACIONES EN LA ASESORIA DE OBRAS DE LA CUAL 1 SE FALLO EN EL TRIMESTRE EQUIVALENTE AL 50%.</t>
  </si>
  <si>
    <t>APLICATIVO SI ACTUA Y CARPETA DE RESOLUCIONES.</t>
  </si>
  <si>
    <t>SE ENCUENTRA CON RESOLUCION DE FALLO SIN FIRMA DEL ALCALDE</t>
  </si>
  <si>
    <t>SE FALLO LA ACTUACION ADMINISTRATIVA CUMPLIENDO LA META EL 100%</t>
  </si>
  <si>
    <r>
      <t xml:space="preserve">Fallar el </t>
    </r>
    <r>
      <rPr>
        <sz val="10"/>
        <color indexed="12"/>
        <rFont val="Arial"/>
        <family val="2"/>
        <charset val="1"/>
      </rPr>
      <t>50%</t>
    </r>
    <r>
      <rPr>
        <sz val="10"/>
        <rFont val="Arial"/>
        <family val="2"/>
        <charset val="1"/>
      </rPr>
      <t xml:space="preserve"> de las actuaciones administrativas en primera instancia en materia de establecimientos de comercio, aperturadas entre el 2002 y el 2010, de conformidad con lo establecido legalmente con base en la labor de impulso procesal.</t>
    </r>
  </si>
  <si>
    <t>Actuaciones administrativas en establecimientos de comercio aperturadas entre el 2002 y el 2010 falladas, de conformidad con lo establecido legalmente con base en la labor de impulso procesal.</t>
  </si>
  <si>
    <t>N. de expedientes sustanciados y fallados de fondo en primera instancia en materia de establecimientos de comercio</t>
  </si>
  <si>
    <t>SE TIENEN 33 ACTUACIONES ADMINISTRATIVAS Y TENIDENDO EN CUENTA QUE LA META SOLICITA FALLAR EL 50% DE ESTAS LAS CUALES EQUIVALEN A 16 ACTUACIONES DE ESTAS SE FALLARON 3 EQUIVALENTES AL 9%.</t>
  </si>
  <si>
    <t>SE TIENEN 33 ACTUACIONES ADMINISTRATIVAS Y TENIENDO EN CUENTA QUE LA META SOLICITA FALLAR EL 50% DE ESTAS LAS CUALES EQUIVALEN A 16 ACTUACIONES DE ESTAS SE FALLARON 4 EQUIVALENTES AL 25%</t>
  </si>
  <si>
    <t>SE TIENEN 33 ACTUACIONES ADMINISTRATIVAS Y TENIDENDO EN CUENTA QUE LA META SOLICITA FALLAR EL 50% DE ESTAS LAS CUALES EQUIVALEN A 16 ACTUACIONES DE ESTAS SE FALLARON 10 EQUIVALENTES AL 63%</t>
  </si>
  <si>
    <r>
      <t xml:space="preserve">Fallar el </t>
    </r>
    <r>
      <rPr>
        <sz val="10"/>
        <color indexed="12"/>
        <rFont val="Arial"/>
        <family val="2"/>
        <charset val="1"/>
      </rPr>
      <t>50%</t>
    </r>
    <r>
      <rPr>
        <sz val="10"/>
        <rFont val="Arial"/>
        <family val="2"/>
        <charset val="1"/>
      </rPr>
      <t xml:space="preserve"> de las actuaciones administrativas en primera instancia en materia de espacio público, aperturadas entre el 2002 y el 2010, de conformidad con lo establecido legalmente con base en la labor de impulso procesal.</t>
    </r>
  </si>
  <si>
    <t>Actuaciones administrativas en espacio público aperturadas entre el 2002 y el 2010 falladas, de conformidad con lo establecido legalmente con base en la labor de impulso procesal.</t>
  </si>
  <si>
    <t>N. de expedientes sustanciados y fallados de fondo en primera instancia en materia de espacio público</t>
  </si>
  <si>
    <t>SE VERIFICA EN EL APLICATIVO SI ACTUA QUE EXISTEN 70 ACTUACIONES ADMINSITARTIVAS ESPACIO PUBLICO Y DE ACUERDO A LA META SE DEBE FALLAR EL 50% ES DECIR 35 ACTUACIONES ADMINISTRATIVAS. PARA EL PRESENTE TRIMESTRE SE FALLARON 11 ACTUACIONES EQUIVALENTE AL 16%</t>
  </si>
  <si>
    <t>APLICATIVO SI ACTUA.</t>
  </si>
  <si>
    <t>SE VERIFICA EN EL APLICATIVO SI ACTUA QUE EXISTEN 70 ACTUACIONES ADMINSITARTIVAS ESPACIO PUBLICO Y DE ACUERDO A LA META SE DEBE FALLAR EL 50% ES DECIR 35 ACTUACIONES ADMINISTRATIVAS. PARA EL PRESENTE TRIMESTRE SE FALLARON 2 ACTUACIONES EQUIVALENTE AL 6%</t>
  </si>
  <si>
    <t xml:space="preserve">NO HUBO FALLOS EN PRIMERA INSTANCIA </t>
  </si>
  <si>
    <r>
      <t>Impulsar el</t>
    </r>
    <r>
      <rPr>
        <sz val="10"/>
        <color indexed="12"/>
        <rFont val="Arial"/>
        <family val="2"/>
        <charset val="1"/>
      </rPr>
      <t xml:space="preserve"> 80%</t>
    </r>
    <r>
      <rPr>
        <sz val="10"/>
        <rFont val="Arial"/>
        <family val="2"/>
        <charset val="1"/>
      </rPr>
      <t xml:space="preserve"> de las actuaciones administrativas en obras y urbanismo, establecimientos de comercio y espacio publico, aperturadas entre el 2011 y el 2013</t>
    </r>
  </si>
  <si>
    <t>Actuaciones administrativas en obras y urbanismo, establecimientos de comercio y espacio publico, aperturadas entre el 2011 y el 2013 impulsadas</t>
  </si>
  <si>
    <t>N. de expedientes sustanciados( impulsados)</t>
  </si>
  <si>
    <r>
      <t xml:space="preserve">Inventario físico llevado a cabo durante le mes de diciembre de 2013   </t>
    </r>
    <r>
      <rPr>
        <sz val="10"/>
        <color indexed="9"/>
        <rFont val="Calibri"/>
        <family val="1"/>
        <charset val="1"/>
      </rPr>
      <t xml:space="preserve"> de los </t>
    </r>
    <r>
      <rPr>
        <sz val="10"/>
        <color indexed="8"/>
        <rFont val="Arial"/>
        <family val="2"/>
        <charset val="1"/>
      </rPr>
      <t xml:space="preserve"> </t>
    </r>
    <r>
      <rPr>
        <sz val="10"/>
        <color indexed="9"/>
        <rFont val="Calibri"/>
        <family val="1"/>
        <charset val="1"/>
      </rPr>
      <t>a el escaneo</t>
    </r>
  </si>
  <si>
    <r>
      <t>RESPONSABLES</t>
    </r>
    <r>
      <rPr>
        <sz val="10"/>
        <color indexed="8"/>
        <rFont val="Arial"/>
        <family val="2"/>
        <charset val="1"/>
      </rPr>
      <t xml:space="preserve">: Alcaldías locales, Coordinación Normativa y Jurídica, SDG, Subsecretaria de Asuntos Locales, Dirección de Apoyo a Localidades. </t>
    </r>
  </si>
  <si>
    <t xml:space="preserve">SE TIENE COMO BASE  284 ACTUACIONES ADMINISTRATIVAS (ESTABLECIMIENTOS DE COMERCIO 144, ESPACIO PUBLICO 45 Y ASESORIA DE OBRAS 95) DE LOS CUALES SE IMPULSARON 124 (ESTABLECIMIENTOS DE COMERCIO 55, ESPACIO PUBLICO 45 Y ASESORIA DE OBRAS 24). SE VERIFICO EN EL APLICATIVO SI ACTUA LOS MOVIMIENTOS REGISTRADOS A LAS ACTUACIONES ADMINISTRATIVAS DE LOS AÑOS 2011 AL 2013 DE LAS DIFERENTES DEPENDENCIAS. EN EL CASO DE ESTABLECIMIENTO DE COMERCIO SE VERIFICO QUE EL REPORTE QUE MUESTRA EL APLICATIVO SI ACTUA NO ES REAL YA QUE EL PALICATIVO NO MUESTRA TODAS LA ACTUACIONES QUE SE IMPULSARON. </t>
  </si>
  <si>
    <t xml:space="preserve">APLICATIVO SI ACTUA </t>
  </si>
  <si>
    <t xml:space="preserve">SE TIENE COMO BASE  284 ACTUACIONES ADMINISTRATIVAS (ESTABLECIMIENTOS DE COMERCIO 144, ESPACIO PUBLICO 45 Y ASESORIA DE OBRAS 95) DE LOS CUALES SE IMPULSARON 117 (ESTABLECIMIENTOS DE COMERCIO 38, ESPACIO PUBLICO 42 Y ASESORIA DE OBRAS 37). SE VERIFICO EN EL APLICATIVO SI ACTUA LOS MOVIMIENTOS REGISTRADOS A LAS ACTUACIONES ADMINISTRATIVAS DE LOS AÑOS 2011 AL 2013 DE LAS DIFERENTES DEPENDENCIAS. EN EL CASO DE ESTABLECIMIENTO DE COMERCIO SE VERIFICO QUE EL REPORTE QUE MUESTRA EL APLICATIVO SI ACTUA NO ES REAL YA QUE EL APLICATIVO NO MUESTRA TODAS LA ACTUACIONES QUE SE IMPULSARON. </t>
  </si>
  <si>
    <t>SE TIENE COMO BASE  284 ACTUACIONES ADMINISTRATIVAS (ESTABLECIMIENTOS DE COMERCIO 144, ESPACIO PUBLICO 45 Y ASESORIA DE OBRAS 95) DE LOS CUALES SE IMPULSARON 115  (ESTABLECIMIENTOS DE COMERCIO 55 , ESPACIO PUBLICO NO SE REPORTA INFORMACION  Y ASESORIA DE OBRAS 60).EL AVANCE DE EJECUCION DE OBTIENE DEL TOTAL DE LAS ACTUACIONES IMPULSADAS EN EL TRIMESTRE (115/284)</t>
  </si>
  <si>
    <t>SE TIENE COMO BASE  284 ACTUACIONES ADMINISTRATIVAS (ESTABLECIMIENTOS DE COMERCIO 144, ESPACIO PUBLICO 45 Y ASESORIA DE OBRAS 95) DE LOS CUALES SE IMPULSARON 98 ACTUACIONES DE LA SIGUIENTE MANERA:  DE ESTABLECIMIENTOS DE COMERCIO 63, ESPACIO PUBLICO 18 Y DE OBRAS 17</t>
  </si>
  <si>
    <r>
      <t xml:space="preserve">Realizar </t>
    </r>
    <r>
      <rPr>
        <sz val="10"/>
        <color indexed="10"/>
        <rFont val="Arial"/>
        <family val="2"/>
        <charset val="1"/>
      </rPr>
      <t>10</t>
    </r>
    <r>
      <rPr>
        <sz val="10"/>
        <rFont val="Arial"/>
        <family val="2"/>
        <charset val="1"/>
      </rPr>
      <t xml:space="preserve"> actividades de prevención de infracciones en obras y urbanismo establecimientos de comercio y espacio publico</t>
    </r>
  </si>
  <si>
    <t xml:space="preserve">Actividades de prevención de infracciones en obras y urbanismo establecimientos de comercio y espacio publico realizadas
</t>
  </si>
  <si>
    <t xml:space="preserve">N. de actividades de prevención realizadas </t>
  </si>
  <si>
    <t>N. de actividades de prevención programadas</t>
  </si>
  <si>
    <r>
      <t>RESPONSABLES</t>
    </r>
    <r>
      <rPr>
        <sz val="10"/>
        <color indexed="8"/>
        <rFont val="Arial"/>
        <family val="2"/>
        <charset val="1"/>
      </rPr>
      <t>: Alcaldías locales, Coordinación Normativa y Jurídica, SDG, Subsecretaria de Asuntos Locales, Dirección de Apoyo a Localidades, Secretaria General</t>
    </r>
  </si>
  <si>
    <t xml:space="preserve">SE REALIZO  1 SENSIBILIZACION DEL  REGIMEN DE OBRAS Y URBANISMO. </t>
  </si>
  <si>
    <t xml:space="preserve"> CARPETA DE ACTAS</t>
  </si>
  <si>
    <t>SE REALIZO  1 SENSIBILIZACION DEL  REGIMEN DE OBRAS Y URBANISMO. NO SE CUMPLIO CON LA META POR CUANTO LA ASESORIA JURIDICA NO REALIZO JORNADA DE SENSIBILIZACION DE ESTABLECIMIENTOS DE COMERCIO Y ESPACIO PUBLICO.</t>
  </si>
  <si>
    <t>SE REALIZO  1 SENSIBILIZACION DEL  REGIMEN DE OBRAS Y URBANISMO Y UNA EN ESTABLECIMIENTO DE COMERCIO SOBRE NORMAS DE TARIFAS DE PARQUEADEROS.</t>
  </si>
  <si>
    <t xml:space="preserve">SE REPORTA INFORMACION DE ESPACIO PUBLICO EL CUATRO TRIMESTRE Y NO DE LOS TRIMESTRES ANTERIORES. </t>
  </si>
  <si>
    <t>14,10</t>
  </si>
  <si>
    <r>
      <t>Realizar</t>
    </r>
    <r>
      <rPr>
        <sz val="10"/>
        <color indexed="12"/>
        <rFont val="Arial"/>
        <family val="2"/>
        <charset val="1"/>
      </rPr>
      <t xml:space="preserve"> 40 </t>
    </r>
    <r>
      <rPr>
        <sz val="10"/>
        <rFont val="Arial"/>
        <family val="2"/>
        <charset val="1"/>
      </rPr>
      <t>operativos de control de infracciones en establecimientos de comercio</t>
    </r>
  </si>
  <si>
    <t>Operativos de control de infracciones, en establecimientos de comercio realizados</t>
  </si>
  <si>
    <t>N. de operativos de control en establecimientos de comercio realizados</t>
  </si>
  <si>
    <t>N. de operativos de control programados</t>
  </si>
  <si>
    <r>
      <t>RESPONSABLES</t>
    </r>
    <r>
      <rPr>
        <sz val="10"/>
        <color indexed="8"/>
        <rFont val="Arial"/>
        <family val="2"/>
        <charset val="1"/>
      </rPr>
      <t xml:space="preserve">: Alcaldías locales, Coordinación Normativa y Jurídica, SDG, Subsecretaria de Asuntos Locales, Dirección de Apoyo a Localidades, Secretaria General
</t>
    </r>
    <r>
      <rPr>
        <sz val="10"/>
        <color indexed="9"/>
        <rFont val="Calibri"/>
        <family val="1"/>
        <charset val="1"/>
      </rPr>
      <t xml:space="preserve">de los </t>
    </r>
    <r>
      <rPr>
        <sz val="10"/>
        <color indexed="8"/>
        <rFont val="Arial"/>
        <family val="2"/>
        <charset val="1"/>
      </rPr>
      <t xml:space="preserve"> </t>
    </r>
    <r>
      <rPr>
        <sz val="10"/>
        <color indexed="9"/>
        <rFont val="Calibri"/>
        <family val="1"/>
        <charset val="1"/>
      </rPr>
      <t>a el escaneo de los</t>
    </r>
  </si>
  <si>
    <t xml:space="preserve"> SE REALIZO 1 A LAS CIGARRERIAS Y LICORERIAS DEL SECTOR DE LA CARRERA 8 ENTRE CALLES 19 A  LA 23. TAMBIEN A DISTRIBUIDORAS DE PESCADOS EN LA CALLE 20 ENTRE CARRERAS 8 Y 9, EN EL SECTOR DE LA CALLE 19 ENTRE CARRERA 7 A LA 6 A ESTABLECIMIENTO DE CONSUMO DE LICOR DENTRO DEL ESTABLECMIENTO, CONTROL A ESTABLECIMIENTOS CON ACTIVIDAD DE VIDEOS X EN EL SECTOR DE LA CARRERA 10 A LA 13 CON CALLE 22 Y SE REALIZO UN OPERATIVO ADICIONAL DE MANERA INTERINSTITUCIONAL CON EL HOSPITAL CENTRO ORIENTE POR SOLICITUD DEL CITADO HOSPITAL. </t>
  </si>
  <si>
    <t xml:space="preserve"> CARPETA DE ACTAS DE OPERATIVOSESTABLECIMIENTOS DE COMERCIO.</t>
  </si>
  <si>
    <t xml:space="preserve"> SE REALIZO 1 EN EL CENTRO COMERCIAL PROCOIL CONTROL A BARES, 1 INQUILINATOS Y/O RESIDENCIAS BARRIO ALAMEDA, 1 INQUILINATOS Y/O RESIDENCIAS BARRIO CAPUCHINA, 1 COMIDAS RAPIDAS AV CALLE 19, 1 CONTROL BARES BARRIO LAS NIEVES, 1 CACHARRERIAS SAN VICTORINO, 1 CENTRO DE ACOPIO RECICLADORAS BARRIO ALAMEDA, 1 DORMITORIOS PAGA DIARIO HABITANTE DE CALLE BARRIO ALAMEDA Y1 PESCADERIAS CARRERA 4 CALLE 19. FALTARON TRES OPERATIVOS POR REALIZAR POR LAS SIGUIENTES RAZONES: SE SUSPENDIO EL OPERATIVO PROGRAMADO PARA EL DIA 25 DE ABRIL DE 2014, YA QUE LA POLICIA NO HIZO PRESENCIA PARA EL ACOMPAÑAMIENTO Y SANIDAD RECIBIO LA SOLICITUD SOBRE EL TIEMPO Y NO SE PUDO PROGRAMAR EL ACOMPAÑAMIENTO, SE CANCELO OPERATIVO PARA MAYO 30 DE 2014 CONTRO WISKERIAS YA QUE NO SE CONTO CON EL APOYO DE LA POLICIA, SE CANCELA EL OPERATIVO PARA 05 DE JUNIO DE 2014 YA QUE NO HIZO PRESENCIA PARA ACOMPAÑAMIENTO LA POLICIA, HOSPITAL Y PERSONRIA LOCAL.</t>
  </si>
  <si>
    <t xml:space="preserve"> SE TENIAN PROGRAMADOS 14  OPERATIVOS DE LOS CUALES  SE REALIZARON 1 OPERATIVO EN DISTRICUIDORAS DE LICORES, 3 EN MADRUGON DE SAN VICTORINO, 1 EN VIDEO JUEGOS . 1 PARQUEADEROS PUBLICOS, 2 BARES, 1 VIDEOS X, 2 OPERATIVOS DE CONTROL A CIGARRERIAS Y DULCERIAS PREVIA A LA FIETAS DE HALLOWEN (CONTROL CALIDAD DULCES) Y 3 CANCELADOS POR NO CONTAR CON PERSONERIA LOCAL Y SE POR CALIDAD DOMESTICA .</t>
  </si>
  <si>
    <t>SE REALIZARON 4 OPERATIVOS DE CONTROL ESTABLECIMIENTOS DE COMERCIO, LOS CUALES FUERON EN EL SECTOR DE SAN VICTORINO 2 DE CONTROL A PRODUCTOS DE JUGUETERIA POR TEMPORADA DECEMBRINA, 1 EN DIFERENTES SECTORES DE LA LOCALIDAD DE CONTROL A RESTAURANTES, BARES Y PARQUEADEROS Y 1 EN EL SECTOR DE LA CALLE 19 ENTRE CARRERAS 4 Y 7 DE CONTROLES A BARES EN HORARIOS NOCTURNOS VERIFICANDOSE LICOR.  NO SE REALIZARON OPERATIVOS DURANTE PARTE DEL MES DE OCTUBRE Y NOVIEMBRE, YA QUE NO HABIA ASESOR JURIDICO, YA QUE LA TITULAR SE PENSIONO.  SE REALIZARAN DEL 18 AL 23 4 OPERATIVOS: 2 CONTROL JUGUETERIA, 1 CONTROL LICORES DISTRIBUIDORAS, 1 TIENDA VENTA Y CONSUMO LICOR BARRIO SAN BERNARDO</t>
  </si>
  <si>
    <t>14,11</t>
  </si>
  <si>
    <t>Realizar 24 operativos de control de infracciones en obras y urbanismo</t>
  </si>
  <si>
    <t>Operativos de control de infracciones, en obras y urbanismo realizados</t>
  </si>
  <si>
    <t>N. de operativos de control de obras y urbanismo realizados</t>
  </si>
  <si>
    <t xml:space="preserve">SE SOBREPASO LA META POR CUANTO SE TIENE ESTABLECIDO EN EL PLAN DE MEJORAMIENTO DE CERROS ORIENTALES OPERATIVOS DE CONTROL MEMSUALES A LO POLIGONOS DE CERROS ORIENTALES YA SEAN RURALES O URBANOS. </t>
  </si>
  <si>
    <t>CARPETA DE OPERATIVOS</t>
  </si>
  <si>
    <t xml:space="preserve"> SE TENIAN PROGRAMADOS 6 DE LOS CUALES SE REALIZARON 12 SOBREPASO LA META POR CUANTO SE TIENE ESTABLECIDO EN EL PLAN DE MEJORAMIENTO DE CERROS ORIENTALES OPERATIVOS DE CONTROL MEMSUALES A LO POLIGONOS DE CERROS ORIENTALES YA SEAN RURALES O URBANOS. </t>
  </si>
  <si>
    <t>14,12</t>
  </si>
  <si>
    <t>Realizar 108 operativos de control de infracciones en espacio público</t>
  </si>
  <si>
    <t>Operativos de control de infracciones, en espacio público realizados</t>
  </si>
  <si>
    <t>N. de operativos de control de espacio público realizados</t>
  </si>
  <si>
    <t>SE SOBREPASA LA META POR INTECIFICACION EN OPERATIVOS LOS FINES DE SEMANA EL SECTOR DE MONSERRATE Y CACHIVACHEROS DE LA CARRERA 7 ENTRE CALLE 21 A 26.</t>
  </si>
  <si>
    <t xml:space="preserve"> CARPETA DE OPERATIVOS DE ESPACIO PUBLICO</t>
  </si>
  <si>
    <t>SE SOBREPASA LA META POR INTECIFICACION EN OPERATIVOS LOS FINES DE SEMANA EL SECTORDE MONSERRATE Y CACHIVACHEROS DE LA CARRERA 7 ENTRE CALLE 21 A 26.</t>
  </si>
  <si>
    <t xml:space="preserve"> SE TENIAN PROGRAMADOS 27 OPERATIVOS DE ESPACIO PUBLICO DE LOS CUALES SE REALIZARON 20 EN  LA CARRERA 7 ENTRE JIMENEZ Y CALLE 34, CALLE 19 ENTRE CARRERA 3 Y 10MA, CALLES 16 Y 17 ENTRE K10 Y K5, , AV. JIMENEZ ENTRE K3 Y K 8 Y FINES DE SEMANA EN LAS CALLES 22,23 Y 24 ENTRE K 3 Y K8 Y CARRERA 7MA ENTRE JIMENEZ Y CALLE 26.</t>
  </si>
  <si>
    <t>SE REALIZARON 24 OPERATIVOS EN LOS SECTORES CARRERA 7, PARUQ DE LA MARIPOSA, SAN VICTORINO Y MONSERRATE.</t>
  </si>
  <si>
    <r>
      <t xml:space="preserve">Impulsar el </t>
    </r>
    <r>
      <rPr>
        <sz val="10"/>
        <color indexed="10"/>
        <rFont val="Arial"/>
        <family val="2"/>
        <charset val="1"/>
      </rPr>
      <t>100%</t>
    </r>
    <r>
      <rPr>
        <sz val="10"/>
        <rFont val="Arial"/>
        <family val="2"/>
        <charset val="1"/>
      </rPr>
      <t xml:space="preserve"> de las acciones policivas en términos procesales( querellas, contravenciones de la vigencia 2014)
</t>
    </r>
  </si>
  <si>
    <t>Acciones policivas en términos procesales(querellas, contravenciones de la vigencia 2014) impulsadas</t>
  </si>
  <si>
    <t>N. de querellas y contravenciones con impulso procesal</t>
  </si>
  <si>
    <t>N. de querellas y contravenciones recibidas en el trimestre</t>
  </si>
  <si>
    <t>SE CUMPLIO CON LA META TODOS LOS EXPEDIENTES RECIBIDOS EN EL 2014 SE LES DIO IMPULSO PROCESAL (avocar conocimiento, citacion a las partes, señalar fecha para practica de diligencia, etc.) En la Secretaria General e Inspecciones de Policia se tramitaron 843 querella sy contravenciones y a todos se les hizo seguimiento a traves del APLICATIVO SI ACTUA.</t>
  </si>
  <si>
    <t xml:space="preserve">APLICATIVO SI ACTUA Y EXPEDIENTES </t>
  </si>
  <si>
    <t xml:space="preserve">DURANTE EL TRIMESTRE SE RECIBIERON 142 QUERELLAS CIVILES Y CONTRAVENCIONALES  Y A TODAS SE LES DIO EL IMPULSO PROCESAL. DURANTE LA VIGENCIA DEL 2014 SE HAN RECIBIDO 290 QUERELLAS CIVILES Y CONTRAVENCIONALES A LAS QUE IGUALMENTE SE LES HA DADO EL IMPULSO PROCESAL EN LO CONCERNIENTE A LOS SIGUIENTES ASPECTOS.(Se avocó conocimiento, inadmitir,rechazar, fijar fecha para diligencia ocular, emitir fallo, archivo por desistimiento, ratificacion o descargos). </t>
  </si>
  <si>
    <t>APLICATIVO SI-ACTUA, EXPEDIENTES.</t>
  </si>
  <si>
    <t>Ante las Inspecciones de Policía se tramitan actualmente 149 querellas y contravenciones y a todas se les ha hecho seguimiento a través del APLICATIVO SI ACTUA A PESAR DE HABER FUNCIONADO DE MANERA INTERMITENTE EL APLICATIVO SI ACTUA SE DIO MOVIMIENTO A TODAS LAS QUERELLAS Y CONTRAVENCIONES QUE SE TRAMITAN EN LAS INSPECCIONES DE POLICIA  (avocar conocimiento, citación a las partes, señalar fecha para practica de diligencia, etc.)</t>
  </si>
  <si>
    <r>
      <t>A LA FECHA ANTE LAS INSPECCIONES SE TRAMITAN</t>
    </r>
    <r>
      <rPr>
        <sz val="10"/>
        <color indexed="10"/>
        <rFont val="Arial"/>
        <family val="2"/>
        <charset val="1"/>
      </rPr>
      <t xml:space="preserve"> </t>
    </r>
    <r>
      <rPr>
        <sz val="11"/>
        <color theme="1"/>
        <rFont val="Calibri"/>
        <family val="2"/>
        <scheme val="minor"/>
      </rPr>
      <t>117 EXPEDIENTES ENTRE QUERELLAS Y CONTRAVENCIONES Y A TODAS SE HA DADO MOVIMIENTO EN EL APLICATVO SI ACTUA (avocar o rechazar el conocimiento, fijar fecha, resolver recursos, notificaciones, contestar solicitudes, etc)</t>
    </r>
  </si>
  <si>
    <t>14,14</t>
  </si>
  <si>
    <r>
      <t xml:space="preserve">Emitir 40 </t>
    </r>
    <r>
      <rPr>
        <sz val="10"/>
        <color indexed="12"/>
        <rFont val="Arial"/>
        <family val="2"/>
        <charset val="1"/>
      </rPr>
      <t>%</t>
    </r>
    <r>
      <rPr>
        <sz val="10"/>
        <rFont val="Arial"/>
        <family val="2"/>
        <charset val="1"/>
      </rPr>
      <t xml:space="preserve"> de las decisiones que pongan fin al proceso</t>
    </r>
  </si>
  <si>
    <t>Decisiones emitidas que pongan fin al proceso</t>
  </si>
  <si>
    <t>N. de decisiones emitidas que pongan fin al proceso</t>
  </si>
  <si>
    <t>Inventario de querellas y contravenciones al 31 de diciembre del 2013</t>
  </si>
  <si>
    <r>
      <t>Decisi</t>
    </r>
    <r>
      <rPr>
        <sz val="10"/>
        <rFont val="Arial"/>
        <family val="2"/>
        <charset val="1"/>
      </rPr>
      <t xml:space="preserve">ón se refiere a prescripción, desistimiento, conciliación, caducidad, fallo.
</t>
    </r>
  </si>
  <si>
    <t>SUMADO A LOS 716 EXPEDIENTES DEL 2013, EN EL PRIMER TRIMESTRE SE RECIBIERON 127.  SE FALLARON 110 INVESTIGACIONES. SE SOBREPASO LO PROGRAMADO POR CUANTO EN EL TRABAJO COMUNITARIO SE EVACUARON QUERELLAS Y CONTRAVENCIONES DEMOSTRANDO QUE LOS ACTORES NO ESTABAN INTERESADOS EN EL TRAMITE D ELA DENUNCIA.</t>
  </si>
  <si>
    <t xml:space="preserve"> APLICATIVO SI ACTUA Y EXPEDIENTES  </t>
  </si>
  <si>
    <t xml:space="preserve">INVENTARIO CORTE 31DE DICIEMBRE DEL 2013. QUERELLAS CIVILES Y CONTRAVENCIONALES 716. EN EL SEGUNDO TRIMESTRE SE RECIBIERON 142. SE TERMINARON 94. SE CUMPLIO CON LA META. </t>
  </si>
  <si>
    <t>DURANTE EL TRIMESTRE SE RECIBIERON 169 QUERELLAS CIVILES Y CONTRAVENCIONALES Y SE FALLARON EN LAS INSPECCIONES 3A Y 3D 102 EXPEDIENTES, QUE PORCENTUALMENTE EQUIVALEN AL 60%</t>
  </si>
  <si>
    <t xml:space="preserve">APLICATIVO SI ACTUA Y QUERELLAS </t>
  </si>
  <si>
    <r>
      <t xml:space="preserve">SE RECIBIERON </t>
    </r>
    <r>
      <rPr>
        <sz val="10"/>
        <color indexed="10"/>
        <rFont val="Arial"/>
        <family val="2"/>
      </rPr>
      <t>124</t>
    </r>
    <r>
      <rPr>
        <sz val="10"/>
        <rFont val="Arial"/>
        <family val="2"/>
        <charset val="1"/>
      </rPr>
      <t xml:space="preserve"> EXPEDIENTES ENTRE QUERELLAS Y CONTRAVENCIONES Y SE FALLARON POR PARTE DE LAS 3 INSPECCIONES NOVENTA (90) INVESTIGACIONES.</t>
    </r>
  </si>
  <si>
    <t>CADA EXPEDIENTE, CARPETA DE FALLOS EN CADA INSPECCION Y APLICACTIVO SI ACTUA</t>
  </si>
  <si>
    <t>Lograr en 15  días la realización de la audiencia de conciliación, Secretaría General de las Inspecciones de Policía o Corregidores.</t>
  </si>
  <si>
    <r>
      <t>Promedio de días para la  realizaci</t>
    </r>
    <r>
      <rPr>
        <sz val="10"/>
        <rFont val="Arial"/>
        <family val="2"/>
        <charset val="1"/>
      </rPr>
      <t>ón de audiencias de conciliación</t>
    </r>
  </si>
  <si>
    <r>
      <t>Sumatoria de d</t>
    </r>
    <r>
      <rPr>
        <sz val="10"/>
        <rFont val="Arial"/>
        <family val="2"/>
        <charset val="1"/>
      </rPr>
      <t>ías para la realización de todas las audiencias de conciliación</t>
    </r>
  </si>
  <si>
    <t>SE CUMPLIO CON LA META. SE REALIZARON 94 CONCILIACIONES EN 789 DIAS.</t>
  </si>
  <si>
    <t xml:space="preserve">CARPETA DE ACTAS DE CONCILIACION Y QUERELLAS </t>
  </si>
  <si>
    <t>SE CUMPLIO CON LA META. SE SEÑALARON 55 AUDIENCIAS DE CONCILIACION Y LA SUMATORIA DE DIAS ES DE 446. EL PROMEDIO PARA REALIZACION DE AUDIENCIAS ES DE 8 DIAS.</t>
  </si>
  <si>
    <t>SE CUMPLIO CON LA META. SE SEÑALARON 88 AUDIENCIAS DE CONCILIACION Y LA SUMATORIA DE DIAS ES DE 993. EL PROMEDIO PARA REALIZACION DE AUDIENCIAS ES DE 11 DIAS.</t>
  </si>
  <si>
    <t>QUERELLAS Y CARPETA ACTAS DE CONCILIACION</t>
  </si>
  <si>
    <t xml:space="preserve">SE REALIZARON 75 AUDIENCIAS DE CONCILIACION Y LA SUMATORIA DE DIAS ES DE 1109. </t>
  </si>
  <si>
    <t>CADA QUERELLA, APLICATIVO SI ACTUA Y CARPETA AUDIENCIAS DE CONCILIACION</t>
  </si>
  <si>
    <r>
      <t xml:space="preserve">Evacuar 70 </t>
    </r>
    <r>
      <rPr>
        <sz val="10"/>
        <color indexed="12"/>
        <rFont val="Arial"/>
        <family val="2"/>
        <charset val="1"/>
      </rPr>
      <t xml:space="preserve">% </t>
    </r>
    <r>
      <rPr>
        <sz val="10"/>
        <rFont val="Arial"/>
        <family val="2"/>
        <charset val="1"/>
      </rPr>
      <t>de los procesos generados por retención de bienes por la ocupación del espacio público</t>
    </r>
  </si>
  <si>
    <t>Procesos generados por retención de bienes por la ocupación del espacio público evacuados</t>
  </si>
  <si>
    <t xml:space="preserve">N. de procesos evacuados </t>
  </si>
  <si>
    <t xml:space="preserve">N. de procesos recibidos durante el trimestre
</t>
  </si>
  <si>
    <r>
      <t xml:space="preserve"> </t>
    </r>
    <r>
      <rPr>
        <sz val="10"/>
        <rFont val="Arial"/>
        <family val="2"/>
        <charset val="1"/>
      </rPr>
      <t>La meta hace referencia a evitar la acumulación  de los elementos en bodega, igualmente mide la evacuación de los elementos por un proceso generado por la utilización indebida del espacio público; Cada persona, infractor o vendedor tiene un proceso independiente.</t>
    </r>
  </si>
  <si>
    <t>En el trimestre se recibieron 887  y se evacuaron 449 decomisos.no se cumplio con la meta por que el tiempo es muy corto si se le da aplicacion a lo establecido en el procedimiento de la secretaria de gobierno.</t>
  </si>
  <si>
    <t xml:space="preserve"> APLICATIVO SI ACTUA Y EXPEDIENTES </t>
  </si>
  <si>
    <t>EN EL SEGUNDO TRIMESTRE SE RECIBIERON 364 ACTAS PARA TRAMITE PROCESO. SE EVACUARON 250 QUE CORRESPONDEN AL 69%. NO SE CUMPLIO TOTALMENTE LA META POR CUANTO LA SECRETARIA TITULAR SE ENCUENTRA EN VACACIONES Y EL ENCARGO SIEMPRE CAUSA UN POCO DE RETRAZO.</t>
  </si>
  <si>
    <r>
      <t xml:space="preserve">En el trimestre se recibieron </t>
    </r>
    <r>
      <rPr>
        <sz val="10"/>
        <color indexed="8"/>
        <rFont val="Arial"/>
        <family val="2"/>
      </rPr>
      <t>503</t>
    </r>
    <r>
      <rPr>
        <sz val="10"/>
        <rFont val="Arial"/>
        <family val="2"/>
        <charset val="1"/>
      </rPr>
      <t xml:space="preserve"> nuevas actas de aprehensión y del segundo trimestre venían</t>
    </r>
    <r>
      <rPr>
        <sz val="10"/>
        <color indexed="8"/>
        <rFont val="Arial"/>
        <family val="2"/>
        <charset val="1"/>
      </rPr>
      <t xml:space="preserve"> </t>
    </r>
    <r>
      <rPr>
        <sz val="10"/>
        <color indexed="8"/>
        <rFont val="Arial"/>
        <family val="2"/>
      </rPr>
      <t>364</t>
    </r>
    <r>
      <rPr>
        <sz val="10"/>
        <rFont val="Arial"/>
        <family val="2"/>
        <charset val="1"/>
      </rPr>
      <t xml:space="preserve"> para un total de 867. Se evacuaron</t>
    </r>
    <r>
      <rPr>
        <sz val="10"/>
        <color indexed="10"/>
        <rFont val="Arial"/>
        <family val="2"/>
      </rPr>
      <t xml:space="preserve"> </t>
    </r>
    <r>
      <rPr>
        <sz val="10"/>
        <color indexed="8"/>
        <rFont val="Arial"/>
        <family val="2"/>
      </rPr>
      <t>624</t>
    </r>
    <r>
      <rPr>
        <sz val="10"/>
        <color indexed="8"/>
        <rFont val="Arial"/>
        <family val="2"/>
        <charset val="1"/>
      </rPr>
      <t xml:space="preserve"> </t>
    </r>
    <r>
      <rPr>
        <sz val="10"/>
        <rFont val="Arial"/>
        <family val="2"/>
        <charset val="1"/>
      </rPr>
      <t>decomisos.</t>
    </r>
  </si>
  <si>
    <t>ACTAS DE APREHENSION Y APLICATIVO SI ACTUA</t>
  </si>
  <si>
    <t>EN EL TRIMESTRE SE RECIBIERON 1347 ENTRE ACTAS NUEVAS Y LAS DEL TRIMESTRE ANTERIOR. SE EVACUARON 956 DECOMISOS PARA UN PORCENTAJE DEL 71%.</t>
  </si>
  <si>
    <t xml:space="preserve">EXPEDIENTES POR DECOMISO Y APLICATIVO SI ACTUA </t>
  </si>
  <si>
    <t>Garantizar las condiciones de convivencia pacífica, seguridad humana, el ejercicio de derechos y libertades para contribuir al mejoramiento de la calidad de vida en Bogotá</t>
  </si>
  <si>
    <t>Establecer el índice de satisfacción de nuestros usuarios y beneficiarios de los procesos, con el fin de contribuir a mejorar la calidad de vida de las personas del Distrito Capital</t>
  </si>
  <si>
    <r>
      <t>Motivar a</t>
    </r>
    <r>
      <rPr>
        <sz val="10"/>
        <color indexed="12"/>
        <rFont val="Arial"/>
        <family val="2"/>
        <charset val="1"/>
      </rPr>
      <t xml:space="preserve"> 210 </t>
    </r>
    <r>
      <rPr>
        <sz val="10"/>
        <color indexed="8"/>
        <rFont val="Arial"/>
        <family val="2"/>
        <charset val="1"/>
      </rPr>
      <t xml:space="preserve">ciudadanos en temas relacionados con el abordaje alternativo de conflictos
</t>
    </r>
  </si>
  <si>
    <t>Ciudadanos Motivados en los temas relacionados con el abordaje alternativo de conflictos</t>
  </si>
  <si>
    <t>Número de  personas motivadas</t>
  </si>
  <si>
    <t>Número de personas programadas</t>
  </si>
  <si>
    <t>Se cumplió objetivo mediante tres (3) talleres dictados en el mes de marzo</t>
  </si>
  <si>
    <t>Formatos de asistencia 2L-GCS-F20 (Carpeta: Procedimiento motivación para la convivencia)</t>
  </si>
  <si>
    <t xml:space="preserve">Se cumplió objetivo mediante tres (5) talleres dictados entre los meses de abril a junio incluyendo sesiones dentro del proceso de formación a conciliadores </t>
  </si>
  <si>
    <t>Se superó la meta estando sobre el promedio . Se prevee una baja de ciudadanos participantes en el ultimo trimestre</t>
  </si>
  <si>
    <t>No se cumplió la meta del trmestre pero se compensa con el trimestre anterior para un consolidado de 2014 que supera la meta inicialmente pactada</t>
  </si>
  <si>
    <r>
      <t xml:space="preserve">Realizar </t>
    </r>
    <r>
      <rPr>
        <sz val="10"/>
        <color indexed="10"/>
        <rFont val="Arial"/>
        <family val="2"/>
        <charset val="1"/>
      </rPr>
      <t>8</t>
    </r>
    <r>
      <rPr>
        <sz val="10"/>
        <color indexed="8"/>
        <rFont val="Arial"/>
        <family val="2"/>
        <charset val="1"/>
      </rPr>
      <t xml:space="preserve"> reuniones de retroalimentación con la red local de AVCC con el fin de mejorar los servicios prestados a la comunidad</t>
    </r>
  </si>
  <si>
    <t xml:space="preserve">Reuniones de retroalimentación realizadas con la red local de AVCC
</t>
  </si>
  <si>
    <t>De acuerdo a lo proyectado se cumplió lo proyectado mediante reuniones mensuales con AVCC en enero y febrero de 2014</t>
  </si>
  <si>
    <t>Formato acta nde reunión 1D-PGE-F10 (Carpeta:Procedimiento:Acompañamiento a la red lñocal de actores voluntarios de convivencia)</t>
  </si>
  <si>
    <t>se sobrepasó la meta debido a reuniones mensuales ordinarias d ella red local de Avcc (,meses de abri a junio)</t>
  </si>
  <si>
    <t>Formato acta nde reunión 1D-PGE-F10 (Carpeta:Procedimiento:Acompañamiento a la red local de actores voluntarios de convivencia)</t>
  </si>
  <si>
    <t>Se realizó la reunión ordinaria de septiembre, no pudiendose realizar la del mes de agosto por baja confirmación de posibles asistentes.</t>
  </si>
  <si>
    <t>Se realizaron las reuniones de acuerdo a lo proyectado cumpiendose con el 100% de la meta establecida</t>
  </si>
  <si>
    <t xml:space="preserve">Nivel alcanzado de satisfacción del servicio de todo el proceso de mediación institucional </t>
  </si>
  <si>
    <t>Sumatoria de puntuación obtenida en todos los  Formatos de consulta sobre satisfacción del servicio</t>
  </si>
  <si>
    <t xml:space="preserve"> (N° de  Formatos de consulta sobre satisfacción del servicio)*15</t>
  </si>
  <si>
    <t>Formato tabulación encuesta del servicio de mediación</t>
  </si>
  <si>
    <t>Se superó lo planteado con una calificación promedio de 12,45 sobre 15  (83%) a partir de 11 encuestas aplicadas a ciudadanos participantes en mediaciones institucionales. SEGUN INSTRUCCIONES DE LA DIRECCION DE PLANEACION Y SISTEMAS EL NUMERO DE FORMATOS Y CONSULTAS QUE ES DE 11 SE DEBIS MULTIPLICAR POR 15 LO CUAL NOS DA 165.</t>
  </si>
  <si>
    <t>Formato consulta satisfaccion del servicio 2L-GCS-F7 y carpeta Tabulación resultados encuesta</t>
  </si>
  <si>
    <t>Se superó lo planteado con una calificación promedio de 14,17 sobre 15  (94,46%) a partir de 17 encuestas aplicadas a ciudadanos participantes en mediaciones institucionales</t>
  </si>
  <si>
    <t>Formato consulta satisfacción del servicio 2L-GCS-F7 y carpeta Tabulación resultados encuesta</t>
  </si>
  <si>
    <t>Se superó lo planteado con una calificación promedio de 14,33 sobre 15  (95,5%) a partir de 12 encuestas aplicadas a ciudadanos participantes en mediaciones institucionales</t>
  </si>
  <si>
    <t>Formato consulta satisfaccion del servicio 2L-GCS-F7 y Aplicación Tabulación resultados encuesta</t>
  </si>
  <si>
    <t>91.97%</t>
  </si>
  <si>
    <t>El nivel de satisfacción alcanzado superó el 80% siendo manifiesta así la aprobación de los ciudadanos en el ejercicio de la mediación institucional. La suma total de las 54 encuestas realizadas es de 745</t>
  </si>
  <si>
    <t>Formato consulta satisfacción del servicio 2L-GCS-F7 y Aplicación Tabulación  de resultados encuesta</t>
  </si>
  <si>
    <r>
      <t>Realizar</t>
    </r>
    <r>
      <rPr>
        <sz val="10"/>
        <color indexed="12"/>
        <rFont val="Arial"/>
        <family val="2"/>
        <charset val="1"/>
      </rPr>
      <t xml:space="preserve"> xxx </t>
    </r>
    <r>
      <rPr>
        <sz val="10"/>
        <color indexed="8"/>
        <rFont val="Arial"/>
        <family val="2"/>
        <charset val="1"/>
      </rPr>
      <t>actividades de prevención basados en la conflictividad de cada localidad</t>
    </r>
  </si>
  <si>
    <t>Actividades de prevención realizadas, basadas en la conflictividad de cada localidad</t>
  </si>
  <si>
    <t>N. de actividades de prevención realizadas</t>
  </si>
  <si>
    <r>
      <t xml:space="preserve">Realizar </t>
    </r>
    <r>
      <rPr>
        <sz val="10"/>
        <color indexed="12"/>
        <rFont val="Arial"/>
        <family val="2"/>
        <charset val="1"/>
      </rPr>
      <t xml:space="preserve">xxx </t>
    </r>
    <r>
      <rPr>
        <sz val="10"/>
        <color indexed="8"/>
        <rFont val="Arial"/>
        <family val="2"/>
        <charset val="1"/>
      </rPr>
      <t xml:space="preserve">actividades de promoción que permitan posicionar los servicios de las casas de justicia (afiches, plegables, web, etc)
</t>
    </r>
  </si>
  <si>
    <t>Actividades de promoción realizadas que permitan posicionar los servicios de las casas de justicia (afiches, plegables, web, etc)</t>
  </si>
  <si>
    <t>N. de actividades de promoción realizadas</t>
  </si>
  <si>
    <t xml:space="preserve"> N. de actividades de promoción programadas</t>
  </si>
  <si>
    <r>
      <t>Realizar</t>
    </r>
    <r>
      <rPr>
        <sz val="10"/>
        <color indexed="12"/>
        <rFont val="Arial"/>
        <family val="2"/>
        <charset val="1"/>
      </rPr>
      <t xml:space="preserve"> 2</t>
    </r>
    <r>
      <rPr>
        <sz val="10"/>
        <color indexed="8"/>
        <rFont val="Arial"/>
        <family val="2"/>
        <charset val="1"/>
      </rPr>
      <t xml:space="preserve"> actividades de atención extra murales o en las casas de justicia móvil</t>
    </r>
  </si>
  <si>
    <t>Actividades de atención extra murales o en las casas de justicia móvil realizadas</t>
  </si>
  <si>
    <t>N. de actividades de atención extra murales o en las casas de justicia móvil realizadas</t>
  </si>
  <si>
    <t>N. de actividades de atención extra murales o en las casas de justicia móvil programadas</t>
  </si>
  <si>
    <r>
      <t>Realizar</t>
    </r>
    <r>
      <rPr>
        <sz val="10"/>
        <color indexed="12"/>
        <rFont val="Arial"/>
        <family val="2"/>
        <charset val="1"/>
      </rPr>
      <t xml:space="preserve"> 30</t>
    </r>
    <r>
      <rPr>
        <sz val="10"/>
        <color indexed="8"/>
        <rFont val="Arial"/>
        <family val="2"/>
        <charset val="1"/>
      </rPr>
      <t xml:space="preserve">  acciones de sensibilización para el acatamiento voluntario en normas de convivencia
</t>
    </r>
  </si>
  <si>
    <t>Acciones de sensibilización para el acatamiento voluntario en normas de convivencia realizadas</t>
  </si>
  <si>
    <t>N. de acciones de sensibilización realizadas</t>
  </si>
  <si>
    <t>N. de acciones de sensibilización programadas.</t>
  </si>
  <si>
    <r>
      <t>Las acciones se refieren a talleres, capacitaciones, conferencias y charlas</t>
    </r>
    <r>
      <rPr>
        <sz val="10"/>
        <rFont val="Calibrí"/>
        <family val="1"/>
        <charset val="1"/>
      </rPr>
      <t>.</t>
    </r>
  </si>
  <si>
    <t>Las actividades se realizaron en la Avenida Comuneros, Centro Comercial Plenocentro, Edificio Bulevar Tequendama, tres (3) charlas en la Plazoleta de las Nieves y Las Cruces.(3).Carpeta de Trabajo Comunitario,</t>
  </si>
  <si>
    <t xml:space="preserve">Carpeta de Trabajo Comunitario Y registro fotografico </t>
  </si>
  <si>
    <t>LAS ACTIVIDADES SE REALIZARON EN EL INSTITUTO DISTRITAL JORGE SOTO DEL CORRAL, COLEGIO JULIO CESAR GARCIA, ESTACION TERCERA DE POLICIA, SALON COMUNAL BARRIO CONCORDIA, CONJUNTO RESIDENCIAL GONZALO JIMENEZ DE QUEZADA, TODO DENTRO DE LA LABOR COMUNITARIA. EN TOTAL SE REALIZARON 8 ACTIVIDADES DE SENSIBILIZACION DE LAS 8 PROGRAMADAS.</t>
  </si>
  <si>
    <t>APLICATIVO SI-ACTUA, EXPEDIENTES Y CARPETA DE ARCHIVO.</t>
  </si>
  <si>
    <t xml:space="preserve">TRES (3) DE LAS ACTIVIDADES SE REALIZARON EN LA SALA DE CONCILIACION DE LA SECRETARIA GENERAL DE INSPECCIONES -BASURAS, INSALUBRIDAD, VENDEDORES AMBULANTES, (4)SALON COMUNAL DEL BARRIO LAS CRUCES -BASURAS- , (5)SALON COMUNAL DEL EDIFICIO TORRES BLANCAS -OBRAS-, (6)CHARLA PUERTA A PUERTA A COMERCIANTES CALLES 21 Y 22 ENTRE CR 9 Y 10, (7)CHARLA PUERTA A PUERTA A COMERCIANTES EN EL SECTOR SAN VICTORINO CALLE 11 ENTRE CARRERA 14 Y 12  PROMOVIENDO  SEGURIDAD CONTRA INCENDIOS Y (8) CHARLA PUERTA A PUERTA A COMERCIANTES EN EL SECTOR DE LA CARRERA 9 ENTRE CALLES 19 Y 22 POR EQUIPOS DE SONIDO A ELEVADO VOLUMEN.  </t>
  </si>
  <si>
    <t xml:space="preserve">CARPETA TRABAJO COMUNITARIO </t>
  </si>
  <si>
    <t>LA PRIMERA(1) ACTIVIDAD SE DESARROLLO EN EL RESTAURANTE LA MACARENA POR REUNION ENTRE CIUDADANOS Y COMERCIANTES POR RELACIONES DE VECINDAD, (2) PARQUE SANTANDER SENSIBILIZACION A VENDEDORES AMBULANTES INDISCIPLINA -BASURAS, INSALUBRIDAD-, (3)COLEGIO JORGE SOTO DEL CORRAL SENSIBILIZACION A PERSONAL ENCARGADO DEL MANEJO DE BASURAS, DIRECTIVAS Y PROFESORES POR INDISCIPLINA EN EL MANEJO DE BASURAS, (4) BARRIO TURBAY AYALA CON LA COMUNIDAD VISITA PUERTA A PUERTA POR MALA DISPOSICION DE BASURAS, (5) PLAZA DE MERCADO LA MACARENA POR INDISCIPLINA DE OCUPANTES DE LOCALES COMERCIALES AL DISPONER DE LAS BASURAS, CHARLA SOBRE ENTREDA EN VIGENCIA DEL COMPARENDO AMBIENTAL, (6) SALON DE LA JUNTA DE ADMINSITRADORA LOCAL CHARLA A AGENTES DE POLICIA ADSCRITOS A LA ESTACION TERCERA DE POLICIA VIGENCIA COMPARENDO AMBIENTAL,  (7) SALA DE REUNION UNIDAD DE MEDIACION DE CONCILIACION A INFRACTORES QUE PERTURBAN LA TRANQUILIDAD CON RUIDOS Y MAL MANEJO DE SCOMBROS EN OBRAS DE CONSTRUCCION.</t>
  </si>
  <si>
    <t>CARPETA TRABAJO COMUNITARIO</t>
  </si>
  <si>
    <r>
      <t xml:space="preserve">Formular </t>
    </r>
    <r>
      <rPr>
        <sz val="10"/>
        <color indexed="10"/>
        <rFont val="Arial"/>
        <family val="2"/>
        <charset val="1"/>
      </rPr>
      <t>1</t>
    </r>
    <r>
      <rPr>
        <sz val="10"/>
        <color indexed="8"/>
        <rFont val="Arial"/>
        <family val="2"/>
        <charset val="1"/>
      </rPr>
      <t xml:space="preserve"> Plan integral de seguridad y convivencia  ciudadana con base en el PICS Distrital. </t>
    </r>
  </si>
  <si>
    <t>Plan integral de seguridad y convivencia  ciudadana formulado con base en el PICS Distrital.</t>
  </si>
  <si>
    <t xml:space="preserve">Numero de planes Integrales de Seguridad y Convivencia programados </t>
  </si>
  <si>
    <t>SE ENCUENTRA EN ETAPA DE CONSOLIDACION Y EL REPORTE DE EJECUCION SE MOSTRARA EN EL CUARTO TRIMESTRE</t>
  </si>
  <si>
    <t xml:space="preserve">Carpeta de PICS en la Oficina Juridica </t>
  </si>
  <si>
    <t>Esta pendiente por ser revisado por la SDG.</t>
  </si>
  <si>
    <t>Carpeta de PICSC en el Archivo de la Oficina Juridica</t>
  </si>
  <si>
    <r>
      <t xml:space="preserve">Elaborar </t>
    </r>
    <r>
      <rPr>
        <sz val="10"/>
        <color indexed="12"/>
        <rFont val="Arial"/>
        <family val="2"/>
        <charset val="1"/>
      </rPr>
      <t>1</t>
    </r>
    <r>
      <rPr>
        <sz val="10"/>
        <color indexed="8"/>
        <rFont val="Arial"/>
        <family val="2"/>
        <charset val="1"/>
      </rPr>
      <t xml:space="preserve"> informe   en la vigencia sobre la ejecución y seguimiento del plan integral de seguridad local</t>
    </r>
  </si>
  <si>
    <t xml:space="preserve">Informe elaborado en la vigencia sobre la ejecución y seguimiento del plan integral de seguridad local </t>
  </si>
  <si>
    <t>Número de Informes programados en la vigencia</t>
  </si>
  <si>
    <t>Se rindio informe ante el Consejo Local de Seguridad en el mes de Diciembre y a la Referente de Calidad en el mes de Diciembre</t>
  </si>
  <si>
    <t>Carpeta de PICSC Y CONSEJO LOCAL DE SEGURIDAD en la Oficina Juridica</t>
  </si>
  <si>
    <r>
      <t xml:space="preserve">Implementar el </t>
    </r>
    <r>
      <rPr>
        <sz val="10"/>
        <color indexed="10"/>
        <rFont val="Arial"/>
        <family val="2"/>
        <charset val="1"/>
      </rPr>
      <t>100 %</t>
    </r>
    <r>
      <rPr>
        <sz val="10"/>
        <color indexed="8"/>
        <rFont val="Arial"/>
        <family val="2"/>
        <charset val="1"/>
      </rPr>
      <t xml:space="preserve"> del plan de acci</t>
    </r>
    <r>
      <rPr>
        <sz val="10"/>
        <rFont val="Arial"/>
        <family val="2"/>
        <charset val="1"/>
      </rPr>
      <t xml:space="preserve">ón del consejo local de gestión de riesgo y cambio climático
</t>
    </r>
  </si>
  <si>
    <r>
      <t xml:space="preserve"> Plan de acción implementado del  </t>
    </r>
    <r>
      <rPr>
        <sz val="10"/>
        <color indexed="8"/>
        <rFont val="Arial"/>
        <family val="2"/>
      </rPr>
      <t xml:space="preserve">consejo local de gestión de riesgo y cambio climático
</t>
    </r>
  </si>
  <si>
    <t>N. de acciones implementadas</t>
  </si>
  <si>
    <t>Número de acciones programadas en el plan de acción</t>
  </si>
  <si>
    <t>PLAN DE ACCION DEL CLE</t>
  </si>
  <si>
    <t>Se brinda la información correspondiente al año 2014, ya que en los trimestres anteriores no se había hecho. Se desarrolló todo el proceso de reconformación del CLGRCC articulando con las demás entidades en todos y cada uno de los espacios inherentes a la gestión del riesgo. Igual se estableció una red ciudadana en torno a la gestión del riesgo, se hizo seguimiento a los diferentes documentos y diagnósticos y visitas para identificar y reducir el riesgo. Se continuó en conjunto con IDIGER y CVP las acciones de reducción de familias ubicadas en zonas de alto riesgo y manejo integral de las zonas que están en el programa de reasentamientos. Atención de emergencias. No se logró el 100% de ejecución porque el Convenio con Cruz Roja se reprogramó para darlo como finalizado en el mes de marzo del 2015 y en cuestión de reasentamientos no se ha logrado la reubicación total de las familias..</t>
  </si>
  <si>
    <t xml:space="preserve">Actas de reuniones del CLGR, actas de asistencia a capacitacionesy reuniones, formatos de seguimiento a diagnósticos, Convenio Interadministrativo entre CVP y FDLSF con informes mensuales y actas de reuniones, SIRE.  Todos los documentos se encuentran en carpetas ubicadas en la oficina del FDLSF a cargo de Sandra Ordóñez. Lo del SIRE es un aplicativo que se puede consultar cuando se requiera </t>
  </si>
  <si>
    <t>Articular la gestión entre los diferentes sectores del distrito, entidades regionales y nacionales, con el fin de mejorar la capacidad de respuesta en el territorio y dar cumplimiento al plan de desarrollo distrital y los planes de desarrollo local</t>
  </si>
  <si>
    <t>Lograr 40 % de avance del cumplimiento físico  en el plan de desarrollo</t>
  </si>
  <si>
    <t>Avance del cumplimiento físico logrado en el plan de desarrollo</t>
  </si>
  <si>
    <t>% del avance en el cumplimiento Físico</t>
  </si>
  <si>
    <t>MATRIZ MUSI</t>
  </si>
  <si>
    <t>Esta meta hará referencia al cumplimiento físico del plan de desarrollo, La magnitud de la meta hará referencia al avance acumulado de ejecución en el plan de desarrollo (Cuatrienio).</t>
  </si>
  <si>
    <t>EL PLAN DE DESARROLLO TIENE 42 METAS DE LA CUALES SE HA CUMPLIDO 13.</t>
  </si>
  <si>
    <t>MATRIZ MUSI OFICINA PLANEACION</t>
  </si>
  <si>
    <t>EL PLAN DE DESARROLLO TIENE 42 METAS DE LA CUALES SE CUMPLIERON 4 EN EL TRIMESTRE</t>
  </si>
  <si>
    <t>EL PLAN DE DESARROLLO TIENE 42 METAS DE LA CUALES SE CUMPLIERON 2 EN EL TRIMESTRE</t>
  </si>
  <si>
    <t>No hubo ejecución en este trimestre, pero con la ejecución de los trimestres anteriores se cumplió la meta</t>
  </si>
  <si>
    <r>
      <t xml:space="preserve">Realizar </t>
    </r>
    <r>
      <rPr>
        <sz val="10"/>
        <color indexed="12"/>
        <rFont val="Arial"/>
        <family val="2"/>
        <charset val="1"/>
      </rPr>
      <t>1</t>
    </r>
    <r>
      <rPr>
        <sz val="10"/>
        <rFont val="Arial"/>
        <family val="2"/>
        <charset val="1"/>
      </rPr>
      <t xml:space="preserve"> audiencias de rendición de cuentas</t>
    </r>
  </si>
  <si>
    <t xml:space="preserve">Audiencias realizadas de rendición de cuentas </t>
  </si>
  <si>
    <t xml:space="preserve">Numero de audiencias de rendición de cuentas realizadas </t>
  </si>
  <si>
    <t>Numero de audiencias de rendición de cuentas programadas.</t>
  </si>
  <si>
    <t>Cada alcaldía local podrá establecer la cantidad de audiencias en un numero mayor a 1.</t>
  </si>
  <si>
    <t>SE REALIZO EN EL MERS DE MARZO LA RENDICION DE CUENTAS PRESENTANDOSE CON LA ASISTENCIA MASIVA DE LA COMUNIDAD</t>
  </si>
  <si>
    <t xml:space="preserve">CARPETA DE CONTRATO </t>
  </si>
  <si>
    <r>
      <t xml:space="preserve">Elaborar </t>
    </r>
    <r>
      <rPr>
        <sz val="10"/>
        <color indexed="10"/>
        <rFont val="Arial"/>
        <family val="2"/>
        <charset val="1"/>
      </rPr>
      <t xml:space="preserve">1 </t>
    </r>
    <r>
      <rPr>
        <sz val="10"/>
        <rFont val="Arial"/>
        <family val="2"/>
        <charset val="1"/>
      </rPr>
      <t>documento que evalué los avances de los cabildos ciudadanos realizados en los años 2012 y 2013</t>
    </r>
  </si>
  <si>
    <t>Documento elaborado que evalúe los avances de los cabildos ciudadanos en los años 2012 y 2013</t>
  </si>
  <si>
    <t>N. de documentos elaborados</t>
  </si>
  <si>
    <t>N. de documentos programados</t>
  </si>
  <si>
    <t>NO SUMINISTRARON INFORMACIÓN</t>
  </si>
  <si>
    <t>Formular e implementar estrategias que generen sinergia entre las entidades del Sector Gobierno, Seguridad y Convivencia, con el fin de hacer eficaz y eficiente la gestion del mismo</t>
  </si>
  <si>
    <r>
      <t xml:space="preserve">Aprobar </t>
    </r>
    <r>
      <rPr>
        <sz val="10"/>
        <color indexed="10"/>
        <rFont val="Arial"/>
        <family val="2"/>
        <charset val="1"/>
      </rPr>
      <t>1</t>
    </r>
    <r>
      <rPr>
        <sz val="10"/>
        <color indexed="8"/>
        <rFont val="Arial"/>
        <family val="2"/>
        <charset val="1"/>
      </rPr>
      <t xml:space="preserve"> plan de acción del CLG en el primer trimestre del año</t>
    </r>
  </si>
  <si>
    <t>Plan de acción del CLG aprobado en el primer trimestre del año</t>
  </si>
  <si>
    <t>Plan de acción del CLG aprobado</t>
  </si>
  <si>
    <t>Plan de acción del CLG programado</t>
  </si>
  <si>
    <t>SE APROBO  EN LA REUNION DEL CONSEJO DE LOCAL DE GOBIERNO EN EL MES DE FEBRERO.</t>
  </si>
  <si>
    <t>CARPETA CONSEJO LOCAL DE GOBIERNO</t>
  </si>
  <si>
    <r>
      <t xml:space="preserve">Elaborar </t>
    </r>
    <r>
      <rPr>
        <sz val="10"/>
        <color indexed="10"/>
        <rFont val="Arial"/>
        <family val="2"/>
        <charset val="1"/>
      </rPr>
      <t>2</t>
    </r>
    <r>
      <rPr>
        <sz val="10"/>
        <color indexed="8"/>
        <rFont val="Arial"/>
        <family val="2"/>
        <charset val="1"/>
      </rPr>
      <t xml:space="preserve"> informes de seguimiento al funcionamiento del  CLG </t>
    </r>
  </si>
  <si>
    <t xml:space="preserve">Informes elaborados de seguimiento al funcionamiento del CLG </t>
  </si>
  <si>
    <t>N. de informes de seguimiento al funcionamiento del CLG elaborados</t>
  </si>
  <si>
    <t xml:space="preserve"> N. de informes de seguimiento al funcionamiento del CLG programados</t>
  </si>
  <si>
    <t>El seguimiento es sobre el funcionamiento del CLG</t>
  </si>
  <si>
    <t>POR TRATARSE DEL PRIMER SEMESTRE, ESTE INFORME SE ELABORA Y SE PRESENTA EN EL MES DE JULIO</t>
  </si>
  <si>
    <t>El informe fue elaborado por la Coordinación Administrativa y Financiera, pero está pendiente el envío a los sectores. El informe estaba programado para realizarse en el segundo trimestre, pero de común acuerdo con todos los miembros del clg, se estableció elaborarlo y presentarlo en el tercer trimestre del año, por esta razón se presenta ejecución en el mencionado trimestre</t>
  </si>
  <si>
    <t>Informe de gestión y oficio de envío del informe a los sectores.</t>
  </si>
  <si>
    <t>POR TRATARSE DEL SEGUNDO  SEMESTRE, ESTE INFORME SE ELABORA Y SE PRESENTA EN EL MES DE ENERO</t>
  </si>
  <si>
    <r>
      <t>Realizar</t>
    </r>
    <r>
      <rPr>
        <sz val="10"/>
        <color indexed="10"/>
        <rFont val="Arial"/>
        <family val="2"/>
        <charset val="1"/>
      </rPr>
      <t xml:space="preserve"> 1 </t>
    </r>
    <r>
      <rPr>
        <sz val="10"/>
        <color indexed="8"/>
        <rFont val="Arial"/>
        <family val="2"/>
        <charset val="1"/>
      </rPr>
      <t>una sesión de concertación de la territorializacion de la inversión de los sectores en la localidad</t>
    </r>
  </si>
  <si>
    <t xml:space="preserve">Sesión realizada de concertación de la territorializacion de la inversión de los sectores en la localidad </t>
  </si>
  <si>
    <t>N. de sesiones de concertación de la territorializacion de la inversión de los sectores en la localidad realizadas</t>
  </si>
  <si>
    <t>N. de sesiones de concertación de la territorializacion de la inversión de los sectores en la localidad programadas</t>
  </si>
  <si>
    <t>1</t>
  </si>
  <si>
    <t>SE REALIZÓ EN EL MES DE NOVIEMBRE EN LA SESIÓN DEL CLG</t>
  </si>
  <si>
    <t>VIGENCIA 2015</t>
  </si>
  <si>
    <t xml:space="preserve">Lideramos la gestión política distrital, el desarrollo local y la formulación e implementación de políticas públicas de convivencia, seguridad, derechos humanos y acceso a la justicia; garantizando la gobernabilidad y la cultura democrática con participación, transparencia, inclusión y sostenibilidad  para lograr una  Bogotá más humana.
</t>
  </si>
  <si>
    <t>Alcaldía Local de Santa fe</t>
  </si>
  <si>
    <t>Alcalde/sa Local de Santa fe</t>
  </si>
  <si>
    <t>DEFINICIÓN</t>
  </si>
  <si>
    <t>TIPO DE INDICADOR</t>
  </si>
  <si>
    <t>FUENTE DE DATOS DE INDICADOR</t>
  </si>
  <si>
    <t>NUMERADOR ( Nombre de la Variable)</t>
  </si>
  <si>
    <t>DENOMINADOR ( Nombre de la variable)</t>
  </si>
  <si>
    <t>Realizar 2 campañas comunicativas orientadas a difundir los servicios institucionales y promover el control social. (Meta nivel local)</t>
  </si>
  <si>
    <t xml:space="preserve">El indicador mide la cantidad de campañas de comunicación realizadas en relación a su programación, las mimas están orientadas a difundir servicios institucionales u orientadas a promover el control social </t>
  </si>
  <si>
    <t>Piezas comunicativas generadas para la campaña y trabajo en redes sociales pagina web y medios de comunicación.</t>
  </si>
  <si>
    <t>NA</t>
  </si>
  <si>
    <t>Se cambio la prioridad para ejecutar primero las campañas de comunicación interna</t>
  </si>
  <si>
    <t>Se llevo a cabo la campaña yo soy trasparente, la cual buscaba que los funcionarios ratificarán su compromiso con la trasparencia y la ciuadadanía conociera del tema</t>
  </si>
  <si>
    <t>Fotos del evento</t>
  </si>
  <si>
    <r>
      <t xml:space="preserve">Formular </t>
    </r>
    <r>
      <rPr>
        <sz val="10"/>
        <color indexed="10"/>
        <rFont val="Arial"/>
        <family val="2"/>
      </rPr>
      <t xml:space="preserve">1 </t>
    </r>
    <r>
      <rPr>
        <sz val="11"/>
        <color theme="1"/>
        <rFont val="Calibri"/>
        <family val="2"/>
        <scheme val="minor"/>
      </rPr>
      <t>plan de comunicaciones para la generación, acceso y democratización de la información soporte para la toma de decisiones de la entidad. (Meta nivel local).</t>
    </r>
  </si>
  <si>
    <t xml:space="preserve">El indicador mide la formulación del plan de comunicaciones en relación a la fecha programada para su formulación. </t>
  </si>
  <si>
    <t>Plan aprobado por el Alcalde</t>
  </si>
  <si>
    <t>Se diseño y aprobó el plan de comunicaciones 2015 el 17 de marzo de 2015</t>
  </si>
  <si>
    <t>Acta Físico</t>
  </si>
  <si>
    <r>
      <t xml:space="preserve">Formular </t>
    </r>
    <r>
      <rPr>
        <sz val="10"/>
        <color indexed="8"/>
        <rFont val="Arial"/>
        <family val="2"/>
      </rPr>
      <t>6</t>
    </r>
    <r>
      <rPr>
        <sz val="11"/>
        <color theme="1"/>
        <rFont val="Calibri"/>
        <family val="2"/>
        <scheme val="minor"/>
      </rPr>
      <t xml:space="preserve"> estrategias de comunicación externa  e interna para la entidad.  (Meta nivel local).</t>
    </r>
  </si>
  <si>
    <t xml:space="preserve">El indicador mide la cantidad de estrategias de comunicación formuladas en relación a una cantidad determinada de estrategias programadas de tal manera que se cumplan con los procedimientos establecidos en el SIG. </t>
  </si>
  <si>
    <t>N° de estrategias  comunicativas Formuladas</t>
  </si>
  <si>
    <t>N° de estrategias comunicativas programadas</t>
  </si>
  <si>
    <t>publicaciones en los diferentes medios con que cuenta la Alcaldía para difusión</t>
  </si>
  <si>
    <t>Se ejecutaron las siguientes estrategias:
1 - Estandarización de carteleras institucionales Enero
2 – Estrategia de medios alternativos permanente</t>
  </si>
  <si>
    <t>Actas físicas de reuniones consejo de comunicación social</t>
  </si>
  <si>
    <t>Se mantienen las estrategias permanente de:
*  Cartelera de cumpleaños, de punto informativo en entidades laborales, deinformacion entidades y una de IDU
*  Redes sociales externo permanente de asuntos y eventos de relevancia pag web, facebook y twiter
*  Reuniones permanentes con el Consejo Local de Comunicación
*  Apoyo a campaña de logros locales de la Alcaldía mayor
*   Visualización de la gestion de la entidad en  boletines y en radio 
Adicionalmente se ejecutaron las siguientes estrategias:
* La campaña de un pajarito me contó para incrementar el uso del correo institucional zimbra y para uso de redes sociales 
* A través del convenio 072-2015  se implemento la estrategia de medio alternativos y comunitarios para fortalecimiento de los medos de la localidad  y esta en caracterización y prensa y comunicación</t>
  </si>
  <si>
    <t>Contrato 072
Imagenes de los boletines y del pajarito me conto</t>
  </si>
  <si>
    <r>
      <t xml:space="preserve">Registrar el </t>
    </r>
    <r>
      <rPr>
        <sz val="10"/>
        <color indexed="10"/>
        <rFont val="Arial"/>
        <family val="2"/>
        <charset val="1"/>
      </rPr>
      <t>100</t>
    </r>
    <r>
      <rPr>
        <sz val="10"/>
        <color indexed="8"/>
        <rFont val="Arial"/>
        <family val="2"/>
        <charset val="1"/>
      </rPr>
      <t>% de las modificaciones al Plan Anual de Adquisiciones en el SECOP, Contratación a la vista y página web de la Alcaldía antes de iniciar el proceso contractual.</t>
    </r>
  </si>
  <si>
    <t>Modificaciones al Plan Anual de Adquisiciones, registradas en el SECOP, Contratación a la vista y página web de la Alcaldía antes de iniciar el proceso contractual.</t>
  </si>
  <si>
    <t>El indicador mide el porcentaje de modificaciones al plan de adquisiciones que se  registran en el SECOP, Contratación a la vista y página Web de la alcaldía antes del inicio del proceso contractual.
Decreto 1510 de 2013. Artículo 7°. Actualización del Plan Anual de Adquisiciones. La Entidad Estatal debe actualizar el Plan Anual de Adquisiciones por lo menos una vez durante su vigencia, en la forma y la oportunidad que para el efecto disponga Colombia Compra Eficiente. 
La Entidad Estatal debe actualizar el Plan Anual de Adquisiciones cuando: (i) haya ajustes en los cronogramas de adquisición, valores, modalidad de selección, origen de los recursos; (ii) para incluir nuevas obras, bienes y/o servicios; (iii) excluir obras, bienes y/o servicios; o (iv) modificar el presupuesto anual de adquisiciones
Manual de Contratación Local 2L-GAR-M1
Plan Anticorrupción y de Atención a la Ciudadanía</t>
  </si>
  <si>
    <t>N° de modificaciones al plan de adquisiciones registradas en el SECOP, Contratación a la vista y página web de la Alcaldía antes de iniciar el proceso contractual</t>
  </si>
  <si>
    <t>N° de modificaciones aprobadas en comité de contratación</t>
  </si>
  <si>
    <t>Se realizó tres modificaciones en:1) Modalidad de Contratación en consecutivo 15 y 16 y lo correspondiente a valores.  Las mismas fueron publicadas en el portal de contratación</t>
  </si>
  <si>
    <t>Página de contratación a la vista, SECOP</t>
  </si>
  <si>
    <t>Se realizaron 2 publicaciones sobre actualización del Plan Anual de adquisiciones en la Pagina Web del SECOP, de igual forma se realizo la actualización de los items  50,49,48, 46 y 45 de Contratación a la vista</t>
  </si>
  <si>
    <t>Se realizaron 5 modificaciones (items) al Plan de Contratacion el cual fue publicado en la pagina de SECOP y la pagina web de la entidad</t>
  </si>
  <si>
    <t>Plan Anual publicado en la Pagina Web de la entidad y SECOP</t>
  </si>
  <si>
    <r>
      <t xml:space="preserve">Comprometer el </t>
    </r>
    <r>
      <rPr>
        <sz val="10"/>
        <color indexed="10"/>
        <rFont val="Arial"/>
        <family val="2"/>
      </rPr>
      <t>97%</t>
    </r>
    <r>
      <rPr>
        <sz val="10"/>
        <color indexed="8"/>
        <rFont val="Arial"/>
        <family val="2"/>
      </rPr>
      <t xml:space="preserve"> del presupuesto de inversión asignado a la vigencia</t>
    </r>
  </si>
  <si>
    <t>Presupuesto de inversión comprometido</t>
  </si>
  <si>
    <t>El indicador mide el porcentaje del presupuesto de inversión, asignado a la vigencia, que se ha logrado comprometido de manera acumulada 
El presupuesto que se tiene en cuenta es el de inversión ( Código 3-3-1 Directa)</t>
  </si>
  <si>
    <t>Valor del presupuesto  de inversión comprometido</t>
  </si>
  <si>
    <t>Valor del presupuesto  inversión asignado a la vigencia</t>
  </si>
  <si>
    <r>
      <t xml:space="preserve">PREDIS
</t>
    </r>
    <r>
      <rPr>
        <sz val="10"/>
        <color indexed="8"/>
        <rFont val="Arial"/>
        <family val="2"/>
        <charset val="128"/>
      </rPr>
      <t>Inversión(Código 3-3-1 Directa)</t>
    </r>
  </si>
  <si>
    <t>VALOR PRESUPUESTO DE INVERSIÓN $14866625000</t>
  </si>
  <si>
    <t xml:space="preserve">Acumulado del rubro 3.3.1 columna 10 a marzo 31 2015 fue $5,798,417,069 y el valor del presupuesto asignado es de  $14.866.625.000.  </t>
  </si>
  <si>
    <t>En Junio llego una adición presupuestal  por $6,119,520,000 con lo que se paso de un presupuesto de $14,866,625,000 a $20,986,145,000.   El acumulado de ejecución presupuestal a junio 30 fue de $8.151.842.198 con lo que la ejecución queda en 39%
De haberse mantenido el valor del presupuesto inicial el indicador sería 54,8%</t>
  </si>
  <si>
    <t>En Junio llego una adición presupuestal  por $6,119,520,000 y en julio se traslado de obligaciones por pagar de vigencias anteriores a vigencia por $147.076,174 con lo que se paso de un presupuesto de $14,866,625,000  a $21,133,221,174.   El acumulado de ejecución presupuestal a sep 30 fue de $16.037,395,812 con lo que la ejecución queda en 75,89%</t>
  </si>
  <si>
    <r>
      <t xml:space="preserve">Girar el </t>
    </r>
    <r>
      <rPr>
        <sz val="10"/>
        <color indexed="12"/>
        <rFont val="Arial"/>
        <family val="2"/>
      </rPr>
      <t>29</t>
    </r>
    <r>
      <rPr>
        <sz val="10"/>
        <color indexed="8"/>
        <rFont val="Arial"/>
        <family val="2"/>
      </rPr>
      <t>% del presupuesto de inversión asignado a la vigencia 2015</t>
    </r>
  </si>
  <si>
    <t>Presupuesto de inversión girado</t>
  </si>
  <si>
    <t>El indicador mide el porcentaje del presupuesto de inversión, asignado a la vigencia, que se ha logrado girar  de manera acumulada 
El presupuesto que se tiene en cuenta es el de  inversión ( Código 3-3-1 Directa)</t>
  </si>
  <si>
    <t>Valor del presupuesto de inversión girado</t>
  </si>
  <si>
    <t>Valor del presupuesto de inversión asignado a la vigencia</t>
  </si>
  <si>
    <t>PREDIS
Inversión( Código 3-3-1 Directa)</t>
  </si>
  <si>
    <t>Linea base para las 20 localidades en 2014: 29%
VALOR PRESUPUESTO DE INVERSIÓN $14.866.625.000</t>
  </si>
  <si>
    <t xml:space="preserve">Acumulado del rubro 3.3.1 columna 13 a marzo 31 2015 fue $114,156,572 y el valor del presupuesto asignado es de  $14.866.625.000.  </t>
  </si>
  <si>
    <t>En Junio llego una adición presupuestal  por $6,119,520,000 con lo que se paso de un presupuesto de $14,866,625,000 a $20,986,145,000.   El giro acumulado a junio 30 fue de $1,077,971,494  que da un 5,14% de giros realizados.
De haberse mantenido el valor del presupuesto inicial el indicador sería 7%</t>
  </si>
  <si>
    <t>En Junio llego una adición presupuestal  por $6,119,520,000 y en julio se traslado de obligaciones por pagar de vigencias anteriores a vigencia por $147.076,174 con lo que se paso de un presupuesto de $14,866,625,000  a $21,133,221,174. El giro acumulado a junio 30 fue de $2.287.298.109  que da un 10,82% de giros realizados.
De haberse mantenido el valor del presupuesto inicial el indicador sería 15,38%</t>
  </si>
  <si>
    <r>
      <t xml:space="preserve">Girar el </t>
    </r>
    <r>
      <rPr>
        <sz val="10"/>
        <color indexed="12"/>
        <rFont val="Arial"/>
        <family val="2"/>
      </rPr>
      <t>65</t>
    </r>
    <r>
      <rPr>
        <sz val="10"/>
        <color indexed="8"/>
        <rFont val="Arial"/>
        <family val="2"/>
      </rPr>
      <t xml:space="preserve">% de las obligaciones por pagar constituidas con recursos de la vigencia 2014 y años anteriores (Inversión y funcionamiento) </t>
    </r>
  </si>
  <si>
    <t>Obligaciones por pagar constituidas con recursos de la vigencia 2014 y años anteriores giradas 
(Inversión y funcionamiento)</t>
  </si>
  <si>
    <t>El indicador mide el porcentaje de giros de las obligaciones por pagar de las obligaciones constituidas  con recursos de la vigencia 2014 y años anteriores en inversión y funcionamiento 
Para obligaciones por pagar en funcionamiento se tendrá en cuenta el rubro (Código 3-1-8 Obligaciones por pagar) y para inversión el rubro (3-3-6 Obligaciones por pagar)</t>
  </si>
  <si>
    <t>Valor del giro las obligaciones por pagar en inversión y funcionamiento</t>
  </si>
  <si>
    <t>Valor de las obligaciones por pagar en inversión y funcionamiento.</t>
  </si>
  <si>
    <t>PREDIS
Funcionamiento (Código 3-1-8 Obligaciones por pagar)
Inversión
(3-3-6 Obligaciones por pagar)</t>
  </si>
  <si>
    <t>Linea base para las 20 localidades en 2014: 65%
VALOR OBLIGACIONES POR PAGAR $5.006.105.000</t>
  </si>
  <si>
    <t xml:space="preserve"> El valor base inicial del rubro 3.3.6  fue de $17,701,672,000. Mediante decreto local 1 del 18-mar-2015 se realizo un ajuste a las obligaciones por pagar del rubro 3,3,6 por -$1,694,405,711.  Al final del primer trimestre el valor del rubro 3.3.6  fue de $16,007,266,289.
El valor base inicial del rubro 3.1.8 fue de  $265,781,000. Mediante decreto local 2 del 18-mar-2015 se realizaron traslados presupuestales para el  rubro 3.1.8 por $60.256,667.  Al final del primer trimestre el valor del rubro 3.1.8  fue de $326,037,667.
Así, el valor base total de obligaciones por pagar es de $16,333,303,956.
Los pagos del rubro 3.1.8 columna 13 fueron de $70,925,149  y para el rubro 3.3.6 columna 13  de $3,362,580,489 para un valor total de giros de obligaciones por pagar de $3,433,505,638</t>
  </si>
  <si>
    <t xml:space="preserve"> El valor base inicial del rubro 3.3.6 al final del primer trimestre el valor del rubro 3.3.6  fue de $16,007,266,289.  El acumulado a junio 30 fue de $7,318,352,582
El valor base inicial del rubro 3.1.8 al final del primer trimestre fue de $326,037,667 y el acumulado de giro al 30 de junio fue de $155,417,379
Así, el valor base total de obligaciones por pagar es de $16,333,303,956.
Para un valor total de giros de obligaciones por pagar de $7,473,769,961
El incremento en la ejecución se debe a que se está trabajando en el proyecto de depuración de obligaciones por pagar</t>
  </si>
  <si>
    <t xml:space="preserve"> El valor base inicial del rubro 3.3.6 al final del segundo trimestre el valor del rubro 3.3.6  fue de $16,007,266,289.  El acumulado de giros a septiembre  30 fue de $10.718.681.171
El valor base inicial del rubro 3.1.8 al final del segundo trimestre fue de $326.037.667y el acumulado de giro al 30 de septiembre fue de $155.417.379
Así, el valor base total de obligaciones por pagar es de $16.333.303.956
Para un valor total de giros de obligaciones por pagar de 10.874.098.550
El incremento en la ejecución se debe a que se está trabajando en el proyecto de depuración de obligaciones por pagar</t>
  </si>
  <si>
    <r>
      <t xml:space="preserve">Cumplir el </t>
    </r>
    <r>
      <rPr>
        <sz val="10"/>
        <color indexed="10"/>
        <rFont val="Arial"/>
        <family val="2"/>
      </rPr>
      <t>97%</t>
    </r>
    <r>
      <rPr>
        <sz val="10"/>
        <color indexed="8"/>
        <rFont val="Arial"/>
        <family val="2"/>
      </rPr>
      <t xml:space="preserve"> del PAC mensualmente</t>
    </r>
  </si>
  <si>
    <t>El indicador mide el cumplimiento mensual de la programación del PAC</t>
  </si>
  <si>
    <t xml:space="preserve">    Mes             Pagado            Programado     % Ejec. 
Ene            1.451.598.464       1.479.667.400   0,98 
Feb               799.754.833          805.453.771   0,99 
Mar            1.328.603.195       1.313.276.359   1,01 
1er trim     3.579.956.492        3.598.397.530   0,99 
En marzo el mayor valor pagado, corresponde al ajuste de las obligaciones por pagar pues hasta que no se dio el decreto no se podían cancelar</t>
  </si>
  <si>
    <t>PAC</t>
  </si>
  <si>
    <t xml:space="preserve">    Mes             Pagado            Programado   % Ejec. 
Abr        1.332,367,158       1.333,469,850    0,9996
May        2.071.383608        2.072.838.084   0,9996
Jun         1.681.487.153      1.681.312.038   0.9999 
2do trim  5.085.062.804       5.086.516.503  0,9997</t>
  </si>
  <si>
    <t xml:space="preserve">                     Pagado        Programado   % Ejec.
Jul            1.121.119.639  1.121.583.884  99,96%
Ago         1.759.335.563  1.767.234.719   99,55%
Sept         1.905.978.502  1.905.978.774  100,00%
3er trim.  4.786.433.704  4.794.797.377  99,83%
</t>
  </si>
  <si>
    <r>
      <t xml:space="preserve">Ingresar </t>
    </r>
    <r>
      <rPr>
        <sz val="10"/>
        <color indexed="10"/>
        <rFont val="Arial"/>
        <family val="2"/>
      </rPr>
      <t>100</t>
    </r>
    <r>
      <rPr>
        <sz val="10"/>
        <color indexed="8"/>
        <rFont val="Arial"/>
        <family val="2"/>
      </rPr>
      <t>% de los bienes adquiridos para los proyectos de inversión en el aplicativo SAI Y SAE en los tiempos estipulados en el contrato evidenciando su trazabilidad</t>
    </r>
  </si>
  <si>
    <t>Bienes adquiridos por los proyectos de inversión ingresados en el aplicativo SAI Y SAE.</t>
  </si>
  <si>
    <t xml:space="preserve">El indicador mide el porcentaje de bienes para los proyectos de inversión que son ingresados al almacén a través del   aplicativo SAI y SAE – en la medición no se incluirían los bienes perecederos </t>
  </si>
  <si>
    <t>N° de bienes ingresados en el aplicativo SAI Y SAE</t>
  </si>
  <si>
    <t>N° de bienes adquiridos para los proyectos de inversión</t>
  </si>
  <si>
    <t>SAI y SAE</t>
  </si>
  <si>
    <t xml:space="preserve"> la trazabilidad se evidencia a través de aplicativo Orfeo. en la medición no se incluyen los bienes perecederos tales como alimentos, los cuales no entran directamente a almacén </t>
  </si>
  <si>
    <t>El indicador se aprobó en abril y la actividad se empieza a ejecutar  desde abril</t>
  </si>
  <si>
    <t xml:space="preserve">    Mes        Ingresos        Registros   % Ejec. 
Abr                8                     8             100
May             14                   14             100
Jun               24                  24              100
2do trim      46                  46              100</t>
  </si>
  <si>
    <t>SAI/SAE</t>
  </si>
  <si>
    <r>
      <t xml:space="preserve">Legalizar el </t>
    </r>
    <r>
      <rPr>
        <sz val="10"/>
        <color indexed="10"/>
        <rFont val="Arial"/>
        <family val="2"/>
      </rPr>
      <t>100</t>
    </r>
    <r>
      <rPr>
        <sz val="10"/>
        <color indexed="8"/>
        <rFont val="Arial"/>
        <family val="2"/>
      </rPr>
      <t>% de la entrega de los bienes adquiridos para proyectos de inversión en un término no superior a 10 días evidenciando su trazabilidad</t>
    </r>
  </si>
  <si>
    <t>Entrega de Bienes legalizados en un termino no superior a XXX días</t>
  </si>
  <si>
    <t>El indicador mide el porcentaje de bienes legalizados para los proyectos de inversión que fueron ingresados al almacén a través del   aplicativo SAI y SAE</t>
  </si>
  <si>
    <t xml:space="preserve"> N° de bienes legalizados en el lapso de tiempo establecido en la meta </t>
  </si>
  <si>
    <t>N°  de bienes ingresados en el aplicativo SAI Y SAE</t>
  </si>
  <si>
    <t xml:space="preserve"> La trazabilidad se evidencia a través de aplicativo Orfeo.
El tiempo máximo se toma de el mayor valor (de un conjunto de tiempos) de las salidas del almacén
</t>
  </si>
  <si>
    <t xml:space="preserve">    Mes        Egresos        Registros   % Ejec. 
Abr                8                     8             100
May             14                   14             100
Jun               24                  24              100
2do trim      46                  46              100</t>
  </si>
  <si>
    <r>
      <t xml:space="preserve">
Responder  </t>
    </r>
    <r>
      <rPr>
        <sz val="10"/>
        <color indexed="10"/>
        <rFont val="Arial"/>
        <family val="2"/>
      </rPr>
      <t>100</t>
    </r>
    <r>
      <rPr>
        <sz val="10"/>
        <color indexed="8"/>
        <rFont val="Arial"/>
        <family val="2"/>
      </rPr>
      <t xml:space="preserve">% de las PQRS de manera integral por régimen de obras, establecimientos de comercio, espacio publico y propiedad horizontal </t>
    </r>
  </si>
  <si>
    <t xml:space="preserve">
Respuesta integral de las PQRS que llegan por régimen de obras, establecimientos de comercio, espacio publico y propiedad horizontal  </t>
  </si>
  <si>
    <t>El indicador mide el porcentaje de PQRS que que son respondidas de manera integral (Respuestas que contengan las entidades a las que se ha oficiado por competencia y/o Orden de trabajo), en relación a la cantidad de PQRS recibidas mensualmente.
Con el indicador se pretende medir la carga laboral de las coordinaciones jurídicas y las oficinas de obras.
Los PQRS cuyo tiempo legal (Periodo comprendido entre la radicación y respuesta ) se encuentre entre dos trimestres consecutivos, deberán pasar sus datos para el calculo del indicador para el trimestre inmediatamente posterior.</t>
  </si>
  <si>
    <t>N° de respuestas integrales emitidas mensualmente</t>
  </si>
  <si>
    <t>N° de PQRS recibidas mensualmente</t>
  </si>
  <si>
    <t>SDQS</t>
  </si>
  <si>
    <t>El término integral en esta meta hace referencia a a que la respuestas contengan información sobre:
- Entidades a las que se ha oficiado por competencia.
- Orden de trabajo  
Los datos para el calculo del indicador deben tener en cuenta el tiempo legal requerido para dar respuestas a las PQRS. En este sentido, el periodo de tiempo entre la radicación y la respuesta, puede ser un periodo de tiempo que coincida con un corte trimestral y donde se halle entre dos trimestres consecutivos. Por lo tanto, para el calculo del indicador, deben tenerse en cuenta los datos generados por los PQRS en el trimestre inmediatamente posterior.</t>
  </si>
  <si>
    <t>En enero radicaron 160 PQRS
En Feb radicaron 265 PQRS
En Mar radicaron 214 PQRS
Total de PQRS radicadas en el trimestre 639
A 31 de marzo quedaron 4 requerimientos en tramite</t>
  </si>
  <si>
    <t>En enero radicaron 160 PQS</t>
  </si>
  <si>
    <t>En abr radicaron 156 PQRS
En May radicaron 188 PQRS
En Jun radicaron 143 PQRS
Total de PQRS radicadas en el trimestre 487
A 31 de marzo quedaron 5 requerimientos en tramite</t>
  </si>
  <si>
    <t>Informes Servicio de atención a la ciudadanía</t>
  </si>
  <si>
    <t>En jul radicaron 197 PQRS
En Ago radicaron 141 PQRS
En Sep radicaron 190 PQRS
Total de PQRS radicadas en el trimestre 528
A 31 de septiembre quedaron 7 requerimientos en tramite</t>
  </si>
  <si>
    <r>
      <t xml:space="preserve">Registrar el </t>
    </r>
    <r>
      <rPr>
        <sz val="10"/>
        <color indexed="10"/>
        <rFont val="Arial"/>
        <family val="2"/>
      </rPr>
      <t>100</t>
    </r>
    <r>
      <rPr>
        <sz val="10"/>
        <color indexed="8"/>
        <rFont val="Arial"/>
        <family val="2"/>
      </rPr>
      <t>% de expedientes (ACTIVOS)  del 2014 y años anteriores en el aplicativo SI ACTUA (Previo inventario de expedientes físicos)</t>
    </r>
    <r>
      <rPr>
        <sz val="10"/>
        <color indexed="12"/>
        <rFont val="Arial"/>
        <family val="2"/>
      </rPr>
      <t xml:space="preserve"> Establecimientos de comercio
NO APLICA</t>
    </r>
  </si>
  <si>
    <r>
      <t xml:space="preserve">
</t>
    </r>
    <r>
      <rPr>
        <sz val="10"/>
        <color indexed="8"/>
        <rFont val="Arial"/>
        <family val="2"/>
      </rPr>
      <t>Expedientes anteriores al 2014 en establecimientos de comercio  registrados en el aplicativo SI ACTUA</t>
    </r>
  </si>
  <si>
    <t>El indicador mide el porcentaje de  Expedientes en físico (activos) registrados en el aplicativo SI ACTÚA del 2014 y años anteriores en establecimientos de comercio
Estos expedientes son los que en la actualidad no se encuentren registrados y hacen parte del inventario en físico
Para la fuente de datos del indicador, se utilizará el documento de apoyo denominad:  Formato Inventario expedientes plan de gestión</t>
  </si>
  <si>
    <t xml:space="preserve">N° de expedientes en establecimientos de comercio registrados en el aplicativo SI ACTUA </t>
  </si>
  <si>
    <t>N° de expedientes inventariados físicamente en Establecimientos de Comercio</t>
  </si>
  <si>
    <t>Formato Inventario expedientes plan de gestión</t>
  </si>
  <si>
    <t>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En el año 2014,  Santa Fe cumplió esta meta.
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t>
  </si>
  <si>
    <r>
      <t>Registrar el</t>
    </r>
    <r>
      <rPr>
        <sz val="10"/>
        <color indexed="10"/>
        <rFont val="Arial"/>
        <family val="2"/>
      </rPr>
      <t xml:space="preserve"> 100</t>
    </r>
    <r>
      <rPr>
        <sz val="10"/>
        <color indexed="8"/>
        <rFont val="Arial"/>
        <family val="2"/>
      </rPr>
      <t xml:space="preserve">% de expedientes (ACTIVOS)  del 2014 y años anteriores en el aplicativo SI ACTUA (Previo inventario de expedientes físicos) </t>
    </r>
    <r>
      <rPr>
        <sz val="10"/>
        <color indexed="12"/>
        <rFont val="Arial"/>
        <family val="2"/>
      </rPr>
      <t>Espacio Público
NO ALICA</t>
    </r>
  </si>
  <si>
    <r>
      <t xml:space="preserve">
</t>
    </r>
    <r>
      <rPr>
        <sz val="10"/>
        <color indexed="8"/>
        <rFont val="Arial"/>
        <family val="2"/>
      </rPr>
      <t>Expedientes anteriores al 2014 en espacio público registrados en el aplicativo SI ACTUA</t>
    </r>
  </si>
  <si>
    <t>El indicador mide el porcentaje de  Expedientes en físico (activos) registrados en el aplicativo SI ACTÚA del 2014 y años anteriores en espacio público
Estos expedientes son los que en la actualidad no se encuentren registrados y hacen parte del inventario en físico
Para la fuente de datos del indicador, se utilizará el documento de apoyo denominad:  Formato Inventario expedientes plan de gestión</t>
  </si>
  <si>
    <t>N° de expedientes inventariados físicamente en Espacio Público</t>
  </si>
  <si>
    <t>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En el año 2014 Santa Fe cumplió esta meta.
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t>
  </si>
  <si>
    <r>
      <t>Registrar el</t>
    </r>
    <r>
      <rPr>
        <sz val="10"/>
        <color indexed="10"/>
        <rFont val="Arial"/>
        <family val="2"/>
      </rPr>
      <t xml:space="preserve"> 100</t>
    </r>
    <r>
      <rPr>
        <sz val="10"/>
        <color indexed="8"/>
        <rFont val="Arial"/>
        <family val="2"/>
      </rPr>
      <t xml:space="preserve">% de expedientes (ACTIVOS)  del 2014 y años anteriores en el aplicativo SI ACTUA (Previo inventario de expedientes físicos) </t>
    </r>
    <r>
      <rPr>
        <sz val="10"/>
        <color indexed="12"/>
        <rFont val="Arial"/>
        <family val="2"/>
      </rPr>
      <t>Obras
NO APLICA</t>
    </r>
  </si>
  <si>
    <r>
      <t xml:space="preserve">
</t>
    </r>
    <r>
      <rPr>
        <sz val="10"/>
        <color indexed="8"/>
        <rFont val="Arial"/>
        <family val="2"/>
      </rPr>
      <t>Expedientes anteriores al 2014 en Obras registrados en el aplicativo SI ACTUA</t>
    </r>
  </si>
  <si>
    <t>El indicador mide el porcentaje de  Expedientes en físico (activos) registrados en el aplicativo SI ACTÚA del 2014 y años anteriores en Obras
Estos expedientes son los que en la actualidad no se encuentren registrados y hacen parte del inventario en físico
Para la fuente de datos del indicador, se utilizará el documento de apoyo denominad:  Formato Inventario expedientes plan de gestión</t>
  </si>
  <si>
    <t xml:space="preserve">N° de expedientes en Obras registrados en el aplicativo SI ACTUA </t>
  </si>
  <si>
    <t>N° de expedientes inventariados físicamente en Obras</t>
  </si>
  <si>
    <t xml:space="preserve">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En el año 2014 Santa Fe cumplió esta meta.
La meta hace referencia al registro de expedientes en físico que aún no se han registrado en el SI ACTÚA.
</t>
  </si>
  <si>
    <t>Proferir 100 actos administrativos pertinentes al control en establecimientos de comercio y espacio público</t>
  </si>
  <si>
    <t>Actos administrativos proferidos pertinentes al control en establecimientos de comercio y espacio público</t>
  </si>
  <si>
    <r>
      <t xml:space="preserve">El indicador mide la cantidad de actos administrativos proferidos en relación con su programación
Los actos administrativos que se miden hacen referencia a:
</t>
    </r>
    <r>
      <rPr>
        <sz val="10"/>
        <color indexed="8"/>
        <rFont val="Arial"/>
        <family val="2"/>
      </rPr>
      <t>- formulación de cargos
- sanción
- archivo
- resuelve el recurso de reposición
- perdida de fuerza ejecutoria
Revocatoria
Este indicador obtiene datos del indicador de la meta 6</t>
    </r>
  </si>
  <si>
    <t>N° de Actos administrativos proferidos</t>
  </si>
  <si>
    <t>N° de Actos administrativos programados</t>
  </si>
  <si>
    <r>
      <t xml:space="preserve">Los actos administrativos  se refieren a :
formulación de cargos
sanción
archivo
resuelve el recurso de reposición
perdida de fuerza ejecutoria
Revocatoria
la cuales se asumen firmadas por el alcalde local.
</t>
    </r>
    <r>
      <rPr>
        <b/>
        <sz val="10"/>
        <color indexed="8"/>
        <rFont val="Arial"/>
        <family val="2"/>
      </rPr>
      <t>La base de trabajo son 100 expedientes de establecimientos de comercio y 21 expedientes de espacio público.</t>
    </r>
  </si>
  <si>
    <t>se dictaron 12 actos administrativos dentro de los cuales están: formulación de cargos, liquidación de multa, archivo, tramite a recursos de reposición, revocatoria, ya que a la fecha no se cuenta con coordinador del Grupo de Gestión Jurídica, el Asesor Jurídico</t>
  </si>
  <si>
    <t>SI ACTUA</t>
  </si>
  <si>
    <t>Situación inicial:  se programaron 120 actos contando con tres abogados en el área: el coordinador, el asesor y un abogado de apoyo
Situación actual: A partir de mitad de enero trasladaron al coordinador jurídico y el nuevo coordinador llego a partir del 1o de junio.  El abogado de obras estaba a cargo de la coordinación y de la asesoría de obras, adicionalmente la asesora de obra tuvo una incapacidad en mayo por lo cual también estaba  cargo lo que redujo el tiempo/ abogado asignado para esta labor.   Con la llegada del nuevo coordinador se hizo un cambio en la directriz jurídica para resolver los casos de fondo
En establecimientos de comercio: tres en archivo, una liquidación de multa y una revocatoria directa;  en espacio público seis de archivo</t>
  </si>
  <si>
    <t>14 de establecimientos de comercio  y 17 de espacio publico</t>
  </si>
  <si>
    <t xml:space="preserve">carpeta operativos </t>
  </si>
  <si>
    <t>Fallar el 13% de las actuaciones administrativas con la primera decisión de fondo  en materia de establecimientos de comercio y espacio publico del 2014 y años anteriores</t>
  </si>
  <si>
    <t xml:space="preserve"> Actuaciones administrativas  en materia de establecimientos de comercio y espacio publico del 2014 y años anteriores falladas con la primera decisión de fondo </t>
  </si>
  <si>
    <t>El indicador mide el porcentaje de expedientes que se fallan con la primera decisión de fondo en relación con el total de expedientes pendientes de fallo 
Las actuaciones administrativas hacen referencia a Establecimientos de comercio y espacio público</t>
  </si>
  <si>
    <t>N°  actuaciones administrativas en espacio público y establecimientos de comercio falladas con la primera decisión de fondo</t>
  </si>
  <si>
    <t xml:space="preserve">N° .de expedientes en establecimientos de comercio y espacio público  inventariados físicamente
</t>
  </si>
  <si>
    <t>Este punto depende del número de abogados que disponga la dependencia.  El valor dado es cada abogado.  Actualmente no tenemos coordinador Jurídico y tenemos un abogado por contrato
Actualmente se tienen 101 expedientes de establecimientos y 24 de espacio publico, para un total de 125
La primera decisión de fondo se refiere a: Resolución de sanción o resolución de archivo.
El objetivo consiste en la descongestión de las actuaciones administrativas. La primera decisión de fondo se refiere a: Resolución de sanción o resolución de archivo.
El objetivo consiste en la descongestión de las actuaciones administrativas. SE TIENE COMO BASE 121 ACTUACIONES ADMINISTRATIVAS (100 E.C Y 21 E.P.) PARA DECISION DE FONDO DE PRIMERA VEZ.</t>
  </si>
  <si>
    <t>se supera le meta del trimestre, ya que se dictaron 8 fallos de archivo de expedientes en los cuales
El 13% programado para la vigencia equivale a 16 expedientes de los cuales en este trimestre se fallaron en primera decisión de fondo 8, por que  los establecimientos de comercio dejaron de funcionar.</t>
  </si>
  <si>
    <t>En este trimestre se fallaron en primera decisión de fondo cuatro expedientes</t>
  </si>
  <si>
    <t>En este trimestre se fallaron en primera decisión de fondo cinco  expedientes  de establecimientos de comercio:   2 de parqueaderos, 2 bares y una asociación</t>
  </si>
  <si>
    <t>carpeta de operativos</t>
  </si>
  <si>
    <t>Proferir 100 actos administrativos pertinentes al régimen de obras</t>
  </si>
  <si>
    <t>Actos administrativos proferidos pertinentes al régimen de obras</t>
  </si>
  <si>
    <t xml:space="preserve">"El indicador mide la cantidad de actos administrativos proferidos en relación con su programación
- Resolución de formulación de cargos
- Resolución de sanción
- resolución de archivo
- resolución que resuelve el recurso de reposición
- resolución de perdida de fuerza ejecutoria
Este indicador obtiene datos del indicador de la metas 7 y 8
</t>
  </si>
  <si>
    <t>Los actos administrativos (resoluciones) se refieren :
Resolución de formulación de cargos
Resolución de sanción
resolución de archivo
resolución que resuelve el recurso de reposición
resolución de perdida de fuerza ejecutoria
la cuales se asumen firmadas por el alcalde local.
100</t>
  </si>
  <si>
    <t>Se sobrepaso la meta porque se cuenta con un abogado de apoyo</t>
  </si>
  <si>
    <t>Carpeta de resoluciones</t>
  </si>
  <si>
    <t xml:space="preserve">Durante este trimestre la asesora de obras, ha tenido incapacidades por lo cual la meta trimestral no se logró.  Sin embargo, la meta esperada al semestre se va  cumpliendo teniendo en cuenta que el trimestre anterior se supero la meta </t>
  </si>
  <si>
    <t>Se dictaron 30 Actos Administrativos  dentro de los cuales están: formulación de cargos, liquidación de multa, archivo, tramite a recursos de reposición, revocatoria.</t>
  </si>
  <si>
    <t>Fallar el XXX% de las actuaciones administrativas con la primera decisión de fondo en materia de obras y urbanismo, aperturadas en el 2010 y años anteriores, de conformidad con lo establecido legalmente con base en la labor de impulso procesal
NO APLICA</t>
  </si>
  <si>
    <t xml:space="preserve">Actuaciones administrativas en materia de obras y urbanismo del 2010 y años anteriores falladas con la primera decisión de fondo  </t>
  </si>
  <si>
    <t>El indicador mide el porcentaje de expedientes que se  fallan con la primera decisión de fondo en relación con el total de expedientes pendientes de fallo
  Las actuaciones son aquellas aperturadas en el 2010 y años anteriores
Las actuaciones administrativas hacen referencia a obras</t>
  </si>
  <si>
    <t>N°  actuaciones administrativas en obras y urbanismo falladas con la primera decisión de fondo del 2010 y años anteriores.</t>
  </si>
  <si>
    <t>N° de expedientes en obras y urbanismo inventariados físicamente del 2010 y anteriores.</t>
  </si>
  <si>
    <t>En el año 2014 se cumplió esta meta.</t>
  </si>
  <si>
    <t>Fallar el 100% de las actuaciones administrativas con la primera decisión de fondo en materia de obras y urbanismo, aperturadas entre el 2011 al 2013, de conformidad con lo establecido legalmente con base en la labor de impulso procesal.</t>
  </si>
  <si>
    <t xml:space="preserve">Actuaciones administrativas en materia de obras y urbanismo del  2011 al 2013 falladas con la primera decisión de fondo  </t>
  </si>
  <si>
    <t>El indicador mide el porcentaje de expedientes que se  fallan con la primera decisión de fondo en relación con el total de expedientes pendientes de fallo
  Las actuaciones son aquellas aperturadas entre el 2010 al 2013
Las actuaciones administrativas hacen referencia a obras</t>
  </si>
  <si>
    <t>N°  actuaciones administrativas en obras y urbanismo falladas con la primera decisión de fondo del 2011 al 2013</t>
  </si>
  <si>
    <t>N° de expedientes en obras y urbanismo inventariados físicamente del  2011 al 2013</t>
  </si>
  <si>
    <t>CARPETA DE RESOLUCIONES                                                            SE TIENE 30 ACTUACIONES ADMINISTRATIOVAS PARA DECISION DE FONDO DE PRIMERA .</t>
  </si>
  <si>
    <t>No se cumplió la meta por cuanto a la fecha las actuaciones se encuentran con formulación de descargos o traslados de alegatos de conclusiones cumpliendo así su etapa procesal como lo establece el artículo 47 del CPACA.</t>
  </si>
  <si>
    <t>Se reprogramo la meta por cuanto las actuaciones se encuentra con alegatos de conclusión  
Condiciones iniciales:  como recursos se tienen el abogado asesor de obras y un abogado de apoyo. En la actualidad se tienen 2 fallos de primera vez a las actuaciones administrativas  La razón es que por el  ajuste de la ley 1437 en su artículo 47 y también por la incapacidad que ha tenido la asesora de obras en este trimestre</t>
  </si>
  <si>
    <t xml:space="preserve">CARPETA DE RESOLUCIONES </t>
  </si>
  <si>
    <t>SE FALLARON 9 ACTUACIONES ADMINISTRATIVAS APERTURADAS ENTRE EL 2011 AL 2013 QUEDANDO PENDIENTE POR FALLAR 4 A.A. PARA CUMPLIR LA META YA QUE EN ALGUNAS ACTUACIONES SE ENCUENTRAN CON ALEGATOS DE CONCLUSION O CON AUTO DE PRUEBAS.</t>
  </si>
  <si>
    <t>Realizar 22 actividades de prevención en materia de control en establecimientos de comercio y espacio público</t>
  </si>
  <si>
    <t xml:space="preserve">Actividades de prevención realizadas en materia de control en establecimientos de comercio y espacio público  </t>
  </si>
  <si>
    <t>El indicador mide la cantidad de actividades de prevención en establecimientos de comercio y espacio público  y cuya finalidad consiste en disminuir la formalización de actuaciones administrativas ya sea mediante talleres en etapa preliminar o en actividades y/o talleres en campo. Lo anterior en relación a la cantidad de actividades programadas.</t>
  </si>
  <si>
    <t xml:space="preserve">N°   Actividades de prevención realizadas
</t>
  </si>
  <si>
    <t>N°  Actividades de prevención programadas</t>
  </si>
  <si>
    <t>CARPETA DE ACTIVIDADES DE PREVENCION</t>
  </si>
  <si>
    <t xml:space="preserve">Actividad de prevención se refiere a: 
Talleres en etapa preliminar
Talleres dirigidos a la comunidad en zonas  definidas.
Difusión en Medios de comunicación comunitarios y/o espacios comunitarios
Cada alcaldía definiría la estrategia y en caso de elegir la segunda opción debe determinar que zona es la que va a intervenir.
El resultado va dirigido a disminuir las sanciones por infracciones al funcionamiento de establecimientos de comercio y espacio público
Se dará prioridad a actividades de prevención sobre el tema de operativos </t>
  </si>
  <si>
    <t xml:space="preserve">Sensibilizaciones a la indebida ocupación del espacio publico. </t>
  </si>
  <si>
    <t>Carpeta de operativos</t>
  </si>
  <si>
    <t>Situación inicial:  se realizo la planeación de acuerdo a las prioridades y al recurso disponible.  Situación actual:  Debido a que se requirieron jornadas respecto a sensibilizaciones de derechos de autos, se realizaron jormadas adicionales para cubrir este tema</t>
  </si>
  <si>
    <t>Sensibilizaciones ejecutadas 1 a parqueaderos, 2 sensibilizaciones a libreros y una de pagadiarios, una entre cra 17 y 19 con calle 5, una invasion espacio.
Debido a que se requirieron jornadas respecto a sensibilizaciones de derechos de autos, se realizaron jormadas adicionales para cubrir este tema</t>
  </si>
  <si>
    <t xml:space="preserve">Realizar 3 actividades de prevención en materia de obras </t>
  </si>
  <si>
    <t>Actividades de prevención realizadas en materia de obras</t>
  </si>
  <si>
    <t>El indicador mide la cantidad de actividades de prevención en materia de obras  y cuya finalidad consiste en disminuir la formalización de actuaciones administrativas ya sea mediante talleres en etapa preliminar o en actividades y/o talleres en campo. Lo anterior en relación a la cantidad de actividades programadas.</t>
  </si>
  <si>
    <t>Actividad de prevención se refiere a: 
Talleres en etapa preliminar
Talleres dirigidos a la comunidad en zonas  definidas.
Difusión en Medios de comunicación comunitarios y/o espacios comunitarios
Cada alcaldía definiría la estrategia y en caso de elegir la segunda opción debe determinar que zona es la que va a intervenir.
El resultado va dirigido a disminuir las sanciones por infracciones al régimen de obras.</t>
  </si>
  <si>
    <t>se realizaron 2 actividades de prevención sobrepasando la meta por cuanto se cuenta con un grupo de apoyo de cerros orientales.</t>
  </si>
  <si>
    <t>Carpetas de actas de prevención</t>
  </si>
  <si>
    <t>SE REALIZARON 2 ACTIVIDADES DE PREVENCION EN CERROS ORIENTALES.  LA META SE SOBREPASA POR CONTAR CON UN GRUPO DE APOYO</t>
  </si>
  <si>
    <t>CARPETA DE ACTAS DE PREVECION</t>
  </si>
  <si>
    <r>
      <t xml:space="preserve">Realizar </t>
    </r>
    <r>
      <rPr>
        <sz val="10"/>
        <color indexed="12"/>
        <rFont val="Arial"/>
        <family val="2"/>
      </rPr>
      <t>40</t>
    </r>
    <r>
      <rPr>
        <sz val="11"/>
        <color theme="1"/>
        <rFont val="Calibri"/>
        <family val="2"/>
        <scheme val="minor"/>
      </rPr>
      <t xml:space="preserve"> operativos de control al funcionamiento en establecimientos de comercio</t>
    </r>
  </si>
  <si>
    <t>El indicador mide el numero de operativos de control de infracciones establecimientos de comercio  realizados en relación con una cantidad de operativos programados</t>
  </si>
  <si>
    <t>CARPETA OPERATIVOS DE CONTROL EN ESTABLECIMIENTOS DE COMERCIO</t>
  </si>
  <si>
    <t>Los operativos que se realicen deben generar algún resultado o impacto, de igual manera se espera la participación de todas las entidades involucradas
La cantidad mínima de operativos a programar durante la vigencia es de 10</t>
  </si>
  <si>
    <t>se supera le meta ya que dentro del desarrollo de los operativos, se incrementaron los de verificación de tarifas de parqueaderos públicos, dentro de las políticas del nivel central a este tipo de establecimientos de comercio</t>
  </si>
  <si>
    <t>Se realizaron 10 operativos de control al funcionamiento en establecimientos de comercio</t>
  </si>
  <si>
    <t>se realizaron 15.  Los 5 adicionales se deben a operativos que solicito policia de turismo</t>
  </si>
  <si>
    <t>operativos de cotrol</t>
  </si>
  <si>
    <t>Realizar 48 operativos de control de infracciones en obras y urbanismo</t>
  </si>
  <si>
    <t>El indicador mide el numero de operativos de control de infracciones al régimen de obras  realizados en relación con una cantidad de operativos programados</t>
  </si>
  <si>
    <t xml:space="preserve">Los operativos que se realicen deben generar algún resultado o impacto </t>
  </si>
  <si>
    <t xml:space="preserve">Se realizaron 12  operativos en los diferente polígonos de monitoreo en  cerros orientales ya sean rurales o urbanos. </t>
  </si>
  <si>
    <t xml:space="preserve">SE REALIZARON 14 OPERATIVOS EN LOS DIFERENTES Polígonos DE MONITOREO EN CERROS ORIENTALES YA SEA RURALES O URBANOS SOBREPASANDO LA META POR CUANTO SE CUENTA CON UN GRUPO DE APOYO. </t>
  </si>
  <si>
    <t xml:space="preserve">SE REALIZARON 15 OPERATIVOS EN LOS DIFERENTES POLIGONOS DE MONITOREO EN CERROS ORIENTALES YA SEA RURALES O URBENOS SOBREPASANDO LA META POR CUANTO SE CUENTA CON UN GRUPO DE APOYO. </t>
  </si>
  <si>
    <r>
      <t xml:space="preserve">Realizar </t>
    </r>
    <r>
      <rPr>
        <sz val="10"/>
        <color indexed="12"/>
        <rFont val="Arial"/>
        <family val="2"/>
      </rPr>
      <t>108</t>
    </r>
    <r>
      <rPr>
        <sz val="11"/>
        <color theme="1"/>
        <rFont val="Calibri"/>
        <family val="2"/>
        <scheme val="minor"/>
      </rPr>
      <t xml:space="preserve"> operativos de control de ocupación  indebida de espacio público</t>
    </r>
  </si>
  <si>
    <t>El indicador mide el numero de operativos de control de infracciones en espacio público realizados en relación con una cantidad de operativos programados</t>
  </si>
  <si>
    <t>N°  de operativos de control de espacio público realizados</t>
  </si>
  <si>
    <t>N°  de operativos de control de espacio público programados</t>
  </si>
  <si>
    <t>Los operativos que se realicen deben generar algún resultado o impacto, de igual manera se espera la participación de todas las entidades involucradas
La cantidad mínima de operativos a programar durante la vigencia es de 4</t>
  </si>
  <si>
    <t>operativos realizados a la indebida ocupación del espacio público en asocio con la personería local, policía y hospital centro oriente</t>
  </si>
  <si>
    <t>Se programaron  36  de las cuales se realizaron 53  y se suspendieron  8 por que no se presento alguna de las autoridades que deben participar en ellas.  Las adicionales se deben a que se está realizando un operativo permanente solicitado por DADEP y SDG</t>
  </si>
  <si>
    <t>Evitar 5% de las Peticiones (PQRS o requerimientos recibidos de manera escrita o verbal) vayan a reparto como acción policiva, mediante acciones de prevención o mediante Orientación directa  
(Secretaría General de Inspecciones)</t>
  </si>
  <si>
    <t>Peticiones (PQRS o recibidas de manera directa de manera escrita o verbal) que no van a reparto como acción policiva por actividades de prevención o por orientación directa.</t>
  </si>
  <si>
    <t>El indicador mide el porcentaje de peticiones (PQRS o recibidas de manera directa de manera escrita o verbal) que no van a reparto como acciones policivas, lo anterior se logra  mediante actividades de prevención o por orientación directa</t>
  </si>
  <si>
    <t>N° Peticiones (PQRS o recibidas de manera directa de manera escrita o verbal) que no van a reparto como acción policiva</t>
  </si>
  <si>
    <t>N° de Ciudadanos atendidos con registro en ORFEO O SI- ACTUÁ</t>
  </si>
  <si>
    <t>Orfeo o SI-ACTÚA</t>
  </si>
  <si>
    <t xml:space="preserve">El resultado o efecto  esperado de la meta consiste en evitar que se incremente el numero de acciones policivas que entran a reparto producto de la orientación directa o mediante actividades de prevención. </t>
  </si>
  <si>
    <t xml:space="preserve">No se cumplió la meta. Las quejas que se reciben por PQRS  en su mayoría constituyen contravenciones y son colocadas por ciudadanos anónimos por lo que se hace necesario iniciar contravención para identificar a los infractores </t>
  </si>
  <si>
    <t xml:space="preserve">De 68 casos recibidos por conflictos ciudadanos se puedo realizar actividad en la Carrera 7 con calle 12B donde la gran mayoría de edificaciones tienen desagües de aguas lluvias que arrojan el liquido sobre el espacio publico y están dañado las obras realizadas el Consorcio PV Avenida Jimenez que evito que fuera querella. </t>
  </si>
  <si>
    <t>Emitir 30% de las decisiones que pongan fin a las acciones policivas radicadas del 2014 y años anteriores</t>
  </si>
  <si>
    <t>Decisiones emitidas que pongan fin a las acciones policivas radicadas del 2014 y años anteriores</t>
  </si>
  <si>
    <t>El indicador mide el porcentaje de procesos policivos finalizados mediante prescripción, desistimiento, conciliación, caducidad o fallo, en relación con el inventario de querellas y contravenciones activas del 2014 y años anteriores que están pendientes de una decisión final.</t>
  </si>
  <si>
    <t>N° de decisiones emitidas que pongan fin a las acciones policivas radicadas en el 2014 y años anteriores</t>
  </si>
  <si>
    <t>N° de querellas y contravenciones  activas al 31 de diciembre del 2014</t>
  </si>
  <si>
    <t>Aplicativo SI ACTUA Y carpeta archivadora de Resoluciones o fallos en cada Inspección</t>
  </si>
  <si>
    <t>Decisión se refiere a prescripción, desistimiento, conciliación, caducidad, fallo.</t>
  </si>
  <si>
    <t xml:space="preserve">el total del 30% de  las querellas que las inspecciones deben fallar corresponde a 285. en este primer periodo se emitieron 71 fallos dentro de querellas y contravenciones. se cumplió con la meta </t>
  </si>
  <si>
    <t xml:space="preserve">expedientes y carpeta de fallos en cada inspección </t>
  </si>
  <si>
    <t>Se  aclara que la línea base es 950 querellas.  Por lo tanto el 30% son 285.  Para este periodo se fallaron en las tres inspecciones de policía 99. 
En el primer trimestre el calculo se realizo numero de decisiones tomadas / 285 y no sobre 950 por lo cual parece sobreejecutada</t>
  </si>
  <si>
    <t xml:space="preserve">Expedientes y carpeta de fallos en cada una de las inspecciones de Policía </t>
  </si>
  <si>
    <t>Se  aclara que la línea base es 950 querellas.  Por lo tanto el 30% son 285.  Para este periodo se fallaron en las tres inspecciones de policía 104. 
En el primer trimestre el calculo se realizo numero de decisiones tomadas / 285 y no sobre 950 por lo cual parece sobreejecutada Para este periodo quedaron pendientes 115 querellas y fallaron los inspectores 104 quedando pendiente del 30% anual solo 11 expedientes.</t>
  </si>
  <si>
    <t xml:space="preserve">Cada uno de los expedientes que se tramitan en las inspecciones y carpeta de fallos en cada una de las inspecciones  </t>
  </si>
  <si>
    <t xml:space="preserve">Emitir 20% de las decisiones que pongan fin a las acciones policivas radicadas en el 2015 </t>
  </si>
  <si>
    <t xml:space="preserve"> Decisiones emitidas que pongan fin a los proceso radicados en la vigencia 2015</t>
  </si>
  <si>
    <t>El indicador mide el porcentaje de procesos policivos finalizados mediante prescripción, desistimiento, conciliación, caducidad o fallo, en relación con las querellas y contravenciones activas y radicadas en 2015.</t>
  </si>
  <si>
    <t>N°  de decisiones emitidas que pongan fin a las acciones policivas radicadas en el 2015</t>
  </si>
  <si>
    <t>N°  de procesos policivos radicados y activos en la vigencia 2015</t>
  </si>
  <si>
    <t>Carpeta que contiene la querella y carpeta de archivo de fallos que permanece en cada inspección</t>
  </si>
  <si>
    <t xml:space="preserve">El total del 20% de  las querellas que en promedio reciben las inspecciones por año corresponde a  116. en este primer periodo se emitieron 4 fallos dentro de querellas y contravenciones. se cumplió con la meta </t>
  </si>
  <si>
    <t xml:space="preserve">expediente  y carpeta de fallos en cada inspección </t>
  </si>
  <si>
    <t xml:space="preserve">La línea base son 580 acciones policivas radicadas promedio esperadas para el 2015, por lo cual se toma 116 como el 20% de las decisiones a tomar
Para este periodo se fallaron 28 expedientes entre querellas y contravenciones. </t>
  </si>
  <si>
    <t>La línea base son 580 acciones policivas radicadas promedio esperadas para el 2015, por lo cual se toma 116 como el 20% de las decisiones a tomar
.
Los inspectores fallaron 72 expedientes entre querellas y contravenciones</t>
  </si>
  <si>
    <t>Lograr en 15  días la realización de la audiencia de conciliación, Secretaría General de las Inspecciones de Policía o Corregidores (tiempo máximo)</t>
  </si>
  <si>
    <r>
      <t>Promedio de días para la  realizaci</t>
    </r>
    <r>
      <rPr>
        <sz val="11"/>
        <color theme="1"/>
        <rFont val="Calibri"/>
        <family val="2"/>
        <scheme val="minor"/>
      </rPr>
      <t>ón de audiencias de conciliación</t>
    </r>
  </si>
  <si>
    <t>El indicador mide el promedio de días en el cual se están llevando a cabo las audiencias de conciliación efectivamente realizadas</t>
  </si>
  <si>
    <r>
      <t>Sumatoria de d</t>
    </r>
    <r>
      <rPr>
        <sz val="11"/>
        <color theme="1"/>
        <rFont val="Calibri"/>
        <family val="2"/>
        <scheme val="minor"/>
      </rPr>
      <t>ías para la realización de todas las audiencias de conciliación</t>
    </r>
  </si>
  <si>
    <t>Libro radicador, aplicativo SI ACTUA y expediente</t>
  </si>
  <si>
    <t>La meta hace mención a las audiencias efectivamente realizadas.
La programación debe realizarse con base en el promedio histórico.</t>
  </si>
  <si>
    <t xml:space="preserve">Se realizaron 62 conciliaciones en el termino de 412 días presentándose un promedio de 7 días entre la recepción del escrito de queja y la práctica de la audiencia de conciliación </t>
  </si>
  <si>
    <t xml:space="preserve">expediente y carpeta actas de conciliación </t>
  </si>
  <si>
    <t xml:space="preserve">Se realizaron 90 conciliaciones en 1002 días presentándose un promedio de 11 días entre el radicado  de la queja y la audiencia. </t>
  </si>
  <si>
    <t xml:space="preserve">Expedientes y carpeta de conciliaciones </t>
  </si>
  <si>
    <t xml:space="preserve">SE REALIZARON 117 CONCILIACIONES EN 676 DIAS CUMPLIENDO CON LA META TRIMESTRAL </t>
  </si>
  <si>
    <t>CARPETA DE ACTAS DE CONCILIACION Y CADA UNO DE LOS EXPEDIENTES</t>
  </si>
  <si>
    <t>Evacuar 72% de los procesos generados por retención de bienes por la ocupación del espacio público</t>
  </si>
  <si>
    <t xml:space="preserve">El indicador mide el porcentaje de procesos evacuados que se reciban durante el trimestre y que son  generados por por retención de bienes por la ocupación indebida del espacio público </t>
  </si>
  <si>
    <t>Libro radicador, aplicativo SI ACTUA, expediente</t>
  </si>
  <si>
    <r>
      <t xml:space="preserve"> </t>
    </r>
    <r>
      <rPr>
        <sz val="11"/>
        <color theme="1"/>
        <rFont val="Calibri"/>
        <family val="2"/>
        <scheme val="minor"/>
      </rPr>
      <t xml:space="preserve">La meta hace referencia a evitar la acumulación  de los elementos en bodega, igualmente mide la evacuación de los elementos por un proceso generado por la utilización indebida del espacio público; Cada persona, infractor o vendedor tiene un proceso independiente. </t>
    </r>
  </si>
  <si>
    <t>De un total de 386 procesos de bienes retenidos en el trimestre se evacuaron 274</t>
  </si>
  <si>
    <t>Se recibió en el trimestre 532 procesos por decomiso y se fallaron 382</t>
  </si>
  <si>
    <t xml:space="preserve">Expedientes y aplicativo SI ACTUA </t>
  </si>
  <si>
    <t>Se recibieron 436 actas de aprehensión en el trimestre. Se evacuaron 244. No se cumplió con la meta porque en el mes de septiembre llegaron la mayoría de actas de las cuales se reflejará el resultado en el cuarto trimestre.</t>
  </si>
  <si>
    <t>CADA EXPEDIENTE</t>
  </si>
  <si>
    <t>Motivar a 280 personas para que cuenten con herramientas en el manejo adecuado de los conflictos</t>
  </si>
  <si>
    <t>Personas Motivadas en  herramientas para el manejo adecuado de conflictos</t>
  </si>
  <si>
    <t>El indicador mide la cantidad de personas motivadas en herramientas que les permitan manejar adecuadamente los conflictos, lo anterior en relación con la programación de una cantidad de personas determinada trimestralmente</t>
  </si>
  <si>
    <t>Se refiere a personas participantes en talleres de prevención (Motivación) 
Se programaron  280</t>
  </si>
  <si>
    <t xml:space="preserve">Se supero la meta  debido a convenio con Pas Lourdes de SSDIL de Candelaria y Santa fe. Motivando semanalmente a dos grupos de adultos  </t>
  </si>
  <si>
    <t>Se supero la meta  debido a convenio con Pas Lourdes de SSDIL de Candelaria y Santa fe. Motivando semanalmente a dos grupos de adultos , ademas de convenio adicional con la policía metropolitana de Bogotá desarrollando esta labor con cuerpo de policía del</t>
  </si>
  <si>
    <t>Se supero la meta  debido a que se restablece en segundo semestre el convenio con SSLIS (Pas Lourdes) de Candelaria y Santa fe. Motivando semanalmente a dos grupos de adultos participantes en grupo de validación del bachillerato y dentro del proyecto N° 7</t>
  </si>
  <si>
    <t>Realizar 100 acompañamientos a procesos sociales de los AVCC  para mejorar los servicios prestados a la comunidad</t>
  </si>
  <si>
    <t xml:space="preserve">Acompañamientos realizados a procesos sociales de los AVCC </t>
  </si>
  <si>
    <t>El indicador mide la cantidad de Acompañamientos realizados a procesos sociales de los AVCC (Reuniones y visitas a PA) con el fin de mejorar el servicio, lo anterior en relación con la programación de una cantidad determinada de acompañamientos.</t>
  </si>
  <si>
    <t>N°  de acompañamientos realizados a procesos sociales de los AVCC</t>
  </si>
  <si>
    <t>N° de acompañamientos programados a procesos sociales de los AVCC</t>
  </si>
  <si>
    <t>Formato acta de reunión 1D-PGE-F10 (Carpeta:Procedimiento:Acompañamiento a la red local de actores voluntarios de convivencia) y formato 2L-GCS-F15 (Monitoreo a Pac)</t>
  </si>
  <si>
    <t>Acompañamiento hace referencia : Reuniones de la red local de AVCC y vistas a PAC
Se programaron 100</t>
  </si>
  <si>
    <t>No se logró la meta, faltando tan solo un acompañamiento, por lo que se espera nivelar el trimestre siguiente. De igual forma en el mes de enero solo dos conciliadores atendieron en sus respectivos Pac. Igualmente la conciliadora del Pac Las Cruces renunció</t>
  </si>
  <si>
    <t>Se sobrepasó la meta inicialmente establecida la meta,por cuanto a partir del mes de marzo se reabrió el Pac de Las Cruces, lo que permitió adicionar un seguimiento mas al ejercicio de los AVCC -Conciliadores-.</t>
  </si>
  <si>
    <t>Se cumplió satisfactoriamente con la meta establecida a pesar de la baja demanda de ciudadanos en situación de conflicto</t>
  </si>
  <si>
    <r>
      <t>Alcanzar el</t>
    </r>
    <r>
      <rPr>
        <sz val="10"/>
        <color indexed="10"/>
        <rFont val="Arial"/>
        <family val="2"/>
      </rPr>
      <t xml:space="preserve"> 85</t>
    </r>
    <r>
      <rPr>
        <sz val="10"/>
        <color indexed="8"/>
        <rFont val="Arial"/>
        <family val="2"/>
      </rPr>
      <t>% en el nivel de satisfacción del servicio de todo el proceso de mediación institucional</t>
    </r>
  </si>
  <si>
    <t>El indicador mide el nivel de satisfacción del servicio sobre una base numérica de tres preguntas que se evalúan de 1 a 5.
La puntuación obtenida es la suma de todos los puntos obtenidos en los formatos y esto se divide sobre la puntuación máxima a obtener (N° de formatos * 15) este es el denominador asumiendo que todos los que registran el formato califican todas las preguntas con una puntuación de 5.</t>
  </si>
  <si>
    <r>
      <t xml:space="preserve">Sumatoria de puntuación obtenida en todos los  </t>
    </r>
    <r>
      <rPr>
        <sz val="11"/>
        <color theme="1"/>
        <rFont val="Calibri"/>
        <family val="2"/>
        <scheme val="minor"/>
      </rPr>
      <t>Formatos de consulta sobre satisfacción del servicio</t>
    </r>
  </si>
  <si>
    <t>Formato tabulación encuesta del servicio de mediación
Formato consulta satisfacción del servicio 2L-GCS-F7 y Aplicación Tabulación resultados encuesta</t>
  </si>
  <si>
    <t>Resultado de calificar tres (3) items cada uno con valor de uno a cinco para un total de 15 puntos de los cuales el 85% corresponde a 12,75 puntos</t>
  </si>
  <si>
    <t xml:space="preserve">Se cumplió satisfactoriamente la meta con un alto porcentaje de calificaciones altas lo que presenta un promedio de 14.04 sobre 15, por lo que se asume que se realiza de manera adecuada, con buenos resultados y la información pertinente las audiencias de </t>
  </si>
  <si>
    <t>Formato consulta satisfacción del servicio 2L-GCS-F7 y Aplicación Tabulación resultados encuesta</t>
  </si>
  <si>
    <t xml:space="preserve">El cumplimiento de la meta se superó satisfactoriamente  con un alto porcentaje de calificación lo que presenta un promedio de 14.25 sobre 15, por lo que se asume que el ejercicio de la atención por mediación se realiza adecuadamente y con satisfacción </t>
  </si>
  <si>
    <t>El cumplimiento de la meta se superó satisfactoriamente  con un alto porcentaje de calificación lo que presenta un promedio de 14.25 sobre 15, por lo que se asume que el ejercicio de la atención por mediación se realiza de forma adecuada y goza de aceptac</t>
  </si>
  <si>
    <t>Realizar xxx actividades orientadas a la prevención de la conflictividad de cada localidad 
NO APLICA</t>
  </si>
  <si>
    <t xml:space="preserve">El indicador mide la cantidad de actividades de prevención enfocadas a una conflictividad determinada de cada localidad y que no se suplen con las actividades de prevención de las UMC, Secretarias de Inspecciones e Inspecciones de policía. Las actividades se desarrollan en relación con una cantidad de actividades programada durante la vigencia
</t>
  </si>
  <si>
    <t xml:space="preserve">N°  de actividades de prevención realizadas
</t>
  </si>
  <si>
    <t>N°  de actividades de prevención programadas</t>
  </si>
  <si>
    <t>Santa Fe no tiene Casa de Justicia</t>
  </si>
  <si>
    <t>La responsabilidad de la meta recae en las casas de justicia, sin embargo, las coordinaciones jurídicas pueden asumir la ejecución de esta meta siempre y cuando la medición no se duplique con el registro de otra meta del plan.</t>
  </si>
  <si>
    <t>Realizar xxx actividades de promoción que permitan posicionar los servicios de las casas de justicia (afiches, plegables, web, etc)
NO APLICA</t>
  </si>
  <si>
    <t>El indicador mide la cantidad de actividades de promoción del portafolio de servicios de las casas de justicia. Lo anterior en relación a una cantidad de actividades programadas.</t>
  </si>
  <si>
    <r>
      <t>Realizar</t>
    </r>
    <r>
      <rPr>
        <sz val="10"/>
        <color indexed="12"/>
        <rFont val="Arial"/>
        <family val="2"/>
      </rPr>
      <t xml:space="preserve"> 2</t>
    </r>
    <r>
      <rPr>
        <sz val="10"/>
        <color indexed="8"/>
        <rFont val="Arial"/>
        <family val="2"/>
      </rPr>
      <t xml:space="preserve"> actividades de atención extra murales o en las casas de justicia móvil
NO APLICA</t>
    </r>
  </si>
  <si>
    <t>El indicador mide la cantidad de actividades de atención a los ciudadanos en marco del programa Casa de Justicia, la cual se puede desarrollar bajo el mecanismo de Casa de Justicia Móvil, o mediante la atención extramural. Lo anterior en relación con una cantidad determinada de actividades programadas.</t>
  </si>
  <si>
    <t xml:space="preserve">Realizar 20 acciones de sensibilización para el acatamiento voluntario en normas de convivencia
</t>
  </si>
  <si>
    <t>El indicador mide la cantidad de acciones de sensibilización que realizan los secretarios generales de inspecciones para para el acatamiento voluntario en normas de convivencia con el fin de contribuir con la prevención de las infracciones. Lo anterior en relación con una cantidad determinada de acciones programadas</t>
  </si>
  <si>
    <t>Carpeta TRABAJO COMUNITARIO</t>
  </si>
  <si>
    <t>Sensibilizar a la comunidad sobre las normas de convivencia para hacer de Bogotá una ciudad mas tolerante y humana 
Se programaron 20 acciones</t>
  </si>
  <si>
    <t>Se realizaron dos charlas pedagógicas: 1) Plaza de Mercado de las Cruces -normas de convivencia comparendo ambiental-. 2) Colegio Antonio José Uribe -normas de convivencia relaciones de vecindad-</t>
  </si>
  <si>
    <t xml:space="preserve">Se realizaron seis (6) charlas pedagógicas: 1) comerciantes Barrio Laches por normas de convivencia y relaciones de vecindad -Sala conciliación Secretaria General-. 2) Comparendo ambiental -Sala de conciliación Secretaria General-. 3) Manejo escombros </t>
  </si>
  <si>
    <t xml:space="preserve">Carpeta trabajo comunitario </t>
  </si>
  <si>
    <t>Se realizaron seis (6) charlas pedagógicas: 1) Secretaria General de Inspecciones  -Disposición de escombros y obras de construcción-. 2) Plaza de Mercado La Perseverancia -Manejo de residuos solidos y basuras- 3) Sala Conciliación Secretaria General -Cha</t>
  </si>
  <si>
    <r>
      <t xml:space="preserve">Formular </t>
    </r>
    <r>
      <rPr>
        <sz val="10"/>
        <color indexed="10"/>
        <rFont val="Arial"/>
        <family val="2"/>
      </rPr>
      <t xml:space="preserve">1 </t>
    </r>
    <r>
      <rPr>
        <sz val="10"/>
        <color indexed="8"/>
        <rFont val="Arial"/>
        <family val="2"/>
      </rPr>
      <t>PICS local con base en el PICS distrital debidamente aprobado por el consejo local de seguridad
NO APLICA</t>
    </r>
  </si>
  <si>
    <t>El indicador mide si el PICS local se encuentra formulado con base en el PICS distrital  y que esté debidamente aprobado por el consejo local de seguridad. Lo anterior en relación al periodo de tiempo que se programe la formulación y aprobación.</t>
  </si>
  <si>
    <t>En diciembre del 2014, el Consejo local de seguridad, aprobó el PIC formulado por la Alcaldía
Se recomienda que el PICS se formule y se apruebe antes durante el primer semestre del año.</t>
  </si>
  <si>
    <r>
      <t xml:space="preserve">Implementar el </t>
    </r>
    <r>
      <rPr>
        <sz val="10"/>
        <color indexed="10"/>
        <rFont val="Arial"/>
        <family val="2"/>
      </rPr>
      <t>100</t>
    </r>
    <r>
      <rPr>
        <sz val="10"/>
        <color indexed="8"/>
        <rFont val="Arial"/>
        <family val="2"/>
      </rPr>
      <t>% del plan de acción de convivencia y seguridad de la vigencia 2015
NO APLICA</t>
    </r>
  </si>
  <si>
    <t>Plan de acción del Consejo Local de seguridad  implementado</t>
  </si>
  <si>
    <t>El indicador mide la implementación del plan de acción del consejo local de seguridad de la vigencia 2015 para el cumplimiento de los objetivos del PICS.
La implementación se refiere a la ejecución de las acciones establecidas y programadas en el plan de acción. 
Una acción se asume implementada cuando se ejecuta en su totalidad</t>
  </si>
  <si>
    <t>N° de acciones implementadas</t>
  </si>
  <si>
    <t>N°  de acciones programadas en el plan de acción</t>
  </si>
  <si>
    <t>PLAN DE ACCIÓN DEL CONSEJO LOCAL DE SEGURIDAD.</t>
  </si>
  <si>
    <t>El plan de acción se encuentra en construcción. 
El plan de acción está armonizado con el PICS
El numerador del indicador comienza a contabilizarse en el momento en que la actividad quede plenamente cumplida.
Los efectos de las actividades del plan de acción y del PICS se ven reflejados en indicadores asociados a los objetivos establecidos en estos planes</t>
  </si>
  <si>
    <r>
      <t>Implementar el</t>
    </r>
    <r>
      <rPr>
        <sz val="10"/>
        <color indexed="10"/>
        <rFont val="Arial"/>
        <family val="2"/>
      </rPr>
      <t xml:space="preserve"> 100%</t>
    </r>
    <r>
      <rPr>
        <sz val="10"/>
        <color indexed="8"/>
        <rFont val="Arial"/>
        <family val="2"/>
      </rPr>
      <t xml:space="preserve"> del plan de acci</t>
    </r>
    <r>
      <rPr>
        <sz val="11"/>
        <color theme="1"/>
        <rFont val="Calibri"/>
        <family val="2"/>
        <scheme val="minor"/>
      </rPr>
      <t xml:space="preserve">ón del Consejo Local de Gestión del Riesgo y Cambio Climático
</t>
    </r>
  </si>
  <si>
    <t xml:space="preserve"> Plan de acción implementado del Consejo Local de Gestión del Riesgo y Cambio Climático</t>
  </si>
  <si>
    <t>El indicador mide la implementación del plan de acción del consejo local de gestión del riesgo y cambio climático de la vigencia 2015 para la gestión del riesgo en las localidades 
La implementación se refiere a la ejecución de las acciones establecidas y programadas en el plan de acción. 
Una acción se asume implementada cuando se ejecuta en su totalidad</t>
  </si>
  <si>
    <t>El numerador del indicador comienza a contabilizarse en el momento en que la actividad quede plenamente cumplida</t>
  </si>
  <si>
    <t>Actas físicas de reuniones</t>
  </si>
  <si>
    <t>De 81 actividades a realizar, se han realizado 23.
Desde febrero a junio no se tenía  funcionario para esta actividad, por lo cual se retraso el cumplimiento de la meta</t>
  </si>
  <si>
    <t>Carpeta CLE</t>
  </si>
  <si>
    <t>De 81 actividades a realizar, se han realizado 26.</t>
  </si>
  <si>
    <t>Lograr 25% de avance del cumplimiento físico en el plan de desarrollo</t>
  </si>
  <si>
    <t>El indicador mide el avance en el cumplimiento físico del plan de desarrollo local según el porcentaje que arroje la matriz MUSI (Hoja AFP - Avance PDL (Ejecución real))</t>
  </si>
  <si>
    <t>MATRIZ MUSI
Hoja AFP - Avance PDL (Ejecución real)</t>
  </si>
  <si>
    <t xml:space="preserve">Esta meta hará referencia al cumplimiento físico del plan de desarrollo, La magnitud de la meta hará referencia al avance acumulado de ejecución en el plan de desarrollo (Cuatrienio). </t>
  </si>
  <si>
    <t>Se logro con los proyectos: 1168-19-126, 1168-19-127, 1171-31-140, 1171-31-141, 1171-31-142, 165-17-23, 1163-8-118</t>
  </si>
  <si>
    <t>MUSI</t>
  </si>
  <si>
    <t>Se esperaban 16339 beneficiarios anuales es decir el 25% del cuatrienio; al 30 de Junio de 2015 se cuenta con una ejecución física de  12,801.
Se calculo 12,801 beneficiarios *25% / el total esperado para el cuatrienio 16,339 = 20% a junio, como se tomo el acumulado se resto el 5% obtenido en el primer trimestre</t>
  </si>
  <si>
    <t>Se esperaban 16339 beneficiarios anuales es decir el 25% del cuatrienio; al 30 de Septiiembre de 2015 se cuenta con una ejecución física de  12,907.</t>
  </si>
  <si>
    <t>Lograr que 90%  de las entidades participen en el ejercicio ISO 18091</t>
  </si>
  <si>
    <t>Porcentaje de entidades participantes en el ejercicio ISO 18091</t>
  </si>
  <si>
    <t>El indicador mide el porcentaje de entidades participantes  en el ejercicio ISO 18091</t>
  </si>
  <si>
    <t>N° de entidades participantes</t>
  </si>
  <si>
    <t xml:space="preserve"> N° de entidades convocadas</t>
  </si>
  <si>
    <t>Acta de reunión y oficios de convocatoria</t>
  </si>
  <si>
    <t>Se invito a 13 entidades para que participaran en las mesas ISO 18091.  Se logró la participación de 12 entidades</t>
  </si>
  <si>
    <t>Radicados de invitación y actas de reunión</t>
  </si>
  <si>
    <t>Aumentar en un xxx% el porcentaje de indicadores en verde de la vigencia 2014 en comparación con la vigencia 2013 o de la vigencia anterior que cuente con información. lo anterior, en el marco del ejercicio de la norma ISO 18091
NO APLICA</t>
  </si>
  <si>
    <t xml:space="preserve">Aumento en el  Porcentaje de indicadores en verde </t>
  </si>
  <si>
    <t>El indicador mide el incremento en el porcentaje de indicadores en verde de la vigencia 2014 en relación con el porcentaje obtenido en la vigencia 2013 u otra vigencia que tenga definido el dato para la comparación (esto último, siempre y cuando no exista el dato para 2013). El objeto del indicador es el de medir la mejora en los resultados del ejercicio de la norma ISO 18091</t>
  </si>
  <si>
    <t>Porcentaje de indicadores en verde de la vigencia 2014</t>
  </si>
  <si>
    <t>Porcentaje de indicadores en verde de la vigencia 2013 o de la vigencia que cuente con información</t>
  </si>
  <si>
    <t>Para el 2014 solo se tuvo un indicador en rojo que tiene que ver con el cumplimiento de los giros de los compromuisos durante la vigencia.  Dado que ese indicador es complejo de cumplir no se tendrá como meta
Linea base : Porcentaje de indicadores en verde de la vigencia 2013 u otra vigencia que cuente con el dato de comparación.</t>
  </si>
  <si>
    <t>Espacio disponible para formulación de meta: Proyecto bandera de cada alcaldía local
NO APLICA</t>
  </si>
  <si>
    <t>Los proyectos que tiene la Alcaldía ya están medidos con el indicador 1</t>
  </si>
  <si>
    <t>Cumplir el 60% de las acciones en los planes de acción del CLG</t>
  </si>
  <si>
    <t>Acciones en los planes de acción del CLG cumplidas</t>
  </si>
  <si>
    <t>Esto mide el cumplimiento de las acciones establecidas en los planes de acción del CLG</t>
  </si>
  <si>
    <t>N. de acciones en los planes de acción del CLG cumplidas</t>
  </si>
  <si>
    <t>N. de acciones en los planes de acción del CLG programadas</t>
  </si>
  <si>
    <t>Plan de acción y actas de reunión</t>
  </si>
  <si>
    <t>El plan de acción del CLG estableció siete (7)  acciones para el 2015 
Para el primer trimestre se ejecutó la primera acción</t>
  </si>
  <si>
    <t>Plan de acción del CLG
Acta de enero, febrero y marzo del CLG</t>
  </si>
  <si>
    <t>De 5 cinco actividades (100%) que se esperaban cumplir para el trimestre se cumplieron 4 (80%)
*  Documento de seguridad  y sistematización de la información
*  Consolidación de la inversión territorializada
*  Articulación San Juan de Dios
*  Reuniones VPR Verjon
La actividad no cumplida tiene que ver con la UPZ de la Macarena
La formula usada es 4 actividades realizadas * 15% porcentaje esperado / 5 acciones que se esperaban cumplir</t>
  </si>
  <si>
    <t>Plan de acción del CLG
Acta de abril, mayo y junio del CLG</t>
  </si>
  <si>
    <t>De 5  actividades (100%) que se esperaban cumplir para el trimestre se cumplieron 5 (100%)
*  Entrega de documento de estrategia por mesa
*  Entrega de matriz de priorización de la territorialización de la inversión
*  Articulación San Juan de Dios
* Definición de presupuestos participativos
* Sensibilización Bogotá Humana en Macarena y Lourdes</t>
  </si>
  <si>
    <t>Plan de acción del CLG
Acta de julio, agosto y septiembre del CLG</t>
  </si>
  <si>
    <t>Se ejecutaron las campañas de Comité Local de Infancia y Adolescencia en Noviembre y la campaña de no violencia contra la mujer en Diciembre</t>
  </si>
  <si>
    <t>Carpeta del plan de comunicaciones, diseños y fotos</t>
  </si>
  <si>
    <t>Se mantienen las estrategias permanente de:
*  Cartelera de cumpleaños, de punto informativo en entidades laborales, deinformacion entidades y una de IDU
*  Redes sociales externo permanente de asuntos y eventos de relevancia pag web, facebook y twiter
*  Reuniones permanentes con el Consejo Local de Comunicación
*  Apoyo a campaña de logros locales de la Alcaldía mayor
*   Visualización de la gestion de la entidad en  boletines y en radio 
Adicionalmente se ejecutaron las siguientes estrategias:
* Articulación con SDG
+ Proyecto de Fortalecimiento</t>
  </si>
  <si>
    <t>Se realizaron 3 modificaciones (items) al Plan de Contratacion el cual fue publicado en la pagina de SECOP y la pagina web de la entidad-Dentro del mismo archivo</t>
  </si>
  <si>
    <t>En Junio llego una adición presupuestal  por $6,119,520,000 y en julio se traslado de obligaciones por pagar de vigencias anteriores a vigencia por $147.076,174, en noviembre  se hace un traslado por  1,051,618,910, con lo que se paso de un presupuesto de $14,866,625,000  a $22,184,840,084.00.   El acumulado de ejecución presupuestal a Dic 31 fue de $19,466,060,027 con lo que la ejecución queda en 87,74%
Los $2.650.000.000 fueron asignados por el CONFIS para un proyecto específico de ayuda a mujeres desprotegidas,  cuya licitación fue declarada desierta</t>
  </si>
  <si>
    <t>En Junio llego una adición presupuestal  por $6,119,520,000 y en julio se traslado de obligaciones por pagar de vigencias anteriores a vigencia por $147.076,174 y en  noviembre  se hace un traslado por  1,051,618,910, con  lo que se paso de un presupuesto de $14,866,625,000  a $22,184,840,084.00. El giro acumulado a diciembre 31 fue de $8.316.568.739,  que da un 10,82% de giros realizados.
De haberse mantenido el valor del presupuesto inicial el indicador sería 15,38%</t>
  </si>
  <si>
    <t xml:space="preserve"> El valor base final  del rubro 3.3.6 al final al 31 de diciembre de 2015   fue de $14.808.571.205.  El acumulado de giros  al 31 de diciembre fue de $13.777.746.757
El valor base final del rubro 3.1.8 al 31 de diciembre de 2015 fue de $278.693.319  y el acumulado de giro al 31 de diciembre fue de $244.996.117
Así, el valor base total de obligaciones por pagar es de $15.087.264.524
Para un valor total de giros de obligaciones por pagar de 14.022.742.874
El incremento en la ejecución se debe a que se está trabajando en el proyecto de depuración de obligaciones por pagar</t>
  </si>
  <si>
    <t xml:space="preserve">         Pagado                   Programado                     % Ejec.
Oct    2.540.617.118            2.540.617.118     100,00%
Nov     2.260.232.750          2.260.818.459      99,97%
Dic       4.593.435.020         4.601.367.295      99,83%
4to trim 9.394.284.888     9.402.802.872     99,91%
Total año 22.845.737.888    22.882.514.282    99,84%
</t>
  </si>
  <si>
    <r>
      <t xml:space="preserve">   Mes        Ingresos        Registros   % Ejec. 
Jul                43                     43             100
Ago             40                     40             100
Sep                                               
3</t>
    </r>
    <r>
      <rPr>
        <vertAlign val="superscript"/>
        <sz val="10"/>
        <color indexed="8"/>
        <rFont val="Arial"/>
        <family val="2"/>
      </rPr>
      <t>er</t>
    </r>
    <r>
      <rPr>
        <sz val="10"/>
        <color indexed="8"/>
        <rFont val="Arial"/>
        <family val="2"/>
      </rPr>
      <t xml:space="preserve"> trim      83                 83            100</t>
    </r>
  </si>
  <si>
    <t>Mes        Ingresos        Registros   % Ejec. 
Oct                32                    32             100
Nov              38                     38             100
              Dic              33                      33            100             
4to trim       103                  103            100</t>
  </si>
  <si>
    <r>
      <t xml:space="preserve">   Mes        Ingresos        Registros   % Ejec. 
Jul                43                     43             100
Ago             40                     40             100
Sep                                               
3</t>
    </r>
    <r>
      <rPr>
        <vertAlign val="superscript"/>
        <sz val="10"/>
        <color indexed="8"/>
        <rFont val="Arial"/>
        <family val="2"/>
      </rPr>
      <t>er</t>
    </r>
    <r>
      <rPr>
        <sz val="10"/>
        <color indexed="8"/>
        <rFont val="Arial"/>
        <family val="2"/>
      </rPr>
      <t xml:space="preserve"> trim      83                 83           100</t>
    </r>
  </si>
  <si>
    <t>En oct  radicaron 197 PQRS
En Nov radicaron 141 PQRS
En Dic radicaron 190 PQRS
Total de PQRS radicadas en el trimestre 528
A 31 de diciembre estaban pendiente de tramite 25</t>
  </si>
  <si>
    <t>Se fallaron 30 de establecimientos de comercio y 2 de espacio publico</t>
  </si>
  <si>
    <t>Se fallaron 12 proceos  de establecimientos de comercio</t>
  </si>
  <si>
    <t xml:space="preserve">Se dictaron 29 Actos Administrativos  dentro de los cuales están: formulación de cargos, liquidación de multa, archivo, tramite a recursos de reposición, revocatoria.
</t>
  </si>
  <si>
    <t>SE FALLARON 5 ACTUACIONES ADMINISTRATIVAS APERTURADAS ENTRE EL 2011 AL 2013 QUEDANDO PENDIENTE POR FALLAR 9 A.A. PARA CUMPLIR LA META YA QUE EN ALGUNAS ACTUACIONES SE ENCUENTRAN CON ALEGATOS DE CONCLUSION O CON AUTO DE PRUEBAS.</t>
  </si>
  <si>
    <t>Se llevaron a cabo 7 charlas de prevención para espacio público</t>
  </si>
  <si>
    <t>Dado que la meta se cumplió en el tercer  trimestre, no se programaron actividades de prevención para este trimestre</t>
  </si>
  <si>
    <t>Se realizaron 10 operativos de control para establecimientos de comercio</t>
  </si>
  <si>
    <t>Carpeta de operativos de control</t>
  </si>
  <si>
    <t>Se llevaron a cabo 29 operativos de control de espacio publico</t>
  </si>
  <si>
    <t>No se realiza actividad alguna porque se ve reflejada en en el consolidado del trabajo comunitario</t>
  </si>
  <si>
    <t>Para este trimestre los inspectores fallaron 118 expedientes.</t>
  </si>
  <si>
    <t>La línea base son 580 acciones policivas radicadas promedio esperadas para el 2015, por lo cual se toma 116 como el 20% de las decisiones a tomar.
Para este periodo los inspectores fallaron 125 expedientes</t>
  </si>
  <si>
    <t xml:space="preserve">Ser realizaron 429 conciliaciones en 60 dias cumpliendo con la meta. </t>
  </si>
  <si>
    <t>Para el 4to trimestre se recibieron 511 aprehensiones y se evacuaron 270.
Durante el 2015 se recibieron entre acumuladas y nuevas un total de 1865 actas de aprehensión en el trimestre. Se evacuaron 1622. Se cumplió con la meta.</t>
  </si>
  <si>
    <t>Se supero ampliamente la meta debido a compromisos adquiridos con subsecretaria local de integración social (proyecto N° 753 -Fortalecimiento de la gestión local para el desarrollo humano en Bogotá) y policía nacional a nivel distrital</t>
  </si>
  <si>
    <t>Se cumplió satisfactoriamente con la meta establecido debido a la apertura adicional de una jornada en el Pac Santa Barbara y a la integración de tres (3) nuevos conciliadores en equidad avalados por el ministerio de justicia</t>
  </si>
  <si>
    <t>El cumplimiento de la meta se superó  con un alto porcentaje de calificación lo que presenta un promedio de 14.30 sobre 15, o que refleja una buena atención al ciudadano en las mediaciones e igualmente se realizó acompañamiento a los acuerdos establecidos en el transcurso del año</t>
  </si>
  <si>
    <t xml:space="preserve">Se realizaron dos (2) charlas pedagógicas: 1) Sala de conciliación Secretaria General de Inspecciones -Charla relaciones de vecindad Edificio San Felipe-. 2) RESTAURANTE CHOPINAR  Carrera 7 No. 21-59 -Charla sobre manejo de residuos solidos y basuras-. No se cumplio la meta  </t>
  </si>
  <si>
    <t>De 81 actividades a realizar, se han realizado 20.</t>
  </si>
  <si>
    <t>Se esperaban 16339 beneficiarios anuales es decir el 25% del cuatrienio; al 31 de Dic de 2015 se cuenta con una ejecución física de  14841
Se calculo 14,841 beneficiarios *25% / el total esperado para el cuatrienio 16,339 = 20% a junio, como se tomo el acumulado se resto el 5% obtenido en el primer semestre
En resumen en el 2015 se beneficiaron 3,710 de los 16339 esperados para el cuatrenio</t>
  </si>
  <si>
    <t>En Junio llego una adición presupuestal  por $6,119,520,000 y en julio se traslado de obligaciones por pagar de vigencias anteriores a vigencia por $147.076,174 y en  noviembre  se hace un traslado por  1,051,618,910, con  lo que se paso de un presupuesto de $14,866,625,000  a $22,184,840,084.00. El giro acumulado a diciembre 31 fue de $8.316.568.739,  que da un 10,82% de giros realizados. De haberse mantenido el valor del presupuesto inicial el indicador sería 15,38%</t>
  </si>
  <si>
    <t>Presupuesto</t>
  </si>
  <si>
    <t>Ejecución</t>
  </si>
  <si>
    <t>% Cumplimiento Ejecución</t>
  </si>
  <si>
    <t>Proceso</t>
  </si>
  <si>
    <t>AAP</t>
  </si>
  <si>
    <t>Agenciamiento  de Asuntos Políticos</t>
  </si>
  <si>
    <t>AC</t>
  </si>
  <si>
    <t>Atención a la Ciudadanía</t>
  </si>
  <si>
    <t>GC</t>
  </si>
  <si>
    <t>Comunicaciones</t>
  </si>
  <si>
    <t>GAR</t>
  </si>
  <si>
    <t xml:space="preserve">Adquisicion de recursos </t>
  </si>
  <si>
    <t>GNJ</t>
  </si>
  <si>
    <t>Normativa y Jurídica</t>
  </si>
  <si>
    <t>GCSI</t>
  </si>
  <si>
    <t>Convivencia Y Seguridad</t>
  </si>
  <si>
    <t>GDL</t>
  </si>
  <si>
    <t>Desarrollo Local</t>
  </si>
  <si>
    <t>GAPP</t>
  </si>
  <si>
    <t>Agenciamiento de Política Publica</t>
  </si>
  <si>
    <t>Totales</t>
  </si>
  <si>
    <t>1. Algunas de las modificaciones realizadas al plan de adquisición no son aprobadas por el Comité de Contratación.</t>
  </si>
  <si>
    <t>2. Se evidencia la inasistencia de los miembros del comité sin justificaciones de las ausencias</t>
  </si>
  <si>
    <t>3. - En la matriz del Banco de Iniciativas Ciudadanas no se encuentran unificadas todas las iniciativas y no se publican en la página web local, ni se emiten los informes al Consejo de Planeación Local y la Junta Administradora Local.</t>
  </si>
  <si>
    <t>4. - En el Documento Técnico Soporte y la ficha EBI se evidencian las justificaciones de los cambios realizados en los proyectos dentro de estos documentos, pero no se evidencia el visto bueno emitido por el Coordinador Administrativo y financiero</t>
  </si>
  <si>
    <t>5. - No se diligencia completamente el formato del plan de acción, falta incluir indicadores</t>
  </si>
  <si>
    <t>6. - De acuerdo con el informe reportado del primer semestre del 2015, se evidenciaron las siguientes carencias: en el punto 1.2 no se cuenta con las gráficas correspondientes a la Asistencia delegados sectoriales en el punto1.3 falta la celda donde se evalúa Conocimiento programas, proyectos y acciones del sector en el territorio en los puntos 2.1, 2.2, y 2.3 no están los formatos establecidos en el punto 2.4 no se encuentra dentro del informe y en el punto 3. No se incluyeron las fortalezas, como lo indica la Guía Elaboración de informe semestral de actividades y evaluación Consejo Local de Gobierno.</t>
  </si>
  <si>
    <t xml:space="preserve">Control Interno Contable 2015
• MULTAS
Con respecto a la contabilización de las multas, se observó que se han realizado los registros de acuerdo con lo informado por las oficinas Asesora Jurídica y Asesora de Obras, sin embargo verificados los saldos de lo reportado por la Oficina Asesora Jurídica con corte al día 31 de Agosto de 2015, se evidencia que no se reportó a contabilidad correctamente el valor de la multa impuesta mediante querella 30-2011 por $1.847.970, la cual se encuentra en firme y ejecutoriada desde el mes de julio de 2015 y por ende en proceso de cobro persuasivo, razón por la que debería encontrarse registrada en la cuenta 1401020202 Multas cobro persuasivo Ley 232, no obstante se encontró registrada en la cuenta 8120 Litigios y Demandas, afectando el cumplimiento de los criterios de veracidad de las cifras del balance y la oportunidad de los registros contables.
</t>
  </si>
  <si>
    <t xml:space="preserve">• BIENES DE USO PÚBLICO EN CONSTRUCCIÓN
Revisados los saldos de la cuenta 1705 Bienes de uso público en construcción con corte al 31 de agosto de 2015 comparados con los documentos fuente, que para este caso se mencionan algunos contratos de obra y de interventoría que se encontraron registrados en el libro auxiliar de la cuenta citada, se observó que algunos de ellos se encuentran terminados y liquidados como se describe a continuación:
CONTRATO CONTRATISTA ESTADO DEL CONTRATO SALDO A 31-08-2015
CUENTA 1705
124-2013 ASMI CONSTRUCTORES Liquidado $1.699.971.008,00
108-2011 CNG INGENIERIA SAS Liquidado $134.546.969,00
141-2011 CONSORCIO HJ SANTA FE Liquidado $266.211.845,00
147-2011 CONSORCIO SANTA FE 2012 Liquidado $1.091.753.601,82
</t>
  </si>
  <si>
    <t>2. Con respecto a la Planeación de la toma física de inventarios se encontró un radicado 20150320155331, sin firma, en el cual se menciona que se realizó un Comité de Inventarios, del mismo no se ha elaborado el acta con las decisiones tomadas y los compromisos fijados, lo que impide que sea un mecanismo de control efectivo.</t>
  </si>
  <si>
    <t>Verificada la matriz de riesgos del proceso Gestión y Adquisición de Recursos de la Alcaldía Local de Santa fe se identifican algunos asociados al proceso contable, sin embargo no se encontró evento de riesgo asociado con la información que deben suministrar al área contable los demás procesos de la Entidad, atendiendo lo establecido por la Resolución 357/2008, en su numeral 3.19.1 “Responsabilidad de quienes ejecutan procesos diferentes al contable: El proceso contable de las entidades públicas está interrelacionado con los demás procesos que se llevan a cabo, por lo cual, en virtud de la característica recursiva que tienen todos los sistemas, y en aras de lograr la sinergia suficiente que permita alcanzar los objetivos específicos y organizacionales, todas las áreas de las entidades que se relacionen con la contabilidad como proceso cliente, tienen el compromiso de suministrar los datos que se requieran, en el tiempo oportuno y con las características necesarias, de tal modo que estos insumos sean canalizados y procesados adecuadamente”.</t>
  </si>
  <si>
    <t>La Entidad no aportó Informe Final de la Toma Física o Inventarios para la vigencia 2015, incumpliendo lo establecido en el numeral 4.10 “Toma Física o Inventario” de la Resolución 001 de 2001.</t>
  </si>
  <si>
    <t>El contenido de las Notas a los Estados Financieros, no revela en forma suficiente la información en el aspecto cualitativo, como información adicional y análisis específicos que generen valor agregado a la información financiera, económica, social y ambiental contenida en los estados contables. No cumple a cabalidad con lo establecido en el Régimen de Contabilidad Pública Libro II Capitulo II Numerales 16 al 26.</t>
  </si>
  <si>
    <t xml:space="preserve">Hallazgo reiterado, viene del plan de mejora 311
Si bien se actualizó la política contable, no se tuvieron en cuenta la totalidad de las observaciones realizadas por la Oficina de Control Interno
1.Si bien se cuenta con un documento de pol¿tica contable, esta:
a.No cuenta con un glosario que permita comprender conceptos como ¿Transacciones autom¿ticas¿, ¿Transacciones manuales¿ entre otras.
b.No menciona el plazo en que las transacciones, hechos y operaciones realizadas en cualquier dependencia del FDL sean oportunas y debidamente informadas al ¿rea contable. 
c.No establece los documentos soportes id¿neos estandarizados por la entidad para los registros contables.
d.No establece niveles de autoridad y responsabilidad de las etapas del proceso contable, en la pol¿tica existente se define la responsabilidad en las etapas del proceso contable sin hacer menci¿n de los niveles de autoridad sobre el mismo.
e.Establece en el numeral tercero (3) que cada ¿transacci¿n manual¿ debe ir acompa¿ada de soportes, aspecto que contraviene lo mencionado en el procedimiento de gesti¿n documental, en el entendido de que los soportes de las transacciones contables deben reposar en las carpetas de origen.
f.Establece que la informaci¿n contable se conserva en medio f¿sico y/o magn¿tico, lo que puede generar divergencia de criterios al momento de operar el proceso contable en cada FDL.
g.Establece aspectos generales de la operaci¿n del proceso contable, llama la atenci¿n que tambi¿n mencione aspectos puntuales operativos que deber¿an ser parte de un cronograma de actividades de contabilidad o de los procedimientos.
h.En el contenido del ¿cronograma de actividades de contabilidad¿, deber¿a estandarizar tanto para la calidad y cantidad de informaci¿n como para el plazo y los proveedores de la misma, sin que dependa de actos administrativos locales que originen disparidad de apreciaciones.
i.Contiene imprecisiones que requieren de ajuste en el entendido de que la misma menciona Alcald¿as menores cuando el Decreto 539 de 2006 establece claramente que se trata de Alcald¿as Locales.
</t>
  </si>
  <si>
    <t xml:space="preserve">Hallazgo reiterado, viene del plan de mejora 311
Si bien se actualizo la politica contable, no se tuvieron en cuenta la totalidad de las observaciones realizadas por la Oficina de Control Interno
2. Los procedimientos e instructivos del proceso contable no son claros, no definen las ¿reas que deben reportar informaci¿n al ¿rea contable, la clase de informaci¿n, los plazos, no precisan los documentos id¿neos para cada uno de los tipos de registros contables y para la realizaci¿n de las conciliaciones no establecen formatos y dem¿s informaci¿n que el ¿rea requiere para mantener informaci¿n financiera confiable de conformidad con las normas y principios contables. Auditorias internas de gestion Santa Fe Gestion y Adquisición de Recursos Local Alcalde Santafe / Alcalde(sa) Local Luz Marlen Santos Veloza / Profesional Universitario 0%  Abierto Ver Acciones  Ver Acciones  
</t>
  </si>
  <si>
    <t>Auditorias externas al subsistema de gestión de calidad</t>
  </si>
  <si>
    <t>1.1. El sistema de control interno no se ha fortalecido de tal manera que se minimicen los riesgos de perdida sobre los activos de propiedad o a cargo del Fondo de Desarrollo Local, toda vez que no son aplicados de manera adecuada los manuales de procedimientos e instructivos relacionados con la efectiva salvaguarda de los bienes, lo cual es contrario a la directriz dada en el párrafo 2° del numeral 1.1. de la Directiva 003 de 2013 hallazgo que se formuló con fundamento en los hechos individualizados en los literales a al f del hallazgo 1.1. del Informe de Control Interno con radicado 20153710616783 del 11 de noviembre de 2015 (Ver informe para establecer las correspondientes acciones de mejora).</t>
  </si>
  <si>
    <t>2.1. No se ha reforzado el sistema de control interno con efectivas medidas de conservación que minimicen los riesgos de pérdida o destrucción del acervo documental, lo cual es contrario a lo indicado en el párrafo 3° de la Directiva 003 de 2003 hallazgo que se formuló con fundamento en los hechos individualizados en los literales a al g del hallazgo 1.1. del Informe de Control Interno con radicado 20153710616783 del 11 de noviembre de 2015 (Ver informe para establecer las correspondientes acciones de mejora).</t>
  </si>
  <si>
    <t>3. Aunque en el mes de junio se dictaron charlas relacionadas con el Sistema Integrado de Gestión, con énfasis en temas de gestión documental, y a pesar que los empleados y contratistas de la Alcaldía Local cuentan con la instrucción y el acceso a la intranet para consultar los manuales de funciones y los procedimientos, con los hallazgos antedichos se evidencia que no se aplican adecuadamente dichos instrumentos, por lo que debe cumplirse la directriz dada en el párrafo sexto del numeral 2° de la Directiva 003 de 2013, a fin de generar en ellos las habilidades necesarias para desarrollar su labor de manera eficiente y en términos de mejora continua.</t>
  </si>
  <si>
    <t>4. En la matriz de riesgo del Proceso Gestión y Adquisición de Recursos con fecha de actualización del 20 de octubre de 2014, se encuentra el riesgo 16 que podría asociarse con el objeto auditado, el cual se encuentra calificado como “MODERADO” en la “ZONA DE RIESGO” (antes de controles) y como “ACEPTABLE” en la “ZONA DE RIESGO RESIDUAL” (con controles) por lo que recomendamos revisar y/o actualizar la matriz, toda vez que podemos concluir que el riesgo de pérdida de documentos podría materializarse por la “Carencia de espacios adecuados para su conservación y custodia”.</t>
  </si>
  <si>
    <t>Incumplimiento de los lineamientos y de la normatividad vigente, de acuerdo con la verificación aleatoria en el Aplicativo de Gestión Documental ORFEO, de 20 casos con corte a 15 de febrero de 2016, en el trámite de las PQRS y de la entrega oportuna de las respuestas a los peticionarios, encontrándose: 
1. Debilidad en la oportunidad de respuesta al peticionario. 
Los radicados No. 20150320073732, 20156240253812, 20150320094842, 20150320065432, 20150320066112 y 20150320066942 no presentan respuesta asociada por parte de la dependencia competente que concluye la respuesta al peticionario y el único archivo anexo es la respuesta de Carta Informativa de la Oficina de Atención al Ciudadano.
- Los radicados 20150320108652 y 20150380108162 presentan respuesta fuera de los términos establecidos.
Incumpliendo lo consagrado en el artículo 23 de la Constitución Nacional, el artículo 14 de la Ley 1755 de 2015, los lineamientos incluidos en el procedimiento 1D-SAC-P001, Política 4. Decreto 371 de 2010, articulo 3, numeral 1. Decreto 124 de 2016 de la Presidencia de la República, Anexo Estrategias para la Construcción del Plan Anticorrupción y de Atención al Ciudadano - Versión 2 , Cuarto componente: Mecanismos para mejorar la atención al ciudadano.
- Los radicados Nos. 20150320106672, 20150320100512 y 20150320065992 no presentan Carta Informativa por parte de la Oficina de Atención al Ciudadano, incumpliendo lo establecido en el procedimiento Trámite a los requerimientos presentados por la ciudadanía 1D-SAC-P001 , en la actividad 8.
2. No se evidencia trazabilidad del trámite, en el aplicativo de Gestión Documental ORFEO.
Las solicitudes No. 20150320112402 y 20150320065032 aunque presentan respuesta proyectada del área competente no se evidencia documento digitalizado con la firma del Alcalde Local en el aplicativo ORFEO, ni evidencia del acuse de recibo por parte del peticionario para garantizar la trazabilidad de la información y transparencia de la gestión incumpliendo los lineamientos incluidos en el Manual para el trámite de comunicaciones 1D-GAR-M008, Política 3.1 y 3.2.
3. Fallas en la clasificación de las peticiones o no asociadas al SDQS.
- Se encuentran sin clasificar en el aplicativo ORFEO los radicados Nos.20150320108652, 20150320112402, 20150320063872, 20150320064062, 20150320100512, 20150320065032 y sin registro en el SDQS los radicados No. 20150320064032, 20150320064062, 20150320073732, 20150320100512, 20150320065032, denotando incumplimiento de los lineamientos establecidos en el Manual de Atención a la Ciudadanía 1D-SAC-M001 , numeral 2, línea 3 y el Manual para el Trámite de Comunicaciones 1D-GAR-M008, Numeral 1.7. y 1.9 .
RECOMENDACIONES
- Fortalecer el manejo del aplicativo Orfeo.
- Generar controles que permitan dar respuestas en términos de ley y que den solución al asunto planteado en la petición.
- Realizar mayor seguimiento al cumplimiento de los lineamientos establecidos por el proceso de Atención a la Ciudadanía, el cual es transversal en la entidad y al procedimiento de Gestión Documental- Manual de comunicaciones.</t>
  </si>
  <si>
    <t xml:space="preserve">Se verifica el Expediente 15734, Querella que se radico el 6 de Nv de 2013 el 14 se cita la conciliación, se reprograma por inasistencia y el 21 de nov se hace reparto a la inspección 3ª- el 27 de Nov se avoca conocimienro y se programa visita, se cita el 7 de enero nuevamente pero no asisten ni el querellante ni el perito, el 12 de feb la querellante presenta escrito de desestimiento, se observa que el acto administrativo archivando solamente se produjo el 29 de julio tranascurridos 5 meses. Se recibe el exp 15774, se radico el 3 de dic , el 20 enero 2014 se hace reparto, el 28 de abril, el 20 de mayo de 2014 el querellante desiste y a la fecha no se ha archivado el expediente transcurridos 17 meses. En el aplicativo Si Actúa se re reportan Expedientes sin impulso procesal Mayor a 70 dias 324. En el control que lleva la oficina se relacionan 210 existiendo una diferencia de 114 expedientes. }
Incumpliendo el requisito 7.5.1 Control de la prestación del servicio de la NTCGP 1000:2009. </t>
  </si>
  <si>
    <t xml:space="preserve">Analisis de riesgos por procesos </t>
  </si>
  <si>
    <r>
      <t>*</t>
    </r>
    <r>
      <rPr>
        <sz val="8"/>
        <color rgb="FF000000"/>
        <rFont val="Arial"/>
        <family val="2"/>
      </rPr>
      <t xml:space="preserve"> Matrices de Riesgos de Corrupción</t>
    </r>
  </si>
  <si>
    <t xml:space="preserve">Registro incompleto o inexistente de las actuaciones administrativas y querellas en el Aplicativo SI-ACTUA </t>
  </si>
  <si>
    <t>PLAN</t>
  </si>
  <si>
    <t>Estado</t>
  </si>
  <si>
    <t>Validación</t>
  </si>
  <si>
    <t>Reformulación</t>
  </si>
  <si>
    <t>Formulación</t>
  </si>
  <si>
    <t>VIGENCIA 2016</t>
  </si>
  <si>
    <t>Alcaldía Local de SANTA FE</t>
  </si>
  <si>
    <t>Alcalde Local de SANTA FE</t>
  </si>
  <si>
    <r>
      <t xml:space="preserve">Formular </t>
    </r>
    <r>
      <rPr>
        <sz val="10"/>
        <color indexed="10"/>
        <rFont val="Arial"/>
        <family val="2"/>
        <charset val="1"/>
      </rPr>
      <t xml:space="preserve">1 </t>
    </r>
    <r>
      <rPr>
        <sz val="11"/>
        <color theme="1"/>
        <rFont val="Calibri"/>
        <family val="2"/>
        <scheme val="minor"/>
      </rPr>
      <t>plan de comunicaciones para la generación, acceso y democratización de la información soporte para la toma de decisiones de la entidad. (Meta nivel local).</t>
    </r>
  </si>
  <si>
    <t>Formular 6 estrategias de comunicación externa  e interna para la entidad. (Meta nivel local).</t>
  </si>
  <si>
    <r>
      <t xml:space="preserve">Registrar el </t>
    </r>
    <r>
      <rPr>
        <sz val="10"/>
        <color indexed="10"/>
        <rFont val="Arial"/>
        <family val="2"/>
        <charset val="1"/>
      </rPr>
      <t>100</t>
    </r>
    <r>
      <rPr>
        <sz val="10"/>
        <color indexed="8"/>
        <rFont val="Arial"/>
        <family val="2"/>
        <charset val="1"/>
      </rPr>
      <t>% de las modificaciones al Plan Anual de Adquisiciones en el SECOP y página web de la Alcaldía antes de iniciar el proceso contractual.</t>
    </r>
  </si>
  <si>
    <t>Modificaciones al Plan Anual de Adquisiciones, registradas en el SECOP y página web de la Alcaldía antes de iniciar el proceso contractual.</t>
  </si>
  <si>
    <t>El indicador mide el porcentaje de modificaciones al plan de adquisiciones que se  registran en el SECOP y página Web de la alcaldía antes del inicio del proceso contractual.
Decreto 1510 de 2013. Artículo 7°. Actualización del Plan Anual de Adquisiciones. La Entidad Estatal debe actualizar el Plan Anual de Adquisiciones por lo menos una vez durante su vigencia, en la forma y la oportunidad que para el efecto disponga Colombia Compra Eficiente. 
La Entidad Estatal debe actualizar el Plan Anual de Adquisiciones cuando: (i) haya ajustes en los cronogramas de adquisición, valores, modalidad de selección, origen de los recursos; (ii) para incluir nuevas obras, bienes y/o servicios; (iii) excluir obras, bienes y/o servicios; o (iv) modificar el presupuesto anual de adquisiciones
Manual de Contratación Local 2L-GAR-M1
Plan Anticorrupción y de Atención a la Ciudadanía</t>
  </si>
  <si>
    <t>N° de modificaciones al plan de adquisiciones registradas en el SECOP y página web de la Alcaldía antes de iniciar el proceso contractual</t>
  </si>
  <si>
    <r>
      <t xml:space="preserve">Comprometer el </t>
    </r>
    <r>
      <rPr>
        <sz val="11"/>
        <color theme="1"/>
        <rFont val="Calibri"/>
        <family val="2"/>
        <scheme val="minor"/>
      </rPr>
      <t>97%</t>
    </r>
    <r>
      <rPr>
        <sz val="10"/>
        <color indexed="8"/>
        <rFont val="Arial"/>
        <family val="2"/>
        <charset val="1"/>
      </rPr>
      <t xml:space="preserve"> del presupuesto de inversión asignado a la vigencia 2016</t>
    </r>
  </si>
  <si>
    <t>El indicador mide el porcentaje del presupuesto de inversión, asignado a la vigencia, que se ha  comprometido de manera acumulada 
El presupuesto que se tiene en cuenta es el de inversión ( Código 3-3-1 Directa)</t>
  </si>
  <si>
    <t>VALOR PRESUPUESTO DE INVERSIÓN $18,919,228,000</t>
  </si>
  <si>
    <t>Girar del 40% del presupuesto de inversión asignado a la vigencia 2016</t>
  </si>
  <si>
    <r>
      <t>Girar el 93</t>
    </r>
    <r>
      <rPr>
        <sz val="10"/>
        <color indexed="8"/>
        <rFont val="Arial"/>
        <family val="2"/>
      </rPr>
      <t>%</t>
    </r>
    <r>
      <rPr>
        <sz val="10"/>
        <color indexed="8"/>
        <rFont val="Arial"/>
        <family val="2"/>
        <charset val="1"/>
      </rPr>
      <t xml:space="preserve"> de las obligaciones por pagar constituidas con recursos de la vigencia 2015 y años anteriores (Inversión y funcionamiento) </t>
    </r>
  </si>
  <si>
    <t>Obligaciones por pagar constituidas con recursos de la vigencia 2015 y años anteriores giradas 
(Inversión y funcionamiento)</t>
  </si>
  <si>
    <t>El indicador mide el porcentaje de giros de las obligaciones por pagar de las obligaciones constituidas  con recursos de la vigencia 2015 y años anteriores en inversión y funcionamiento 
Para obligaciones por pagar en funcionamiento se tendrá en cuenta el rubro (Código 3-1-8 Obligaciones por pagar) y para inversión el rubro (3-3-6 Obligaciones por pagar)</t>
  </si>
  <si>
    <t>VALOR OBLIGACIONES POR PAGAR 3,1,8 $579.180.000 y 3,3,6 $19.117.432.000,00  para un total de $19.696.612.000</t>
  </si>
  <si>
    <r>
      <t xml:space="preserve">Cumplir el </t>
    </r>
    <r>
      <rPr>
        <sz val="10"/>
        <color indexed="10"/>
        <rFont val="Arial"/>
        <family val="2"/>
        <charset val="1"/>
      </rPr>
      <t>97%</t>
    </r>
    <r>
      <rPr>
        <sz val="10"/>
        <color indexed="8"/>
        <rFont val="Arial"/>
        <family val="2"/>
        <charset val="1"/>
      </rPr>
      <t xml:space="preserve"> del PAC mensualmente </t>
    </r>
  </si>
  <si>
    <r>
      <t xml:space="preserve">Ingresar </t>
    </r>
    <r>
      <rPr>
        <sz val="10"/>
        <color indexed="10"/>
        <rFont val="Arial"/>
        <family val="2"/>
        <charset val="1"/>
      </rPr>
      <t>100</t>
    </r>
    <r>
      <rPr>
        <sz val="10"/>
        <color indexed="8"/>
        <rFont val="Arial"/>
        <family val="2"/>
        <charset val="1"/>
      </rPr>
      <t>% de los bienes y elementos adquiridos para los proyectos de inversión en el aplicativo SAI Y SAE en los tiempos estipulados en el contrato evidenciando su trazabilidad</t>
    </r>
  </si>
  <si>
    <t>Bienes y elementos adquiridos por los proyectos de inversión ingresados en el aplicativo SAI Y SAE.</t>
  </si>
  <si>
    <t xml:space="preserve">El indicador mide el porcentaje de bienes y elementos para los proyectos de inversión que son ingresados al almacén a través del  aplicativo SAI y SAE </t>
  </si>
  <si>
    <t>N° de bienes y elementos ingresados en el aplicativo SAI Y SAE</t>
  </si>
  <si>
    <t>N° de bienes y elementos adquiridos para los proyectos de inversión</t>
  </si>
  <si>
    <r>
      <t xml:space="preserve">Legalizar el </t>
    </r>
    <r>
      <rPr>
        <sz val="10"/>
        <color indexed="10"/>
        <rFont val="Arial"/>
        <family val="2"/>
        <charset val="1"/>
      </rPr>
      <t>100</t>
    </r>
    <r>
      <rPr>
        <sz val="10"/>
        <color indexed="8"/>
        <rFont val="Arial"/>
        <family val="2"/>
        <charset val="1"/>
      </rPr>
      <t>% de la entrega de los bienes y elementos adquiridos para proyectos de inversión en un término no superior a 75 días evidenciando su trazabilidad</t>
    </r>
  </si>
  <si>
    <t>Entrega de Bienes y elementos legalizados en un termino no superior a xxx días</t>
  </si>
  <si>
    <t>El indicador mide el porcentaje de bienes y elementos legalizados para los proyectos de inversión que fueron ingresados al almacén a través del aplicativo SAI y SAE</t>
  </si>
  <si>
    <t xml:space="preserve"> N° de bienes y elementos legalizados en el lapso de tiempo establecido en la meta </t>
  </si>
  <si>
    <t>N°  de bienes y elementos ingresados en el aplicativo SAI Y SAE</t>
  </si>
  <si>
    <t xml:space="preserve"> La trazabilidad se evidencia a través de aplicativo SAE-SAI
El tiempo máximo se toma de el mayor valor (de un conjunto de tiempos) de las salidas del almacén:  75 días
</t>
  </si>
  <si>
    <t xml:space="preserve">Fortalecer la gobernabilidad local en materia policiva y administrativa, mediante acciones de prevención, inspección, vigilancia y control
Promover el acceso al sistema de justicia, mediante mecanismos efectivos, incluyentes y diferenciales que conlleven a la garantía de los derechos humanos individuales y colectivos. </t>
  </si>
  <si>
    <r>
      <t xml:space="preserve">
Responder </t>
    </r>
    <r>
      <rPr>
        <sz val="10"/>
        <color indexed="10"/>
        <rFont val="Arial"/>
        <family val="2"/>
        <charset val="1"/>
      </rPr>
      <t>100</t>
    </r>
    <r>
      <rPr>
        <sz val="10"/>
        <color indexed="8"/>
        <rFont val="Arial"/>
        <family val="2"/>
        <charset val="1"/>
      </rPr>
      <t xml:space="preserve">% de las PQRS de manera integral por régimen de obras, establecimientos de comercio, espacio publico y propiedad horizontal </t>
    </r>
  </si>
  <si>
    <t>El término integral en esta meta hace referencia a a que la respuestas contengan información sobre:
- Entidades a las que se ha oficiado por competencia.
- Orden de trabajo  
Los datos para el calculo del indicador deben tener en cuenta el tiempo legal requerido para dar respuestas a las PQRS. En este sentido, el periodo de tiempo entre la radicación y la respuesta, puede ser un periodo de tiempo que coincida con con un corte trimestral y donde se halle entre dos trimestres consecutivos. Por lo tanto, para el calculo del indicador, deben tenerse en cuenta los datos generados por los PQRS en el trimestre inmediatamente posterior.</t>
  </si>
  <si>
    <r>
      <t xml:space="preserve">Registrar el </t>
    </r>
    <r>
      <rPr>
        <sz val="10"/>
        <color indexed="10"/>
        <rFont val="Arial"/>
        <family val="2"/>
        <charset val="1"/>
      </rPr>
      <t>100</t>
    </r>
    <r>
      <rPr>
        <sz val="10"/>
        <color indexed="8"/>
        <rFont val="Arial"/>
        <family val="2"/>
        <charset val="1"/>
      </rPr>
      <t>% de expedientes (ACTIVOS)  del 2015 y años anteriores en el aplicativo SI ACTUA (Previo inventario de expedientes físicos)</t>
    </r>
    <r>
      <rPr>
        <sz val="10"/>
        <color indexed="12"/>
        <rFont val="Arial"/>
        <family val="2"/>
        <charset val="1"/>
      </rPr>
      <t xml:space="preserve"> Establecimientos de comercio
</t>
    </r>
    <r>
      <rPr>
        <sz val="10"/>
        <color indexed="10"/>
        <rFont val="Arial"/>
        <family val="2"/>
      </rPr>
      <t>NO APLICA</t>
    </r>
  </si>
  <si>
    <r>
      <t xml:space="preserve">
</t>
    </r>
    <r>
      <rPr>
        <sz val="10"/>
        <color indexed="8"/>
        <rFont val="Arial"/>
        <family val="2"/>
        <charset val="1"/>
      </rPr>
      <t>Expedientes anteriores al 2014 en establecimientos de comercio  registrados en el aplicativo SI ACTUA</t>
    </r>
  </si>
  <si>
    <r>
      <t xml:space="preserve">JUSTIFICACIÓN:   A la fecha el 100% de los expedientes activos de establecimientos de comercio se encuentran registrados en SI ACTUA
</t>
    </r>
    <r>
      <rPr>
        <sz val="10"/>
        <color indexed="8"/>
        <rFont val="Arial"/>
        <family val="2"/>
        <charset val="1"/>
      </rPr>
      <t xml:space="preserve">
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t>
    </r>
  </si>
  <si>
    <r>
      <t>Registrar el</t>
    </r>
    <r>
      <rPr>
        <sz val="10"/>
        <color indexed="10"/>
        <rFont val="Arial"/>
        <family val="2"/>
        <charset val="1"/>
      </rPr>
      <t xml:space="preserve"> 100</t>
    </r>
    <r>
      <rPr>
        <sz val="10"/>
        <color indexed="8"/>
        <rFont val="Arial"/>
        <family val="2"/>
        <charset val="1"/>
      </rPr>
      <t xml:space="preserve">% de expedientes (ACTIVOS)  del 2015 y años anteriores en el aplicativo SI ACTUA (Previo inventario de expedientes físicos) </t>
    </r>
    <r>
      <rPr>
        <sz val="10"/>
        <color indexed="12"/>
        <rFont val="Arial"/>
        <family val="2"/>
        <charset val="1"/>
      </rPr>
      <t xml:space="preserve">Espacio Público
</t>
    </r>
    <r>
      <rPr>
        <sz val="10"/>
        <color indexed="10"/>
        <rFont val="Arial"/>
        <family val="2"/>
      </rPr>
      <t>NO APLICA</t>
    </r>
  </si>
  <si>
    <r>
      <t xml:space="preserve">
</t>
    </r>
    <r>
      <rPr>
        <sz val="10"/>
        <color indexed="8"/>
        <rFont val="Arial"/>
        <family val="2"/>
        <charset val="1"/>
      </rPr>
      <t>Expedientes anteriores al 2014 en espacio público registrados en el aplicativo SI ACTUA</t>
    </r>
  </si>
  <si>
    <r>
      <t xml:space="preserve">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t>
    </r>
    <r>
      <rPr>
        <b/>
        <sz val="10"/>
        <rFont val="Arial"/>
        <family val="2"/>
        <charset val="1"/>
      </rPr>
      <t xml:space="preserve">
</t>
    </r>
    <r>
      <rPr>
        <b/>
        <sz val="10"/>
        <rFont val="Arial"/>
        <family val="2"/>
      </rPr>
      <t>JUSTIFICACIÓN:   A la fecha el 100% de los expedientes activos de espacio público se encuentran registrados en SI ACTUA</t>
    </r>
  </si>
  <si>
    <r>
      <t>Registrar el</t>
    </r>
    <r>
      <rPr>
        <sz val="10"/>
        <color indexed="10"/>
        <rFont val="Arial"/>
        <family val="2"/>
        <charset val="1"/>
      </rPr>
      <t xml:space="preserve"> 100</t>
    </r>
    <r>
      <rPr>
        <sz val="10"/>
        <color indexed="8"/>
        <rFont val="Arial"/>
        <family val="2"/>
        <charset val="1"/>
      </rPr>
      <t xml:space="preserve">% de expedientes (ACTIVOS)  del 2015 y años anteriores en el aplicativo SI ACTUA (Previo inventario de expedientes físicos) </t>
    </r>
    <r>
      <rPr>
        <sz val="10"/>
        <color indexed="12"/>
        <rFont val="Arial"/>
        <family val="2"/>
        <charset val="1"/>
      </rPr>
      <t xml:space="preserve">Obras
</t>
    </r>
    <r>
      <rPr>
        <sz val="10"/>
        <color indexed="10"/>
        <rFont val="Arial"/>
        <family val="2"/>
      </rPr>
      <t>NO APLICA</t>
    </r>
  </si>
  <si>
    <r>
      <t xml:space="preserve">
</t>
    </r>
    <r>
      <rPr>
        <sz val="10"/>
        <color indexed="8"/>
        <rFont val="Arial"/>
        <family val="2"/>
        <charset val="1"/>
      </rPr>
      <t>Expedientes anteriores al 2014 en Obras registrados en el aplicativo SI ACTUA</t>
    </r>
  </si>
  <si>
    <r>
      <t xml:space="preserve">La meta hace referencia al registro de expedientes en físico que aún no se han registrado en el SI ACTÚA.
La actualización de los expedientes se asume por procedimiento y no se incluiría en la meta.
La meta se formula para subsanar las debilidades del proceso que no se han podido subsanar por planes de mejoramiento. Por lo tanto el objetivo consiste en tener todos los expedientes en físico registrados en el aplicativo
</t>
    </r>
    <r>
      <rPr>
        <b/>
        <sz val="10"/>
        <rFont val="Arial"/>
        <family val="2"/>
      </rPr>
      <t>JUSTIFICACIÓN:   A la fecha el 100% de los expedientes activos de obras  se encuentran registrados en SI ACTUA</t>
    </r>
  </si>
  <si>
    <t>Proferir 84 actos administrativos pertinentes al control en establecimientos de comercio y espacio público</t>
  </si>
  <si>
    <r>
      <t xml:space="preserve">El indicador mide la cantidad de actos administrativos proferidos en relación con su programación
Los actos administrativos que se miden hacen referencia a:
</t>
    </r>
    <r>
      <rPr>
        <sz val="10"/>
        <color indexed="8"/>
        <rFont val="Arial"/>
        <family val="2"/>
        <charset val="1"/>
      </rPr>
      <t>- formulación de cargos
- sanción
- archivo
- resuelve el recurso de reposición
- perdida de fuerza ejecutoria
Revocatoria
Este indicador obtiene datos del indicador de la meta 6</t>
    </r>
  </si>
  <si>
    <t xml:space="preserve">Los actos administrativos  se refieren a :
formulación de cargos
sanción
archivo
resuelve el recurso de reposición
perdida de fuerza ejecutoria
Revocatoria
la cuales se asumen firmadas por el alcalde local.
</t>
  </si>
  <si>
    <t>Fallar el 13% de las actuaciones administrativas con la primera decisión de fondo  en materia de establecimientos de comercio y espacio publico del 2015 y años anteriores</t>
  </si>
  <si>
    <t xml:space="preserve"> Actuaciones administrativas  en materia de establecimientos de comercio y espacio publico del 2015 y años anteriores falladas con la primera decisión de fondo </t>
  </si>
  <si>
    <r>
      <t xml:space="preserve">La primera decisión de fondo se refiere a: Resolución de sanción o resolución de archivo.
El objetivo consiste en la descongestión de las actuaciones administrativas
</t>
    </r>
    <r>
      <rPr>
        <sz val="10"/>
        <color indexed="8"/>
        <rFont val="Arial"/>
        <family val="2"/>
      </rPr>
      <t>Linea base: 115 expedientes de establecimiento de comercio y 21 expedientes de espacio público para un total de 136</t>
    </r>
  </si>
  <si>
    <t xml:space="preserve">"El indicador mide la cantidad de actos administrativos proferidos en relación con su programación
- Auto de formulación de cargos
- Auto de pruebas
- Resolución de sanción
- resolución de archivo
- resolución que resuelve el recurso de reposición
- resolución de perdida de fuerza ejecutoria
- resoluciòn de revocatoria directa
Este indicador obtiene datos del indicador de la metas 8 y 9
</t>
  </si>
  <si>
    <t>Los actos administrativos se refieren a:
Auto de formulación de cargos
Auto de pruebas
Resolución de sanción
resolución de archivo
resolución que resuelve el recurso de reposición
resolución de perdida de fuerza ejecutoria
resoluciòn de revocatoria directa
la cuales se asumen firmadas por el alcalde local.</t>
  </si>
  <si>
    <r>
      <t xml:space="preserve">Fallar XXX% de las actuaciones administrativas  en materia de obras y urbanismo, aperturadas en el 2012 y años anteriores, con una resolución de conformidad con lo establecido legalmente con base en la labor de impulso procesal
</t>
    </r>
    <r>
      <rPr>
        <sz val="10"/>
        <color indexed="10"/>
        <rFont val="Arial"/>
        <family val="2"/>
      </rPr>
      <t>NO APLICA</t>
    </r>
  </si>
  <si>
    <t>Actuaciones administrativas en materia de obras y urbanismo aperturadas entre el 2012 y años anteriores falladas con resolución</t>
  </si>
  <si>
    <t xml:space="preserve">El indicador mide el porcentaje de expedientes que se  fallan con una única resolución (Una sola medición por expediente)  en relación con el total de expedientes pendientes de fallo
  Las actuaciones son aquellas aperturadas en el 2012 y años anteriores
</t>
  </si>
  <si>
    <t>N°  actuaciones administrativas en obras y urbanismo falladas con resolución del 2012 y años anteriores.</t>
  </si>
  <si>
    <t>N° de expedientes en obras y urbanismo inventariados físicamente del 2012 y anteriores.</t>
  </si>
  <si>
    <r>
      <t xml:space="preserve">JUSTIFICACIÓN:  A la fecha no se tienen expedientes de vigencias anteriores a 2012 sin fallar
</t>
    </r>
    <r>
      <rPr>
        <sz val="10"/>
        <color indexed="8"/>
        <rFont val="Arial"/>
        <family val="2"/>
        <charset val="1"/>
      </rPr>
      <t xml:space="preserve">
Fallo con resolución se refiere a:
Archivo
Liquidación de Multas
Resolución de pago total
Resolución de acuerdo de pago
Revocatoria
Perdida de fuerza ejecutoria
Procedencia de recursos
Se asume como valida una vez firmada por el alcalde local</t>
    </r>
  </si>
  <si>
    <t>Fallar  60% de las actuaciones administrativas con la primera decisión de fondo en materia de obras y urbanismo, aperturadas entre el 2013 al 2015, de conformidad con lo establecido legalmente con base en la labor de impulso procesal.</t>
  </si>
  <si>
    <t xml:space="preserve">Actuaciones administrativas en materia de obras y urbanismo del  2013 al 2015 falladas con la primera decisión de fondo  </t>
  </si>
  <si>
    <t>El indicador mide el porcentaje de expedientes que se  fallan con la primera decisión de fondo en relación con el total de expedientes pendientes de fallo
  Las actuaciones son aquellas aperturadas entre el 2013 al 2015
Las actuaciones administrativas hacen referencia a obras</t>
  </si>
  <si>
    <t>N°  actuaciones administrativas en obras y urbanismo falladas con la primera decisión de fondo del 2013 al 2015</t>
  </si>
  <si>
    <t>N° de expedientes en obras y urbanismo inventariados físicamente del  2013 al 2015</t>
  </si>
  <si>
    <r>
      <t xml:space="preserve">Primer decisión se refiere a resolución:
Sanción
Archivo
Se asume como valida una vez firmada por el alcalde local
</t>
    </r>
    <r>
      <rPr>
        <b/>
        <sz val="10"/>
        <rFont val="Arial"/>
        <family val="2"/>
      </rPr>
      <t>La base son 56 expedientes activos de vigencias 2013 a 2015.  De ellos se espera fallar 34 expedientes</t>
    </r>
  </si>
  <si>
    <r>
      <t xml:space="preserve">Realizar </t>
    </r>
    <r>
      <rPr>
        <sz val="10"/>
        <color indexed="12"/>
        <rFont val="Arial"/>
        <family val="2"/>
      </rPr>
      <t>4</t>
    </r>
    <r>
      <rPr>
        <sz val="10"/>
        <color indexed="12"/>
        <rFont val="Arial"/>
        <family val="2"/>
        <charset val="1"/>
      </rPr>
      <t>0</t>
    </r>
    <r>
      <rPr>
        <sz val="11"/>
        <color theme="1"/>
        <rFont val="Calibri"/>
        <family val="2"/>
        <scheme val="minor"/>
      </rPr>
      <t xml:space="preserve"> operativos de control al funcionamiento en establecimientos de comercio</t>
    </r>
  </si>
  <si>
    <t>Realizar 40 operativos de control de infracciones en obras y urbanismo</t>
  </si>
  <si>
    <r>
      <t>Realizar</t>
    </r>
    <r>
      <rPr>
        <sz val="10"/>
        <color indexed="12"/>
        <rFont val="Arial"/>
        <family val="2"/>
      </rPr>
      <t xml:space="preserve"> </t>
    </r>
    <r>
      <rPr>
        <sz val="10"/>
        <color indexed="12"/>
        <rFont val="Arial"/>
        <family val="2"/>
        <charset val="1"/>
      </rPr>
      <t>108</t>
    </r>
    <r>
      <rPr>
        <sz val="11"/>
        <color theme="1"/>
        <rFont val="Calibri"/>
        <family val="2"/>
        <scheme val="minor"/>
      </rPr>
      <t xml:space="preserve"> operativos de control de ocupación  indebida de espacio público</t>
    </r>
  </si>
  <si>
    <t xml:space="preserve">Evitar 1% de las Peticiones y Quejas recibidas por la Secretaría General de Inspecciones  (PQRS, requerimientos recibidos de manera escrita y verbal) que vayan a reparto como acción policiva, mediante acciones de prevención o mediante Orientación directa  
</t>
  </si>
  <si>
    <t>Peticiones y quejas que no van a reparto como acción policiva por actividades de prevención o por orientación directa.</t>
  </si>
  <si>
    <t xml:space="preserve">El indicador mide el porcentaje de peticiones y quejas que no van a reparto como acciones policivas, lo anterior se logra  mediante actividades de prevención o por orientación directa recibidas mediante los siguientes canales:
(PQRS, Orfeo, Si actúa,  recibidas de manera directa de manera escrita o verbal) 
(como fuentes secundarias de datos para el calculo del indicador se podrán utilizar  documento de apoyo tales como: planillas de atención al usuario, reportes del SIDICCO, libros y  actas)
El remanente de la presente meta pasa a ser el denominador de la meta asociada a querellas y contravenciones repartidas a las inspecciones de policía para el 2016
</t>
  </si>
  <si>
    <t>N° de Peticiones  y quejas (PQRS, Orfeo  y SI ACTÙA recibidas de manera directa de manera escrita o verbal) que no van a reparto como acción policiva</t>
  </si>
  <si>
    <t>N° de Ciudadanos atendidos con registro en ORFEO Y/O SI- ACTUÁ Y/O SDQS</t>
  </si>
  <si>
    <t>SDQS, Orfeo Y SI-ACTÚA</t>
  </si>
  <si>
    <t>Emitir 25% de las decisiones que pongan fin a las acciones policivas radicadas del 2015 y años anteriores</t>
  </si>
  <si>
    <t>Decisiones emitidas que pongan fin a las acciones policivas radicadas del 2015 y años anteriores</t>
  </si>
  <si>
    <t>El indicador mide el porcentaje de procesos policivos finalizados mediante prescripción, desistimiento, conciliación, caducidad o fallo, en relación con el inventario de querellas y contravenciones activas del 2015 y años anteriores que están pendientes de una decisión final.</t>
  </si>
  <si>
    <t>N° de decisiones emitidas que pongan fin a las acciones policivas radicadas en el 2015 y años anteriores</t>
  </si>
  <si>
    <t>N° de querellas y contravenciones  activas al 31 de diciembre del 2015</t>
  </si>
  <si>
    <r>
      <t xml:space="preserve">Decisión se refiere a prescripción, desistimiento, conciliación, caducidad, fallo.
</t>
    </r>
    <r>
      <rPr>
        <b/>
        <sz val="10"/>
        <rFont val="Arial"/>
        <family val="2"/>
      </rPr>
      <t>Linea  base: 718 querellas</t>
    </r>
  </si>
  <si>
    <t xml:space="preserve">Emitir 20% de las decisiones que pongan fin a las acciones policivas radicadas en el 2016 </t>
  </si>
  <si>
    <t xml:space="preserve"> Decisiones emitidas que pongan fin a los proceso radicados en la vigencia 2016</t>
  </si>
  <si>
    <t>El indicador mide el porcentaje de procesos policivos finalizados mediante prescripción, desistimiento, conciliación, caducidad o fallo, en relación con las querellas y contravenciones activas y radicadas en 2016
(El denominador del indicador corresponde a procesos policivos que ingresan por reparto)</t>
  </si>
  <si>
    <t>N°  de decisiones emitidas que pongan fin a las acciones policivas radicadas en el 2016</t>
  </si>
  <si>
    <t>N°  de procesos policivos radicados y activos en la vigencia 2016</t>
  </si>
  <si>
    <t>Lograr en 15 días la realización de la audiencia de conciliación, Secretaría General de las Inspecciones de Policía o Corregidores (tiempo maximo)</t>
  </si>
  <si>
    <r>
      <t>Promedio de días hábiles para la  realizaci</t>
    </r>
    <r>
      <rPr>
        <sz val="11"/>
        <color theme="1"/>
        <rFont val="Calibri"/>
        <family val="2"/>
        <scheme val="minor"/>
      </rPr>
      <t>ón de audiencias de conciliación</t>
    </r>
  </si>
  <si>
    <t>El indicador mide el promedio de días en el cual se están llevando a cabo las audiencias de conciliación efectivamente realizadas
Los días para la medición del indicador se asumen como días hábiles</t>
  </si>
  <si>
    <r>
      <t>Sumatoria de d</t>
    </r>
    <r>
      <rPr>
        <sz val="11"/>
        <color theme="1"/>
        <rFont val="Calibri"/>
        <family val="2"/>
        <scheme val="minor"/>
      </rPr>
      <t>ías hábiles para la realización de todas las audiencias de conciliación</t>
    </r>
  </si>
  <si>
    <t>N° de Audiencias de conciliación realizadas.</t>
  </si>
  <si>
    <t>Evacuar 70% de los procesos generados por retención de bienes por la ocupación del espacio público</t>
  </si>
  <si>
    <t>El indicador mide el porcentaje de procesos evacuados que se reciban durante el trimestre y que son  generados por por retención de bienes por la ocupación indebida del espacio público 
Para evacuar se acude a:
Devolución 
Destrucción
Donación</t>
  </si>
  <si>
    <t>Tramitar 110 informes técnicos entregados por el arquitecto o ingeniero y determinar si amerita actuación administrativa para preliminares de vigencias anteriores a 2016</t>
  </si>
  <si>
    <t xml:space="preserve"> Informes técnicos entregados por el arquitecto o ingeniero y determinar si amerita actuación administrativa para preliminares de vigencias anteriores a 2016, tramitados</t>
  </si>
  <si>
    <t>El indicador mide la evacuación de las preliminares que se encuentran abiertas. En Obras y Urbanismo.  Esto implica cierre de la preliminar o apertura de la actuación  administrativa</t>
  </si>
  <si>
    <t>No de preliminares evacuadas</t>
  </si>
  <si>
    <t>No de preliminares programadas</t>
  </si>
  <si>
    <t>Aplicativo SI ACTUA y expedientes</t>
  </si>
  <si>
    <t xml:space="preserve">Garantizar las condiciones de convivencia pacífica, seguridad humana, el ejercicio de derechos y libertades para contribuir al mejoramiento de la calidad de vida en Bogotá
Promover el acceso al sistema de justicia, mediante mecanismos efectivos, incluyentes y diferenciales que conlleven a la garantía de los derechos humanos individuales y colectivos. </t>
  </si>
  <si>
    <t>Motivar a 260 personas para que cuenten con herramientas en el manejo adecuado de los conflictos</t>
  </si>
  <si>
    <t>Se refiere a personas participantes en talleres de prevención (Motivación) 
Se programaron  260</t>
  </si>
  <si>
    <t>Realizar 80 acompañamientos a procesos sociales de los AVCC  para mejorar los servicios prestados a la comunidad</t>
  </si>
  <si>
    <r>
      <t>Alcanzar el</t>
    </r>
    <r>
      <rPr>
        <sz val="10"/>
        <color indexed="10"/>
        <rFont val="Arial"/>
        <family val="2"/>
        <charset val="1"/>
      </rPr>
      <t xml:space="preserve"> 85</t>
    </r>
    <r>
      <rPr>
        <sz val="10"/>
        <color indexed="8"/>
        <rFont val="Arial"/>
        <family val="2"/>
        <charset val="1"/>
      </rPr>
      <t>% en el nivel de satisfacción del servicio de todo el proceso de mediación institucional</t>
    </r>
  </si>
  <si>
    <r>
      <t xml:space="preserve">Realizar xxx actividades orientadas a la prevención de la conflictividad de cada localidad 
</t>
    </r>
    <r>
      <rPr>
        <sz val="10"/>
        <color indexed="10"/>
        <rFont val="Arial"/>
        <family val="2"/>
      </rPr>
      <t>NO APLICA</t>
    </r>
  </si>
  <si>
    <t>La responsabilidad de la meta recae en las casas de justicia,</t>
  </si>
  <si>
    <r>
      <t xml:space="preserve">Realizar xxx actividades de promoción que permitan posicionar los servicios de las casas de justicia (afiches, plegables, web, etc)
</t>
    </r>
    <r>
      <rPr>
        <sz val="10"/>
        <color indexed="10"/>
        <rFont val="Arial"/>
        <family val="2"/>
      </rPr>
      <t>NO APLICA</t>
    </r>
  </si>
  <si>
    <t>En la actualidad la Alcaldía no tiene casa de justicia</t>
  </si>
  <si>
    <r>
      <t xml:space="preserve">Realizar xxx actividades de atención extra murales o en las casas de justicia móvil
</t>
    </r>
    <r>
      <rPr>
        <sz val="10"/>
        <color indexed="10"/>
        <rFont val="Arial"/>
        <family val="2"/>
      </rPr>
      <t>NO APLICA</t>
    </r>
  </si>
  <si>
    <t xml:space="preserve">Realizar 15 acciones de sensibilización para el acatamiento voluntario en normas de convivencia
</t>
  </si>
  <si>
    <t>El indicador mide la cantidad de acciones de sensibilización que realizan los secretarios generales de inspecciones para para el acatamiento voluntario en normas de convivencia con el fin de contribuir con la prevención de las infracciones. Lo anterior en relación con una cantidad determinada de acciones programadas
Normas de Convivencia:
- Código Nacional y Distrital de policía
- Normas de Comparendo Ambiental (decreto 349 de 2014)
-Ley 746 de 2002
-  Ley 675 de 2001</t>
  </si>
  <si>
    <r>
      <t xml:space="preserve">Formular </t>
    </r>
    <r>
      <rPr>
        <sz val="10"/>
        <color indexed="10"/>
        <rFont val="Arial"/>
        <family val="2"/>
        <charset val="1"/>
      </rPr>
      <t xml:space="preserve">1 </t>
    </r>
    <r>
      <rPr>
        <sz val="10"/>
        <color indexed="8"/>
        <rFont val="Arial"/>
        <family val="2"/>
        <charset val="1"/>
      </rPr>
      <t>PICS local con base en el PICS distrital debidamente aprobado por el consejo local de seguridad</t>
    </r>
  </si>
  <si>
    <t>Documento PICS aprobado por el CLG</t>
  </si>
  <si>
    <t>Se recomienda que el PICS se formule y se apruebe antes durante el primer semestre del año.
Esta acción no solo depende de la Alcaldía sono del CEACS pues ellos son los que dan los lineamientos y hacen lsa aprobaciones inciiales.</t>
  </si>
  <si>
    <r>
      <t xml:space="preserve">Implementar el </t>
    </r>
    <r>
      <rPr>
        <sz val="10"/>
        <color indexed="10"/>
        <rFont val="Arial"/>
        <family val="2"/>
        <charset val="1"/>
      </rPr>
      <t>100</t>
    </r>
    <r>
      <rPr>
        <sz val="10"/>
        <color indexed="8"/>
        <rFont val="Arial"/>
        <family val="2"/>
        <charset val="1"/>
      </rPr>
      <t xml:space="preserve">% de las acciones del plan de acción de convivencia y seguridad de la vigencia 2016
</t>
    </r>
    <r>
      <rPr>
        <sz val="10"/>
        <color indexed="10"/>
        <rFont val="Arial"/>
        <family val="2"/>
      </rPr>
      <t>NO APLICA</t>
    </r>
  </si>
  <si>
    <t xml:space="preserve">Acciones implementadas en el 
Plan de acción del Consejo Local de seguridad  </t>
  </si>
  <si>
    <t xml:space="preserve">El indicador mide la implementación del plan de acción del consejo local de seguridad de la vigencia 2016 para el cumplimiento de los objetivos del PICS.
La implementación se refiere a la ejecución de las acciones establecidas y programadas para toda la vigencia en el plan de acción. La cantidad total de acciones previstas en el año pueden variar a medida que pasen los trimestres. 
Una actividad en el plan esta compuesta por una serie de acciones, en este sentido los datos para la medición del indicador depende de las acciones mas no de la actividades </t>
  </si>
  <si>
    <r>
      <t xml:space="preserve">El plan de acción se articula con el PICS
En caso de no contar con el PICSC debidamente aprobado, se realiza la medición con el plan de acción definido por el Consejo Local de Seguridad.
</t>
    </r>
    <r>
      <rPr>
        <b/>
        <sz val="10"/>
        <rFont val="Arial"/>
        <family val="2"/>
      </rPr>
      <t>Dado que aún no se tiene el PICS no se puede tener claro el plan de acción</t>
    </r>
  </si>
  <si>
    <r>
      <t xml:space="preserve">Implementar el </t>
    </r>
    <r>
      <rPr>
        <sz val="10"/>
        <color indexed="10"/>
        <rFont val="Arial"/>
        <family val="2"/>
        <charset val="1"/>
      </rPr>
      <t>100 %</t>
    </r>
    <r>
      <rPr>
        <sz val="10"/>
        <color indexed="8"/>
        <rFont val="Arial"/>
        <family val="2"/>
        <charset val="1"/>
      </rPr>
      <t xml:space="preserve"> de las acciones del plan de acci</t>
    </r>
    <r>
      <rPr>
        <sz val="11"/>
        <color theme="1"/>
        <rFont val="Calibri"/>
        <family val="2"/>
        <scheme val="minor"/>
      </rPr>
      <t xml:space="preserve">ón del Consejo Local de Gestión del Riesgo y Cambio Climático
</t>
    </r>
  </si>
  <si>
    <t xml:space="preserve"> Acciones implementadas del Plan de acción del Consejo Local de Gestión del Riesgo y Cambio Climático</t>
  </si>
  <si>
    <t xml:space="preserve">El indicador mide la implementación del plan de acción del consejo local de gestión del riesgo y cambio climático de la vigencia 2016 para la gestión del riesgo en las localidades 
La implementación se refiere a la ejecución de las acciones establecidas y programadas para toda la vigencia en el plan de acción. La cantidad total de acciones previstas en el año pueden variar a medida que pasen los trimestres. 
Una actividad en el plan esta compùesta por una serie de acciones, en este sentido los datos para la mediciòn del indicador depende de las acciones mas no de la actividades </t>
  </si>
  <si>
    <t>PLAN DE ACCION DEL CLGRCC</t>
  </si>
  <si>
    <t>No se asume el 100% por que existen acciones que dependen de otras entidades</t>
  </si>
  <si>
    <t>Lograr 85% de avance del cumplimiento físico en el plan de desarrollo</t>
  </si>
  <si>
    <t xml:space="preserve">Lograr que 70%  de las entidades participen en el ejercicio ISO 18091  en la mesa de entrega de evidencias  </t>
  </si>
  <si>
    <t>El indicador mide el porcentaje de entidades participantes  en el ejercicio ISO 18091 (Primer trimestre antes de rendición de cuentas)</t>
  </si>
  <si>
    <t>EXPEDIENTE ISO 18091</t>
  </si>
  <si>
    <t xml:space="preserve">Esta meta contempla el desarrollo de acciones relacionadas con los componentes que involucran la conformación del proceso de pactos que se desarrolla en el ultimo trimestre del año  y que conlleva la solicitud de información por parte de los integrantes del observatorio en el primer trimestre del año al proceso  verificación de información para el desarrollo de el informe cualitativo del observatorio ciudadano en el marco de la rendición de cuentas,  razón por la cual quedan distribuidas de esta manera el cumplimiento del 50% durante estos dos periodos. </t>
  </si>
  <si>
    <r>
      <t xml:space="preserve">Aumentar en un XXX% el porcentaje de indicadores en verde de la vigencia 2015 en comparación con la vigencia 2014 o de la vigencia anterior que cuente con información. lo anterior, en el marco del ejercicio de la norma ISO 18091
</t>
    </r>
    <r>
      <rPr>
        <sz val="10"/>
        <color indexed="10"/>
        <rFont val="Arial"/>
        <family val="2"/>
      </rPr>
      <t>NO APLICA</t>
    </r>
  </si>
  <si>
    <t>El indicador mide el incremento en el porcentaje de indicadores en verde de la vigencia 2015 en relación con el porcentaje obtenido en la vigencia 2014 u otra vigencia que tenga definido el dato para la comparación (esto último, siempre y cuando no exista el dato para 2015). El objeto del indicador es el de medir la mejora en los resultados del ejercicio de la norma ISO 18091</t>
  </si>
  <si>
    <t xml:space="preserve">Linea base : Porcentaje de indicadores en verde de la vigencia 2014 u otra vigencia que cuente con el dato de comparación.
Linea base : Porcentaje de indicadores en verde de la vigencia 2015 (N1)  menos porcentaje de Indicadores de la Vigencia 2014  (N2) el cual entrega el dato de comparación de la vigencia (N3)
N1- N2= N3 
</t>
  </si>
  <si>
    <t>Espacio disponible para formulación de meta: Proyecto bandera de cada alcaldía local o indicadores de impacto en la localidad</t>
  </si>
  <si>
    <t xml:space="preserve">Esto mide el cumplimiento de las acciones establecidas en los planes de acción del CLG
La implementación se refiere a la ejecución de las acciones establecidas y programadas para toda la vigencia en el plan de acción. La cantidad total de acciones previstas en el año pueden variar a medida que pasen los trimestres. 
Una actividad en el plan esta compùesta por una serie de acciones, en este sentido los datos para la mediciòn del indicador depende de las acciones mas no de la actividades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</si>
</sst>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yyyy/mm/dd"/>
    <numFmt numFmtId="165" formatCode="yyyy\-mm\-dd;@"/>
    <numFmt numFmtId="166" formatCode="_-* #,##0.00\ _€_-;\-* #,##0.00\ _€_-;_-* \-??\ _€_-;_-@_-"/>
    <numFmt numFmtId="167" formatCode="0.0%"/>
    <numFmt numFmtId="168" formatCode="0.0"/>
    <numFmt numFmtId="169" formatCode="_ * #,##0_ ;_ * \-#,##0_ ;_ * &quot;-&quot;??_ ;_ @_ "/>
    <numFmt numFmtId="170" formatCode="_-* #,##0\ _€_-;\-* #,##0\ _€_-;_-* \-??\ _€_-;_-@_-"/>
    <numFmt numFmtId="171" formatCode="_ [$€-2]\ * #,##0.00_ ;_ [$€-2]\ * \-#,##0.00_ ;_ [$€-2]\ * \-??_ "/>
    <numFmt numFmtId="172" formatCode="_ * #,##0.00_ ;_ * \-#,##0.00_ ;_ * \-??_ ;_ @_ "/>
    <numFmt numFmtId="173" formatCode="_(* #,##0.00_);_(* \(#,##0.00\);_(* \-??_);_(@_)"/>
    <numFmt numFmtId="174" formatCode="dd/mm/yy"/>
    <numFmt numFmtId="175" formatCode="#"/>
    <numFmt numFmtId="176" formatCode="* #,##0&quot;    &quot;;\-* #,##0&quot;    &quot;;* \-#&quot;    &quot;;@\ "/>
  </numFmts>
  <fonts count="89">
    <font>
      <sz val="11"/>
      <color theme="1"/>
      <name val="Calibri"/>
      <family val="2"/>
      <scheme val="minor"/>
    </font>
    <font>
      <sz val="11"/>
      <color indexed="8"/>
      <name val="Calibri"/>
      <family val="2"/>
    </font>
    <font>
      <sz val="11"/>
      <color indexed="8"/>
      <name val="Verdana"/>
      <family val="2"/>
    </font>
    <font>
      <b/>
      <sz val="10"/>
      <color indexed="9"/>
      <name val="Verdana"/>
      <family val="2"/>
    </font>
    <font>
      <b/>
      <sz val="10"/>
      <color indexed="13"/>
      <name val="Verdana"/>
      <family val="2"/>
    </font>
    <font>
      <sz val="10"/>
      <name val="Verdana"/>
      <family val="2"/>
    </font>
    <font>
      <sz val="9"/>
      <name val="Verdana"/>
      <family val="2"/>
    </font>
    <font>
      <sz val="10"/>
      <name val="Arial"/>
      <family val="2"/>
    </font>
    <font>
      <sz val="10"/>
      <name val="Arial"/>
      <family val="2"/>
      <charset val="1"/>
    </font>
    <font>
      <sz val="12"/>
      <color indexed="8"/>
      <name val="Verdana"/>
      <family val="2"/>
    </font>
    <font>
      <sz val="12"/>
      <name val="Calibri"/>
      <family val="2"/>
    </font>
    <font>
      <sz val="12"/>
      <color indexed="9"/>
      <name val="Calibri"/>
      <family val="2"/>
    </font>
    <font>
      <sz val="11"/>
      <name val="Calibri"/>
      <family val="2"/>
    </font>
    <font>
      <i/>
      <sz val="11"/>
      <name val="Calibri"/>
      <family val="2"/>
    </font>
    <font>
      <b/>
      <sz val="11"/>
      <name val="Calibri"/>
      <family val="2"/>
    </font>
    <font>
      <sz val="11"/>
      <color indexed="9"/>
      <name val="Calibri"/>
      <family val="2"/>
    </font>
    <font>
      <i/>
      <sz val="11"/>
      <color indexed="9"/>
      <name val="Calibri"/>
      <family val="2"/>
    </font>
    <font>
      <b/>
      <sz val="11"/>
      <color indexed="9"/>
      <name val="Calibri"/>
      <family val="2"/>
    </font>
    <font>
      <b/>
      <sz val="12"/>
      <color indexed="9"/>
      <name val="Calibri"/>
      <family val="2"/>
    </font>
    <font>
      <sz val="10"/>
      <color indexed="9"/>
      <name val="Arial"/>
      <family val="2"/>
    </font>
    <font>
      <b/>
      <i/>
      <sz val="11"/>
      <color indexed="9"/>
      <name val="Calibri"/>
      <family val="2"/>
    </font>
    <font>
      <b/>
      <i/>
      <sz val="12"/>
      <color indexed="9"/>
      <name val="Calibri"/>
      <family val="2"/>
    </font>
    <font>
      <sz val="8"/>
      <name val="Arial"/>
      <family val="2"/>
    </font>
    <font>
      <b/>
      <i/>
      <u/>
      <sz val="12"/>
      <name val="Calibri"/>
      <family val="2"/>
    </font>
    <font>
      <b/>
      <sz val="12"/>
      <name val="Calibri"/>
      <family val="2"/>
    </font>
    <font>
      <sz val="12"/>
      <color indexed="8"/>
      <name val="Calibri"/>
      <family val="2"/>
    </font>
    <font>
      <b/>
      <sz val="14"/>
      <color indexed="10"/>
      <name val="Calibri"/>
      <family val="2"/>
    </font>
    <font>
      <b/>
      <sz val="13"/>
      <name val="Arial"/>
      <family val="2"/>
    </font>
    <font>
      <b/>
      <sz val="10"/>
      <name val="Arial"/>
      <family val="2"/>
    </font>
    <font>
      <sz val="10"/>
      <name val="Calibri"/>
      <family val="2"/>
    </font>
    <font>
      <sz val="10"/>
      <color indexed="8"/>
      <name val="Calibri"/>
      <family val="2"/>
    </font>
    <font>
      <b/>
      <sz val="10"/>
      <color indexed="8"/>
      <name val="Calibri"/>
      <family val="2"/>
    </font>
    <font>
      <b/>
      <u/>
      <sz val="10"/>
      <color indexed="10"/>
      <name val="Calibri"/>
      <family val="2"/>
    </font>
    <font>
      <sz val="10"/>
      <color indexed="10"/>
      <name val="Calibri"/>
      <family val="2"/>
    </font>
    <font>
      <b/>
      <sz val="10"/>
      <name val="Calibri"/>
      <family val="2"/>
    </font>
    <font>
      <sz val="9"/>
      <name val="Arial"/>
      <family val="2"/>
    </font>
    <font>
      <b/>
      <sz val="10"/>
      <color indexed="10"/>
      <name val="Calibri"/>
      <family val="2"/>
    </font>
    <font>
      <b/>
      <sz val="12"/>
      <color indexed="10"/>
      <name val="Calibri"/>
      <family val="2"/>
    </font>
    <font>
      <sz val="11"/>
      <color indexed="10"/>
      <name val="Calibri"/>
      <family val="2"/>
    </font>
    <font>
      <b/>
      <sz val="11"/>
      <color indexed="10"/>
      <name val="Calibri"/>
      <family val="2"/>
    </font>
    <font>
      <sz val="9"/>
      <color indexed="8"/>
      <name val="Calibri"/>
      <family val="2"/>
    </font>
    <font>
      <sz val="11"/>
      <name val="Arial"/>
      <family val="2"/>
    </font>
    <font>
      <sz val="18"/>
      <name val="Arial"/>
      <family val="2"/>
    </font>
    <font>
      <sz val="11"/>
      <color indexed="20"/>
      <name val="Calibri"/>
      <family val="2"/>
    </font>
    <font>
      <sz val="11"/>
      <color indexed="17"/>
      <name val="Calibri"/>
      <family val="2"/>
    </font>
    <font>
      <b/>
      <sz val="11"/>
      <color indexed="52"/>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b/>
      <sz val="9"/>
      <color indexed="8"/>
      <name val="Calibri"/>
      <family val="2"/>
    </font>
    <font>
      <sz val="10"/>
      <color indexed="8"/>
      <name val="Arial"/>
      <family val="2"/>
      <charset val="1"/>
    </font>
    <font>
      <sz val="10"/>
      <color indexed="10"/>
      <name val="Arial"/>
      <family val="2"/>
      <charset val="1"/>
    </font>
    <font>
      <b/>
      <u/>
      <sz val="10"/>
      <color indexed="10"/>
      <name val="Arial"/>
      <family val="2"/>
      <charset val="1"/>
    </font>
    <font>
      <b/>
      <sz val="10"/>
      <name val="Arial"/>
      <family val="2"/>
      <charset val="1"/>
    </font>
    <font>
      <sz val="10"/>
      <color indexed="16"/>
      <name val="Arial"/>
      <family val="2"/>
      <charset val="1"/>
    </font>
    <font>
      <b/>
      <sz val="10"/>
      <color indexed="10"/>
      <name val="Arial"/>
      <family val="2"/>
      <charset val="1"/>
    </font>
    <font>
      <sz val="12"/>
      <color indexed="8"/>
      <name val="Times New Roman"/>
      <family val="1"/>
    </font>
    <font>
      <b/>
      <sz val="10"/>
      <color indexed="8"/>
      <name val="Arial"/>
      <family val="2"/>
      <charset val="1"/>
    </font>
    <font>
      <sz val="10"/>
      <color indexed="8"/>
      <name val="Arial"/>
      <family val="2"/>
    </font>
    <font>
      <sz val="10"/>
      <color indexed="12"/>
      <name val="Arial"/>
      <family val="2"/>
      <charset val="1"/>
    </font>
    <font>
      <sz val="9"/>
      <color indexed="8"/>
      <name val="Arial"/>
      <family val="2"/>
      <charset val="1"/>
    </font>
    <font>
      <sz val="10"/>
      <color indexed="9"/>
      <name val="Calibri"/>
      <family val="1"/>
      <charset val="1"/>
    </font>
    <font>
      <sz val="9"/>
      <name val="Arial"/>
      <family val="2"/>
      <charset val="1"/>
    </font>
    <font>
      <sz val="10"/>
      <color indexed="10"/>
      <name val="Arial"/>
      <family val="2"/>
    </font>
    <font>
      <sz val="10"/>
      <name val="Calibri"/>
      <family val="1"/>
      <charset val="1"/>
    </font>
    <font>
      <sz val="10"/>
      <name val="Calibrí"/>
      <family val="1"/>
      <charset val="1"/>
    </font>
    <font>
      <b/>
      <sz val="10"/>
      <color indexed="9"/>
      <name val="Calibri"/>
      <family val="2"/>
    </font>
    <font>
      <sz val="11"/>
      <color indexed="8"/>
      <name val="Arial"/>
      <family val="2"/>
      <charset val="1"/>
    </font>
    <font>
      <sz val="10"/>
      <color indexed="12"/>
      <name val="Arial"/>
      <family val="2"/>
    </font>
    <font>
      <b/>
      <sz val="10"/>
      <color indexed="8"/>
      <name val="Arial"/>
      <family val="2"/>
    </font>
    <font>
      <sz val="10"/>
      <color indexed="8"/>
      <name val="Arial"/>
      <family val="2"/>
      <charset val="128"/>
    </font>
    <font>
      <vertAlign val="superscript"/>
      <sz val="10"/>
      <color indexed="8"/>
      <name val="Arial"/>
      <family val="2"/>
    </font>
    <font>
      <sz val="9"/>
      <color indexed="8"/>
      <name val="Arial"/>
      <family val="2"/>
    </font>
    <font>
      <sz val="10"/>
      <color indexed="8"/>
      <name val="Calibri"/>
      <family val="1"/>
    </font>
    <font>
      <b/>
      <sz val="10"/>
      <color indexed="10"/>
      <name val="Arial"/>
      <family val="2"/>
    </font>
    <font>
      <sz val="14"/>
      <name val="Verdana"/>
      <family val="2"/>
    </font>
    <font>
      <sz val="8"/>
      <color rgb="FF000000"/>
      <name val="Arial"/>
      <family val="2"/>
    </font>
    <font>
      <b/>
      <sz val="10"/>
      <color indexed="8"/>
      <name val="Verdana"/>
      <family val="2"/>
    </font>
    <font>
      <b/>
      <sz val="9"/>
      <color indexed="8"/>
      <name val="Arial"/>
      <family val="2"/>
      <charset val="1"/>
    </font>
    <font>
      <b/>
      <sz val="10"/>
      <color indexed="9"/>
      <name val="Arial"/>
      <family val="2"/>
      <charset val="1"/>
    </font>
    <font>
      <sz val="8"/>
      <name val="Arial"/>
      <family val="2"/>
      <charset val="1"/>
    </font>
    <font>
      <u/>
      <sz val="9"/>
      <name val="Arial"/>
      <family val="2"/>
      <charset val="1"/>
    </font>
  </fonts>
  <fills count="45">
    <fill>
      <patternFill patternType="none"/>
    </fill>
    <fill>
      <patternFill patternType="gray125"/>
    </fill>
    <fill>
      <patternFill patternType="solid">
        <fgColor indexed="54"/>
        <bgColor indexed="23"/>
      </patternFill>
    </fill>
    <fill>
      <patternFill patternType="solid">
        <fgColor theme="0"/>
        <bgColor indexed="64"/>
      </patternFill>
    </fill>
    <fill>
      <patternFill patternType="solid">
        <fgColor indexed="54"/>
        <bgColor indexed="64"/>
      </patternFill>
    </fill>
    <fill>
      <patternFill patternType="solid">
        <fgColor indexed="9"/>
        <bgColor indexed="64"/>
      </patternFill>
    </fill>
    <fill>
      <patternFill patternType="solid">
        <fgColor indexed="9"/>
        <bgColor indexed="26"/>
      </patternFill>
    </fill>
    <fill>
      <patternFill patternType="solid">
        <fgColor indexed="8"/>
        <bgColor indexed="64"/>
      </patternFill>
    </fill>
    <fill>
      <patternFill patternType="solid">
        <fgColor indexed="44"/>
        <bgColor indexed="64"/>
      </patternFill>
    </fill>
    <fill>
      <patternFill patternType="solid">
        <fgColor indexed="50"/>
        <bgColor indexed="64"/>
      </patternFill>
    </fill>
    <fill>
      <patternFill patternType="solid">
        <fgColor indexed="13"/>
        <bgColor indexed="64"/>
      </patternFill>
    </fill>
    <fill>
      <patternFill patternType="solid">
        <fgColor indexed="10"/>
        <bgColor indexed="64"/>
      </patternFill>
    </fill>
    <fill>
      <patternFill patternType="solid">
        <fgColor indexed="11"/>
        <bgColor indexed="64"/>
      </patternFill>
    </fill>
    <fill>
      <patternFill patternType="solid">
        <fgColor indexed="62"/>
        <bgColor indexed="56"/>
      </patternFill>
    </fill>
    <fill>
      <patternFill patternType="solid">
        <fgColor indexed="22"/>
        <bgColor indexed="31"/>
      </patternFill>
    </fill>
    <fill>
      <patternFill patternType="solid">
        <fgColor indexed="11"/>
        <bgColor indexed="49"/>
      </patternFill>
    </fill>
    <fill>
      <patternFill patternType="solid">
        <fgColor indexed="31"/>
        <bgColor indexed="22"/>
      </patternFill>
    </fill>
    <fill>
      <patternFill patternType="solid">
        <fgColor indexed="27"/>
        <bgColor indexed="41"/>
      </patternFill>
    </fill>
    <fill>
      <patternFill patternType="solid">
        <fgColor indexed="49"/>
        <bgColor indexed="40"/>
      </patternFill>
    </fill>
    <fill>
      <patternFill patternType="solid">
        <fgColor indexed="13"/>
        <bgColor indexed="34"/>
      </patternFill>
    </fill>
    <fill>
      <patternFill patternType="solid">
        <fgColor indexed="25"/>
        <bgColor indexed="10"/>
      </patternFill>
    </fill>
    <fill>
      <patternFill patternType="solid">
        <fgColor indexed="44"/>
        <bgColor indexed="3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47"/>
        <bgColor indexed="22"/>
      </patternFill>
    </fill>
    <fill>
      <patternFill patternType="solid">
        <fgColor indexed="29"/>
        <bgColor indexed="45"/>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52"/>
        <bgColor indexed="51"/>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44"/>
      </patternFill>
    </fill>
    <fill>
      <patternFill patternType="solid">
        <fgColor indexed="31"/>
        <bgColor indexed="44"/>
      </patternFill>
    </fill>
    <fill>
      <patternFill patternType="solid">
        <fgColor indexed="15"/>
        <bgColor indexed="35"/>
      </patternFill>
    </fill>
    <fill>
      <patternFill patternType="solid">
        <fgColor indexed="41"/>
        <bgColor indexed="27"/>
      </patternFill>
    </fill>
    <fill>
      <patternFill patternType="solid">
        <fgColor indexed="44"/>
        <bgColor indexed="22"/>
      </patternFill>
    </fill>
    <fill>
      <patternFill patternType="solid">
        <fgColor indexed="47"/>
        <bgColor indexed="44"/>
      </patternFill>
    </fill>
    <fill>
      <patternFill patternType="solid">
        <fgColor indexed="17"/>
        <bgColor indexed="21"/>
      </patternFill>
    </fill>
    <fill>
      <patternFill patternType="solid">
        <fgColor indexed="10"/>
        <bgColor indexed="60"/>
      </patternFill>
    </fill>
  </fills>
  <borders count="258">
    <border>
      <left/>
      <right/>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indexed="22"/>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22"/>
      </top>
      <bottom style="thin">
        <color indexed="22"/>
      </bottom>
      <diagonal/>
    </border>
    <border>
      <left style="thin">
        <color indexed="64"/>
      </left>
      <right style="thin">
        <color indexed="64"/>
      </right>
      <top/>
      <bottom style="medium">
        <color indexed="64"/>
      </bottom>
      <diagonal/>
    </border>
    <border>
      <left/>
      <right style="thin">
        <color indexed="9"/>
      </right>
      <top style="thin">
        <color indexed="9"/>
      </top>
      <bottom/>
      <diagonal/>
    </border>
    <border>
      <left/>
      <right/>
      <top style="thin">
        <color indexed="9"/>
      </top>
      <bottom/>
      <diagonal/>
    </border>
    <border>
      <left style="medium">
        <color indexed="64"/>
      </left>
      <right style="thin">
        <color indexed="64"/>
      </right>
      <top style="thin">
        <color indexed="9"/>
      </top>
      <bottom/>
      <diagonal/>
    </border>
    <border>
      <left style="thin">
        <color indexed="9"/>
      </left>
      <right style="medium">
        <color indexed="64"/>
      </right>
      <top style="thin">
        <color indexed="9"/>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58"/>
      </left>
      <right style="thin">
        <color indexed="58"/>
      </right>
      <top style="medium">
        <color indexed="58"/>
      </top>
      <bottom/>
      <diagonal/>
    </border>
    <border>
      <left style="thin">
        <color indexed="58"/>
      </left>
      <right/>
      <top/>
      <bottom/>
      <diagonal/>
    </border>
    <border>
      <left style="thin">
        <color indexed="58"/>
      </left>
      <right/>
      <top/>
      <bottom style="thin">
        <color indexed="58"/>
      </bottom>
      <diagonal/>
    </border>
    <border>
      <left style="thin">
        <color indexed="58"/>
      </left>
      <right style="thin">
        <color indexed="58"/>
      </right>
      <top style="thin">
        <color indexed="58"/>
      </top>
      <bottom style="thin">
        <color indexed="58"/>
      </bottom>
      <diagonal/>
    </border>
    <border>
      <left style="thin">
        <color indexed="58"/>
      </left>
      <right style="thin">
        <color indexed="58"/>
      </right>
      <top style="thin">
        <color indexed="58"/>
      </top>
      <bottom style="medium">
        <color indexed="58"/>
      </bottom>
      <diagonal/>
    </border>
    <border>
      <left style="medium">
        <color indexed="58"/>
      </left>
      <right/>
      <top/>
      <bottom style="medium">
        <color indexed="58"/>
      </bottom>
      <diagonal/>
    </border>
    <border>
      <left style="medium">
        <color indexed="58"/>
      </left>
      <right style="thin">
        <color indexed="58"/>
      </right>
      <top/>
      <bottom style="medium">
        <color indexed="58"/>
      </bottom>
      <diagonal/>
    </border>
    <border>
      <left/>
      <right style="thin">
        <color indexed="58"/>
      </right>
      <top/>
      <bottom style="thin">
        <color indexed="58"/>
      </bottom>
      <diagonal/>
    </border>
    <border>
      <left style="thin">
        <color indexed="58"/>
      </left>
      <right style="thin">
        <color indexed="58"/>
      </right>
      <top/>
      <bottom style="medium">
        <color indexed="58"/>
      </bottom>
      <diagonal/>
    </border>
    <border>
      <left style="thin">
        <color indexed="58"/>
      </left>
      <right style="thin">
        <color indexed="58"/>
      </right>
      <top/>
      <bottom style="thin">
        <color indexed="58"/>
      </bottom>
      <diagonal/>
    </border>
    <border>
      <left/>
      <right style="thin">
        <color indexed="58"/>
      </right>
      <top style="thin">
        <color indexed="58"/>
      </top>
      <bottom style="thin">
        <color indexed="58"/>
      </bottom>
      <diagonal/>
    </border>
    <border>
      <left/>
      <right style="thin">
        <color indexed="58"/>
      </right>
      <top style="thin">
        <color indexed="58"/>
      </top>
      <bottom style="medium">
        <color indexed="58"/>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style="medium">
        <color indexed="58"/>
      </left>
      <right/>
      <top/>
      <bottom/>
      <diagonal/>
    </border>
    <border>
      <left style="medium">
        <color indexed="58"/>
      </left>
      <right/>
      <top/>
      <bottom style="thin">
        <color indexed="58"/>
      </bottom>
      <diagonal/>
    </border>
    <border>
      <left style="medium">
        <color indexed="58"/>
      </left>
      <right style="medium">
        <color indexed="58"/>
      </right>
      <top style="medium">
        <color indexed="58"/>
      </top>
      <bottom style="medium">
        <color indexed="58"/>
      </bottom>
      <diagonal/>
    </border>
    <border>
      <left style="thin">
        <color indexed="58"/>
      </left>
      <right style="medium">
        <color indexed="58"/>
      </right>
      <top style="medium">
        <color indexed="58"/>
      </top>
      <bottom style="medium">
        <color indexed="58"/>
      </bottom>
      <diagonal/>
    </border>
    <border>
      <left style="medium">
        <color indexed="58"/>
      </left>
      <right style="medium">
        <color indexed="58"/>
      </right>
      <top style="medium">
        <color indexed="58"/>
      </top>
      <bottom/>
      <diagonal/>
    </border>
    <border>
      <left/>
      <right style="thin">
        <color indexed="58"/>
      </right>
      <top style="medium">
        <color indexed="58"/>
      </top>
      <bottom/>
      <diagonal/>
    </border>
    <border>
      <left style="thin">
        <color indexed="58"/>
      </left>
      <right style="thin">
        <color indexed="58"/>
      </right>
      <top style="medium">
        <color indexed="58"/>
      </top>
      <bottom/>
      <diagonal/>
    </border>
    <border>
      <left style="thin">
        <color indexed="58"/>
      </left>
      <right style="thin">
        <color indexed="58"/>
      </right>
      <top/>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right/>
      <top style="thin">
        <color indexed="58"/>
      </top>
      <bottom style="thin">
        <color indexed="58"/>
      </bottom>
      <diagonal/>
    </border>
    <border>
      <left style="medium">
        <color indexed="58"/>
      </left>
      <right style="thin">
        <color indexed="58"/>
      </right>
      <top/>
      <bottom style="thin">
        <color indexed="58"/>
      </bottom>
      <diagonal/>
    </border>
    <border>
      <left/>
      <right/>
      <top/>
      <bottom style="thin">
        <color indexed="58"/>
      </bottom>
      <diagonal/>
    </border>
    <border>
      <left style="medium">
        <color indexed="58"/>
      </left>
      <right style="medium">
        <color indexed="58"/>
      </right>
      <top style="medium">
        <color indexed="58"/>
      </top>
      <bottom style="thin">
        <color indexed="58"/>
      </bottom>
      <diagonal/>
    </border>
    <border>
      <left/>
      <right style="thin">
        <color indexed="58"/>
      </right>
      <top style="medium">
        <color indexed="58"/>
      </top>
      <bottom style="thin">
        <color indexed="58"/>
      </bottom>
      <diagonal/>
    </border>
    <border>
      <left style="thin">
        <color indexed="58"/>
      </left>
      <right style="thin">
        <color indexed="58"/>
      </right>
      <top style="medium">
        <color indexed="58"/>
      </top>
      <bottom style="thin">
        <color indexed="58"/>
      </bottom>
      <diagonal/>
    </border>
    <border>
      <left style="thin">
        <color indexed="58"/>
      </left>
      <right/>
      <top style="medium">
        <color indexed="58"/>
      </top>
      <bottom style="thin">
        <color indexed="58"/>
      </bottom>
      <diagonal/>
    </border>
    <border>
      <left style="thin">
        <color indexed="58"/>
      </left>
      <right style="medium">
        <color indexed="58"/>
      </right>
      <top style="medium">
        <color indexed="58"/>
      </top>
      <bottom style="thin">
        <color indexed="58"/>
      </bottom>
      <diagonal/>
    </border>
    <border>
      <left style="hair">
        <color indexed="8"/>
      </left>
      <right style="hair">
        <color indexed="8"/>
      </right>
      <top style="hair">
        <color indexed="8"/>
      </top>
      <bottom style="hair">
        <color indexed="8"/>
      </bottom>
      <diagonal/>
    </border>
    <border>
      <left style="hair">
        <color indexed="8"/>
      </left>
      <right style="thick">
        <color indexed="8"/>
      </right>
      <top style="hair">
        <color indexed="8"/>
      </top>
      <bottom style="hair">
        <color indexed="8"/>
      </bottom>
      <diagonal/>
    </border>
    <border>
      <left style="medium">
        <color indexed="58"/>
      </left>
      <right style="thin">
        <color indexed="58"/>
      </right>
      <top style="thin">
        <color indexed="58"/>
      </top>
      <bottom style="thin">
        <color indexed="58"/>
      </bottom>
      <diagonal/>
    </border>
    <border>
      <left style="medium">
        <color indexed="58"/>
      </left>
      <right style="medium">
        <color indexed="58"/>
      </right>
      <top style="thin">
        <color indexed="58"/>
      </top>
      <bottom style="thin">
        <color indexed="58"/>
      </bottom>
      <diagonal/>
    </border>
    <border>
      <left style="thin">
        <color indexed="58"/>
      </left>
      <right style="medium">
        <color indexed="58"/>
      </right>
      <top style="thin">
        <color indexed="58"/>
      </top>
      <bottom style="thin">
        <color indexed="58"/>
      </bottom>
      <diagonal/>
    </border>
    <border>
      <left style="medium">
        <color indexed="58"/>
      </left>
      <right style="thin">
        <color indexed="58"/>
      </right>
      <top style="thin">
        <color indexed="58"/>
      </top>
      <bottom/>
      <diagonal/>
    </border>
    <border>
      <left/>
      <right/>
      <top style="thin">
        <color indexed="58"/>
      </top>
      <bottom style="medium">
        <color indexed="58"/>
      </bottom>
      <diagonal/>
    </border>
    <border>
      <left style="medium">
        <color indexed="58"/>
      </left>
      <right style="medium">
        <color indexed="58"/>
      </right>
      <top style="thin">
        <color indexed="58"/>
      </top>
      <bottom style="medium">
        <color indexed="58"/>
      </bottom>
      <diagonal/>
    </border>
    <border>
      <left style="thin">
        <color indexed="58"/>
      </left>
      <right style="medium">
        <color indexed="58"/>
      </right>
      <top style="thin">
        <color indexed="58"/>
      </top>
      <bottom style="medium">
        <color indexed="58"/>
      </bottom>
      <diagonal/>
    </border>
    <border>
      <left style="hair">
        <color indexed="8"/>
      </left>
      <right style="hair">
        <color indexed="8"/>
      </right>
      <top style="hair">
        <color indexed="8"/>
      </top>
      <bottom/>
      <diagonal/>
    </border>
    <border>
      <left style="hair">
        <color indexed="8"/>
      </left>
      <right style="thick">
        <color indexed="8"/>
      </right>
      <top style="hair">
        <color indexed="8"/>
      </top>
      <bottom/>
      <diagonal/>
    </border>
    <border>
      <left style="medium">
        <color indexed="58"/>
      </left>
      <right style="medium">
        <color indexed="58"/>
      </right>
      <top/>
      <bottom style="medium">
        <color indexed="58"/>
      </bottom>
      <diagonal/>
    </border>
    <border>
      <left/>
      <right/>
      <top/>
      <bottom style="medium">
        <color indexed="58"/>
      </bottom>
      <diagonal/>
    </border>
    <border>
      <left style="medium">
        <color indexed="58"/>
      </left>
      <right style="medium">
        <color indexed="58"/>
      </right>
      <top/>
      <bottom/>
      <diagonal/>
    </border>
    <border>
      <left/>
      <right style="thin">
        <color indexed="58"/>
      </right>
      <top/>
      <bottom/>
      <diagonal/>
    </border>
    <border>
      <left style="medium">
        <color indexed="58"/>
      </left>
      <right style="thin">
        <color indexed="58"/>
      </right>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thick">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hair">
        <color indexed="8"/>
      </left>
      <right style="hair">
        <color indexed="8"/>
      </right>
      <top/>
      <bottom style="hair">
        <color indexed="8"/>
      </bottom>
      <diagonal/>
    </border>
    <border>
      <left style="hair">
        <color indexed="8"/>
      </left>
      <right style="thick">
        <color indexed="8"/>
      </right>
      <top/>
      <bottom style="hair">
        <color indexed="8"/>
      </bottom>
      <diagonal/>
    </border>
    <border>
      <left style="thin">
        <color indexed="58"/>
      </left>
      <right/>
      <top style="thin">
        <color indexed="58"/>
      </top>
      <bottom/>
      <diagonal/>
    </border>
    <border>
      <left/>
      <right/>
      <top style="medium">
        <color indexed="58"/>
      </top>
      <bottom style="thick">
        <color indexed="58"/>
      </bottom>
      <diagonal/>
    </border>
    <border>
      <left style="medium">
        <color indexed="58"/>
      </left>
      <right style="thin">
        <color indexed="58"/>
      </right>
      <top/>
      <bottom style="thick">
        <color indexed="58"/>
      </bottom>
      <diagonal/>
    </border>
    <border>
      <left style="thin">
        <color indexed="58"/>
      </left>
      <right style="thin">
        <color indexed="58"/>
      </right>
      <top/>
      <bottom style="thick">
        <color indexed="58"/>
      </bottom>
      <diagonal/>
    </border>
    <border>
      <left style="thin">
        <color indexed="58"/>
      </left>
      <right/>
      <top/>
      <bottom style="thick">
        <color indexed="58"/>
      </bottom>
      <diagonal/>
    </border>
    <border>
      <left/>
      <right/>
      <top style="thin">
        <color indexed="58"/>
      </top>
      <bottom/>
      <diagonal/>
    </border>
    <border>
      <left style="thin">
        <color indexed="58"/>
      </left>
      <right/>
      <top style="thin">
        <color indexed="58"/>
      </top>
      <bottom style="thin">
        <color indexed="5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medium">
        <color indexed="58"/>
      </top>
      <bottom style="medium">
        <color indexed="58"/>
      </bottom>
      <diagonal/>
    </border>
    <border>
      <left style="thin">
        <color indexed="58"/>
      </left>
      <right/>
      <top style="thin">
        <color indexed="58"/>
      </top>
      <bottom style="medium">
        <color indexed="58"/>
      </bottom>
      <diagonal/>
    </border>
    <border>
      <left/>
      <right style="thin">
        <color indexed="58"/>
      </right>
      <top style="thin">
        <color indexed="58"/>
      </top>
      <bottom/>
      <diagonal/>
    </border>
    <border>
      <left style="thin">
        <color indexed="58"/>
      </left>
      <right style="thin">
        <color indexed="58"/>
      </right>
      <top style="thin">
        <color indexed="58"/>
      </top>
      <bottom/>
      <diagonal/>
    </border>
    <border>
      <left style="medium">
        <color indexed="58"/>
      </left>
      <right style="medium">
        <color indexed="58"/>
      </right>
      <top style="thin">
        <color indexed="58"/>
      </top>
      <bottom/>
      <diagonal/>
    </border>
    <border>
      <left/>
      <right style="medium">
        <color indexed="58"/>
      </right>
      <top style="medium">
        <color indexed="58"/>
      </top>
      <bottom style="medium">
        <color indexed="58"/>
      </bottom>
      <diagonal/>
    </border>
    <border>
      <left style="medium">
        <color indexed="58"/>
      </left>
      <right/>
      <top style="medium">
        <color indexed="58"/>
      </top>
      <bottom style="medium">
        <color indexed="58"/>
      </bottom>
      <diagonal/>
    </border>
    <border>
      <left/>
      <right style="thin">
        <color indexed="58"/>
      </right>
      <top style="medium">
        <color indexed="58"/>
      </top>
      <bottom style="medium">
        <color indexed="58"/>
      </bottom>
      <diagonal/>
    </border>
    <border>
      <left style="thin">
        <color indexed="58"/>
      </left>
      <right style="thin">
        <color indexed="58"/>
      </right>
      <top style="medium">
        <color indexed="58"/>
      </top>
      <bottom style="medium">
        <color indexed="58"/>
      </bottom>
      <diagonal/>
    </border>
    <border>
      <left style="thin">
        <color indexed="58"/>
      </left>
      <right/>
      <top style="medium">
        <color indexed="58"/>
      </top>
      <bottom style="medium">
        <color indexed="58"/>
      </bottom>
      <diagonal/>
    </border>
    <border>
      <left style="medium">
        <color indexed="58"/>
      </left>
      <right style="thin">
        <color indexed="58"/>
      </right>
      <top style="medium">
        <color indexed="58"/>
      </top>
      <bottom style="medium">
        <color indexed="58"/>
      </bottom>
      <diagonal/>
    </border>
    <border>
      <left style="medium">
        <color indexed="58"/>
      </left>
      <right style="medium">
        <color indexed="58"/>
      </right>
      <top/>
      <bottom style="thin">
        <color indexed="58"/>
      </bottom>
      <diagonal/>
    </border>
    <border>
      <left style="thin">
        <color indexed="58"/>
      </left>
      <right style="medium">
        <color indexed="58"/>
      </right>
      <top/>
      <bottom style="thin">
        <color indexed="58"/>
      </bottom>
      <diagonal/>
    </border>
    <border>
      <left style="thin">
        <color indexed="59"/>
      </left>
      <right style="thin">
        <color indexed="59"/>
      </right>
      <top style="medium">
        <color indexed="59"/>
      </top>
      <bottom style="thin">
        <color indexed="59"/>
      </bottom>
      <diagonal/>
    </border>
    <border>
      <left style="medium">
        <color indexed="58"/>
      </left>
      <right style="thin">
        <color indexed="58"/>
      </right>
      <top style="thin">
        <color indexed="58"/>
      </top>
      <bottom style="medium">
        <color indexed="5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3"/>
      </left>
      <right/>
      <top/>
      <bottom/>
      <diagonal/>
    </border>
    <border>
      <left style="thin">
        <color indexed="63"/>
      </left>
      <right/>
      <top/>
      <bottom style="thin">
        <color indexed="63"/>
      </bottom>
      <diagonal/>
    </border>
    <border>
      <left style="thin">
        <color indexed="63"/>
      </left>
      <right style="thin">
        <color indexed="63"/>
      </right>
      <top style="thin">
        <color indexed="63"/>
      </top>
      <bottom style="medium">
        <color indexed="63"/>
      </bottom>
      <diagonal/>
    </border>
    <border>
      <left style="thin">
        <color indexed="63"/>
      </left>
      <right style="medium">
        <color indexed="63"/>
      </right>
      <top style="medium">
        <color indexed="63"/>
      </top>
      <bottom style="medium">
        <color indexed="63"/>
      </bottom>
      <diagonal/>
    </border>
    <border>
      <left style="thin">
        <color indexed="63"/>
      </left>
      <right style="medium">
        <color indexed="63"/>
      </right>
      <top style="medium">
        <color indexed="63"/>
      </top>
      <bottom style="thin">
        <color indexed="63"/>
      </bottom>
      <diagonal/>
    </border>
    <border>
      <left style="thin">
        <color indexed="63"/>
      </left>
      <right style="medium">
        <color indexed="63"/>
      </right>
      <top style="thin">
        <color indexed="63"/>
      </top>
      <bottom style="thin">
        <color indexed="63"/>
      </bottom>
      <diagonal/>
    </border>
    <border>
      <left style="thin">
        <color indexed="63"/>
      </left>
      <right style="medium">
        <color indexed="63"/>
      </right>
      <top style="thin">
        <color indexed="63"/>
      </top>
      <bottom style="medium">
        <color indexed="63"/>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63"/>
      </left>
      <right/>
      <top style="thin">
        <color indexed="63"/>
      </top>
      <bottom style="thin">
        <color indexed="63"/>
      </bottom>
      <diagonal/>
    </border>
    <border>
      <left style="thin">
        <color indexed="63"/>
      </left>
      <right style="medium">
        <color indexed="63"/>
      </right>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
      <left style="dotted">
        <color indexed="8"/>
      </left>
      <right style="dotted">
        <color indexed="8"/>
      </right>
      <top style="dotted">
        <color indexed="8"/>
      </top>
      <bottom style="dotted">
        <color indexed="8"/>
      </bottom>
      <diagonal/>
    </border>
    <border>
      <left style="medium">
        <color indexed="63"/>
      </left>
      <right style="thin">
        <color indexed="63"/>
      </right>
      <top style="medium">
        <color indexed="63"/>
      </top>
      <bottom/>
      <diagonal/>
    </border>
    <border>
      <left style="medium">
        <color indexed="63"/>
      </left>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thin">
        <color indexed="8"/>
      </left>
      <right style="thin">
        <color indexed="8"/>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3"/>
      </left>
      <right style="medium">
        <color indexed="63"/>
      </right>
      <top style="medium">
        <color indexed="63"/>
      </top>
      <bottom/>
      <diagonal/>
    </border>
    <border>
      <left style="medium">
        <color indexed="63"/>
      </left>
      <right style="thin">
        <color indexed="63"/>
      </right>
      <top/>
      <bottom style="thin">
        <color indexed="63"/>
      </bottom>
      <diagonal/>
    </border>
    <border>
      <left/>
      <right/>
      <top/>
      <bottom style="thin">
        <color indexed="63"/>
      </bottom>
      <diagonal/>
    </border>
    <border>
      <left style="thick">
        <color indexed="63"/>
      </left>
      <right style="thick">
        <color indexed="63"/>
      </right>
      <top style="thick">
        <color indexed="63"/>
      </top>
      <bottom style="thick">
        <color indexed="63"/>
      </bottom>
      <diagonal/>
    </border>
    <border>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top style="medium">
        <color indexed="63"/>
      </top>
      <bottom style="thin">
        <color indexed="63"/>
      </bottom>
      <diagonal/>
    </border>
    <border>
      <left style="medium">
        <color indexed="63"/>
      </left>
      <right style="thin">
        <color indexed="63"/>
      </right>
      <top style="thin">
        <color indexed="63"/>
      </top>
      <bottom style="thin">
        <color indexed="63"/>
      </bottom>
      <diagonal/>
    </border>
    <border>
      <left style="medium">
        <color indexed="63"/>
      </left>
      <right style="thin">
        <color indexed="63"/>
      </right>
      <top style="thin">
        <color indexed="63"/>
      </top>
      <bottom/>
      <diagonal/>
    </border>
    <border>
      <left/>
      <right/>
      <top style="thin">
        <color indexed="63"/>
      </top>
      <bottom style="medium">
        <color indexed="63"/>
      </bottom>
      <diagonal/>
    </border>
    <border>
      <left/>
      <right style="thin">
        <color indexed="63"/>
      </right>
      <top style="thin">
        <color indexed="63"/>
      </top>
      <bottom style="medium">
        <color indexed="63"/>
      </bottom>
      <diagonal/>
    </border>
    <border>
      <left style="thin">
        <color indexed="8"/>
      </left>
      <right style="thin">
        <color indexed="8"/>
      </right>
      <top style="thin">
        <color indexed="8"/>
      </top>
      <bottom/>
      <diagonal/>
    </border>
    <border>
      <left style="medium">
        <color indexed="63"/>
      </left>
      <right style="medium">
        <color indexed="63"/>
      </right>
      <top/>
      <bottom style="medium">
        <color indexed="63"/>
      </bottom>
      <diagonal/>
    </border>
    <border>
      <left style="thin">
        <color indexed="8"/>
      </left>
      <right style="thin">
        <color indexed="8"/>
      </right>
      <top style="thin">
        <color indexed="63"/>
      </top>
      <bottom style="medium">
        <color indexed="63"/>
      </bottom>
      <diagonal/>
    </border>
    <border>
      <left style="medium">
        <color indexed="63"/>
      </left>
      <right style="medium">
        <color indexed="63"/>
      </right>
      <top style="thin">
        <color indexed="63"/>
      </top>
      <bottom style="thin">
        <color indexed="63"/>
      </bottom>
      <diagonal/>
    </border>
    <border>
      <left style="medium">
        <color indexed="63"/>
      </left>
      <right style="medium">
        <color indexed="63"/>
      </right>
      <top style="medium">
        <color indexed="63"/>
      </top>
      <bottom style="medium">
        <color indexed="63"/>
      </bottom>
      <diagonal/>
    </border>
    <border>
      <left style="thin">
        <color indexed="8"/>
      </left>
      <right style="thin">
        <color indexed="8"/>
      </right>
      <top/>
      <bottom style="thin">
        <color indexed="63"/>
      </bottom>
      <diagonal/>
    </border>
    <border>
      <left style="thin">
        <color indexed="8"/>
      </left>
      <right style="thin">
        <color indexed="8"/>
      </right>
      <top style="thin">
        <color indexed="63"/>
      </top>
      <bottom style="thin">
        <color indexed="63"/>
      </bottom>
      <diagonal/>
    </border>
    <border>
      <left style="thin">
        <color indexed="8"/>
      </left>
      <right style="thin">
        <color indexed="8"/>
      </right>
      <top style="thin">
        <color indexed="63"/>
      </top>
      <bottom style="thin">
        <color indexed="8"/>
      </bottom>
      <diagonal/>
    </border>
    <border>
      <left style="thin">
        <color indexed="63"/>
      </left>
      <right style="thin">
        <color indexed="63"/>
      </right>
      <top/>
      <bottom style="thin">
        <color indexed="63"/>
      </bottom>
      <diagonal/>
    </border>
    <border>
      <left style="thick">
        <color indexed="63"/>
      </left>
      <right/>
      <top/>
      <bottom style="thick">
        <color indexed="63"/>
      </bottom>
      <diagonal/>
    </border>
    <border>
      <left style="thin">
        <color indexed="8"/>
      </left>
      <right style="thick">
        <color indexed="8"/>
      </right>
      <top style="thin">
        <color indexed="8"/>
      </top>
      <bottom style="thin">
        <color indexed="8"/>
      </bottom>
      <diagonal/>
    </border>
    <border>
      <left/>
      <right/>
      <top style="thin">
        <color indexed="63"/>
      </top>
      <bottom/>
      <diagonal/>
    </border>
    <border>
      <left style="thick">
        <color indexed="63"/>
      </left>
      <right/>
      <top style="thick">
        <color indexed="63"/>
      </top>
      <bottom style="thick">
        <color indexed="63"/>
      </bottom>
      <diagonal/>
    </border>
    <border>
      <left/>
      <right style="thick">
        <color indexed="8"/>
      </right>
      <top/>
      <bottom/>
      <diagonal/>
    </border>
    <border>
      <left/>
      <right style="medium">
        <color indexed="63"/>
      </right>
      <top style="medium">
        <color indexed="63"/>
      </top>
      <bottom style="medium">
        <color indexed="63"/>
      </bottom>
      <diagonal/>
    </border>
    <border>
      <left style="thick">
        <color indexed="63"/>
      </left>
      <right style="thick">
        <color indexed="63"/>
      </right>
      <top/>
      <bottom style="thick">
        <color indexed="63"/>
      </bottom>
      <diagonal/>
    </border>
    <border>
      <left/>
      <right style="thin">
        <color indexed="63"/>
      </right>
      <top/>
      <bottom style="thin">
        <color indexed="63"/>
      </bottom>
      <diagonal/>
    </border>
    <border>
      <left/>
      <right style="thick">
        <color indexed="63"/>
      </right>
      <top style="thick">
        <color indexed="63"/>
      </top>
      <bottom style="thick">
        <color indexed="63"/>
      </bottom>
      <diagonal/>
    </border>
    <border>
      <left/>
      <right/>
      <top/>
      <bottom style="thick">
        <color indexed="63"/>
      </bottom>
      <diagonal/>
    </border>
    <border>
      <left style="medium">
        <color indexed="63"/>
      </left>
      <right style="medium">
        <color indexed="63"/>
      </right>
      <top style="medium">
        <color indexed="63"/>
      </top>
      <bottom style="thin">
        <color indexed="63"/>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style="medium">
        <color theme="1"/>
      </right>
      <top/>
      <bottom style="thin">
        <color indexed="60"/>
      </bottom>
      <diagonal/>
    </border>
    <border>
      <left/>
      <right style="medium">
        <color theme="1"/>
      </right>
      <top/>
      <bottom style="thin">
        <color theme="1"/>
      </bottom>
      <diagonal/>
    </border>
    <border>
      <left style="medium">
        <color theme="1"/>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medium">
        <color theme="1"/>
      </right>
      <top style="thin">
        <color indexed="60"/>
      </top>
      <bottom/>
      <diagonal/>
    </border>
    <border>
      <left/>
      <right style="medium">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medium">
        <color theme="1"/>
      </right>
      <top style="thin">
        <color indexed="60"/>
      </top>
      <bottom style="thin">
        <color indexed="60"/>
      </bottom>
      <diagonal/>
    </border>
    <border>
      <left/>
      <right style="medium">
        <color theme="1"/>
      </right>
      <top style="thin">
        <color theme="1"/>
      </top>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style="medium">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right style="thin">
        <color auto="1"/>
      </right>
      <top style="thin">
        <color auto="1"/>
      </top>
      <bottom style="thin">
        <color auto="1"/>
      </bottom>
      <diagonal/>
    </border>
    <border>
      <left style="thick">
        <color indexed="63"/>
      </left>
      <right style="thick">
        <color indexed="63"/>
      </right>
      <top style="thick">
        <color indexed="63"/>
      </top>
      <bottom/>
      <diagonal/>
    </border>
    <border>
      <left style="thick">
        <color indexed="63"/>
      </left>
      <right/>
      <top/>
      <bottom/>
      <diagonal/>
    </border>
    <border>
      <left style="thick">
        <color indexed="63"/>
      </left>
      <right/>
      <top style="thick">
        <color indexed="63"/>
      </top>
      <bottom/>
      <diagonal/>
    </border>
    <border>
      <left style="thick">
        <color indexed="8"/>
      </left>
      <right style="thick">
        <color indexed="8"/>
      </right>
      <top style="thick">
        <color indexed="63"/>
      </top>
      <bottom/>
      <diagonal/>
    </border>
    <border>
      <left style="thick">
        <color indexed="8"/>
      </left>
      <right style="thick">
        <color indexed="8"/>
      </right>
      <top style="thick">
        <color indexed="8"/>
      </top>
      <bottom/>
      <diagonal/>
    </border>
  </borders>
  <cellStyleXfs count="99">
    <xf numFmtId="0" fontId="0" fillId="0" borderId="0"/>
    <xf numFmtId="0" fontId="1" fillId="0" borderId="0"/>
    <xf numFmtId="0" fontId="7" fillId="0" borderId="0"/>
    <xf numFmtId="166" fontId="7" fillId="0" borderId="0" applyFill="0" applyBorder="0" applyAlignment="0" applyProtection="0"/>
    <xf numFmtId="0" fontId="7" fillId="0" borderId="0"/>
    <xf numFmtId="0" fontId="7" fillId="0" borderId="0"/>
    <xf numFmtId="0" fontId="8" fillId="0" borderId="0"/>
    <xf numFmtId="9" fontId="7"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9" fontId="7" fillId="0" borderId="0" applyFill="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16"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17" borderId="0" applyNumberFormat="0" applyBorder="0" applyAlignment="0" applyProtection="0"/>
    <xf numFmtId="0" fontId="1" fillId="25" borderId="0" applyNumberFormat="0" applyBorder="0" applyAlignment="0" applyProtection="0"/>
    <xf numFmtId="0" fontId="1" fillId="21" borderId="0" applyNumberFormat="0" applyBorder="0" applyAlignment="0" applyProtection="0"/>
    <xf numFmtId="0" fontId="1" fillId="26" borderId="0" applyNumberFormat="0" applyBorder="0" applyAlignment="0" applyProtection="0"/>
    <xf numFmtId="0" fontId="1" fillId="15" borderId="0" applyNumberFormat="0" applyBorder="0" applyAlignment="0" applyProtection="0"/>
    <xf numFmtId="0" fontId="1" fillId="24"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 fillId="21" borderId="0" applyNumberFormat="0" applyBorder="0" applyAlignment="0" applyProtection="0"/>
    <xf numFmtId="0" fontId="1" fillId="26" borderId="0" applyNumberFormat="0" applyBorder="0" applyAlignment="0" applyProtection="0"/>
    <xf numFmtId="0" fontId="1" fillId="15" borderId="0" applyNumberFormat="0" applyBorder="0" applyAlignment="0" applyProtection="0"/>
    <xf numFmtId="0" fontId="1" fillId="24" borderId="0" applyNumberFormat="0" applyBorder="0" applyAlignment="0" applyProtection="0"/>
    <xf numFmtId="0" fontId="1" fillId="21" borderId="0" applyNumberFormat="0" applyBorder="0" applyAlignment="0" applyProtection="0"/>
    <xf numFmtId="0" fontId="1" fillId="27" borderId="0" applyNumberFormat="0" applyBorder="0" applyAlignment="0" applyProtection="0"/>
    <xf numFmtId="0" fontId="15" fillId="28" borderId="0" applyNumberFormat="0" applyBorder="0" applyAlignment="0" applyProtection="0"/>
    <xf numFmtId="0" fontId="15" fillId="26" borderId="0" applyNumberFormat="0" applyBorder="0" applyAlignment="0" applyProtection="0"/>
    <xf numFmtId="0" fontId="15" fillId="15" borderId="0" applyNumberFormat="0" applyBorder="0" applyAlignment="0" applyProtection="0"/>
    <xf numFmtId="0" fontId="15" fillId="29" borderId="0" applyNumberFormat="0" applyBorder="0" applyAlignment="0" applyProtection="0"/>
    <xf numFmtId="0" fontId="15" fillId="18" borderId="0" applyNumberFormat="0" applyBorder="0" applyAlignment="0" applyProtection="0"/>
    <xf numFmtId="0" fontId="15" fillId="30" borderId="0" applyNumberFormat="0" applyBorder="0" applyAlignment="0" applyProtection="0"/>
    <xf numFmtId="0" fontId="15" fillId="28" borderId="0" applyNumberFormat="0" applyBorder="0" applyAlignment="0" applyProtection="0"/>
    <xf numFmtId="0" fontId="15" fillId="26" borderId="0" applyNumberFormat="0" applyBorder="0" applyAlignment="0" applyProtection="0"/>
    <xf numFmtId="0" fontId="15" fillId="15" borderId="0" applyNumberFormat="0" applyBorder="0" applyAlignment="0" applyProtection="0"/>
    <xf numFmtId="0" fontId="15" fillId="29" borderId="0" applyNumberFormat="0" applyBorder="0" applyAlignment="0" applyProtection="0"/>
    <xf numFmtId="0" fontId="15" fillId="18" borderId="0" applyNumberFormat="0" applyBorder="0" applyAlignment="0" applyProtection="0"/>
    <xf numFmtId="0" fontId="15" fillId="30" borderId="0" applyNumberFormat="0" applyBorder="0" applyAlignment="0" applyProtection="0"/>
    <xf numFmtId="0" fontId="15" fillId="13"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15" fillId="29" borderId="0" applyNumberFormat="0" applyBorder="0" applyAlignment="0" applyProtection="0"/>
    <xf numFmtId="0" fontId="15" fillId="18" borderId="0" applyNumberFormat="0" applyBorder="0" applyAlignment="0" applyProtection="0"/>
    <xf numFmtId="0" fontId="15" fillId="33" borderId="0" applyNumberFormat="0" applyBorder="0" applyAlignment="0" applyProtection="0"/>
    <xf numFmtId="0" fontId="43" fillId="22" borderId="0" applyNumberFormat="0" applyBorder="0" applyAlignment="0" applyProtection="0"/>
    <xf numFmtId="0" fontId="44" fillId="23" borderId="0" applyNumberFormat="0" applyBorder="0" applyAlignment="0" applyProtection="0"/>
    <xf numFmtId="0" fontId="45" fillId="14" borderId="165" applyNumberFormat="0" applyAlignment="0" applyProtection="0"/>
    <xf numFmtId="0" fontId="45" fillId="14" borderId="165" applyNumberFormat="0" applyAlignment="0" applyProtection="0"/>
    <xf numFmtId="0" fontId="17" fillId="34" borderId="166" applyNumberFormat="0" applyAlignment="0" applyProtection="0"/>
    <xf numFmtId="0" fontId="46" fillId="0" borderId="167" applyNumberFormat="0" applyFill="0" applyAlignment="0" applyProtection="0"/>
    <xf numFmtId="0" fontId="47" fillId="0" borderId="0" applyNumberFormat="0" applyFill="0" applyBorder="0" applyAlignment="0" applyProtection="0"/>
    <xf numFmtId="0" fontId="15" fillId="13" borderId="0" applyNumberFormat="0" applyBorder="0" applyAlignment="0" applyProtection="0"/>
    <xf numFmtId="0" fontId="15" fillId="31" borderId="0" applyNumberFormat="0" applyBorder="0" applyAlignment="0" applyProtection="0"/>
    <xf numFmtId="0" fontId="15" fillId="32" borderId="0" applyNumberFormat="0" applyBorder="0" applyAlignment="0" applyProtection="0"/>
    <xf numFmtId="0" fontId="15" fillId="29" borderId="0" applyNumberFormat="0" applyBorder="0" applyAlignment="0" applyProtection="0"/>
    <xf numFmtId="0" fontId="15" fillId="18" borderId="0" applyNumberFormat="0" applyBorder="0" applyAlignment="0" applyProtection="0"/>
    <xf numFmtId="0" fontId="15" fillId="33" borderId="0" applyNumberFormat="0" applyBorder="0" applyAlignment="0" applyProtection="0"/>
    <xf numFmtId="0" fontId="48" fillId="25" borderId="165" applyNumberFormat="0" applyAlignment="0" applyProtection="0"/>
    <xf numFmtId="171" fontId="7" fillId="0" borderId="0" applyFill="0" applyBorder="0" applyAlignment="0" applyProtection="0"/>
    <xf numFmtId="171" fontId="7" fillId="0" borderId="0" applyFill="0" applyBorder="0" applyAlignment="0" applyProtection="0"/>
    <xf numFmtId="0" fontId="49" fillId="0" borderId="0" applyNumberFormat="0" applyFill="0" applyBorder="0" applyAlignment="0" applyProtection="0"/>
    <xf numFmtId="0" fontId="50" fillId="0" borderId="168" applyNumberFormat="0" applyFill="0" applyAlignment="0" applyProtection="0"/>
    <xf numFmtId="0" fontId="51" fillId="0" borderId="169" applyNumberFormat="0" applyFill="0" applyAlignment="0" applyProtection="0"/>
    <xf numFmtId="0" fontId="47" fillId="0" borderId="170" applyNumberFormat="0" applyFill="0" applyAlignment="0" applyProtection="0"/>
    <xf numFmtId="0" fontId="43" fillId="22" borderId="0" applyNumberFormat="0" applyBorder="0" applyAlignment="0" applyProtection="0"/>
    <xf numFmtId="172" fontId="7" fillId="0" borderId="0" applyFill="0" applyBorder="0" applyAlignment="0" applyProtection="0"/>
    <xf numFmtId="172" fontId="7" fillId="0" borderId="0" applyFill="0" applyBorder="0" applyAlignment="0" applyProtection="0"/>
    <xf numFmtId="173" fontId="7" fillId="0" borderId="0" applyFill="0" applyBorder="0" applyAlignment="0" applyProtection="0"/>
    <xf numFmtId="0" fontId="52" fillId="35" borderId="0" applyNumberFormat="0" applyBorder="0" applyAlignment="0" applyProtection="0"/>
    <xf numFmtId="0" fontId="7" fillId="36" borderId="7" applyNumberFormat="0" applyAlignment="0" applyProtection="0"/>
    <xf numFmtId="0" fontId="7" fillId="36" borderId="7" applyNumberFormat="0" applyAlignment="0" applyProtection="0"/>
    <xf numFmtId="0" fontId="53" fillId="14" borderId="171" applyNumberFormat="0" applyAlignment="0" applyProtection="0"/>
    <xf numFmtId="9" fontId="7" fillId="0" borderId="0" applyFill="0" applyBorder="0" applyAlignment="0" applyProtection="0"/>
    <xf numFmtId="9" fontId="7" fillId="0" borderId="0" applyFill="0" applyBorder="0" applyAlignment="0" applyProtection="0"/>
    <xf numFmtId="0" fontId="53" fillId="14" borderId="171" applyNumberFormat="0" applyAlignment="0" applyProtection="0"/>
    <xf numFmtId="0" fontId="38" fillId="0" borderId="0" applyNumberFormat="0" applyFill="0" applyBorder="0" applyAlignment="0" applyProtection="0"/>
    <xf numFmtId="0" fontId="49" fillId="0" borderId="0" applyNumberFormat="0" applyFill="0" applyBorder="0" applyAlignment="0" applyProtection="0"/>
    <xf numFmtId="0" fontId="54" fillId="0" borderId="0" applyNumberFormat="0" applyFill="0" applyBorder="0" applyAlignment="0" applyProtection="0"/>
    <xf numFmtId="0" fontId="50" fillId="0" borderId="168" applyNumberFormat="0" applyFill="0" applyAlignment="0" applyProtection="0"/>
    <xf numFmtId="0" fontId="51" fillId="0" borderId="169" applyNumberFormat="0" applyFill="0" applyAlignment="0" applyProtection="0"/>
    <xf numFmtId="0" fontId="47" fillId="0" borderId="170" applyNumberFormat="0" applyFill="0" applyAlignment="0" applyProtection="0"/>
    <xf numFmtId="0" fontId="54" fillId="0" borderId="0" applyNumberFormat="0" applyFill="0" applyBorder="0" applyAlignment="0" applyProtection="0"/>
    <xf numFmtId="0" fontId="55" fillId="0" borderId="172" applyNumberFormat="0" applyFill="0" applyAlignment="0" applyProtection="0"/>
    <xf numFmtId="0" fontId="74" fillId="0" borderId="0"/>
    <xf numFmtId="165" fontId="7" fillId="0" borderId="0" applyFill="0" applyBorder="0" applyAlignment="0" applyProtection="0"/>
    <xf numFmtId="0" fontId="7" fillId="19" borderId="0" applyNumberFormat="0" applyBorder="0" applyAlignment="0" applyProtection="0"/>
    <xf numFmtId="0" fontId="7" fillId="44" borderId="0" applyNumberFormat="0" applyBorder="0" applyAlignment="0" applyProtection="0"/>
    <xf numFmtId="0" fontId="7" fillId="43" borderId="0" applyNumberFormat="0" applyBorder="0" applyAlignment="0" applyProtection="0"/>
    <xf numFmtId="165" fontId="7" fillId="0" borderId="0" applyFill="0" applyBorder="0" applyAlignment="0" applyProtection="0"/>
  </cellStyleXfs>
  <cellXfs count="1752">
    <xf numFmtId="0" fontId="0" fillId="0" borderId="0" xfId="0"/>
    <xf numFmtId="0" fontId="2" fillId="0" borderId="0" xfId="1" applyFont="1"/>
    <xf numFmtId="0" fontId="3" fillId="2" borderId="1" xfId="1" applyFont="1" applyFill="1" applyBorder="1" applyAlignment="1" applyProtection="1">
      <alignment horizontal="center" vertical="center"/>
    </xf>
    <xf numFmtId="164" fontId="4" fillId="2" borderId="1" xfId="1" applyNumberFormat="1" applyFont="1" applyFill="1" applyBorder="1" applyAlignment="1" applyProtection="1">
      <alignment horizontal="center" vertical="center"/>
    </xf>
    <xf numFmtId="0" fontId="3" fillId="3" borderId="3" xfId="1" applyFont="1" applyFill="1" applyBorder="1" applyAlignment="1" applyProtection="1">
      <alignment horizontal="center" vertical="center" wrapText="1"/>
    </xf>
    <xf numFmtId="0" fontId="3" fillId="4" borderId="3" xfId="1" applyFont="1" applyFill="1" applyBorder="1" applyAlignment="1" applyProtection="1">
      <alignment horizontal="center" vertical="center"/>
    </xf>
    <xf numFmtId="0" fontId="3" fillId="4" borderId="3" xfId="1" applyFont="1" applyFill="1" applyBorder="1" applyAlignment="1" applyProtection="1">
      <alignment horizontal="center" vertical="center" wrapText="1"/>
    </xf>
    <xf numFmtId="0" fontId="3" fillId="4" borderId="3" xfId="1" applyFont="1" applyFill="1" applyBorder="1" applyAlignment="1" applyProtection="1">
      <alignment horizontal="left" vertical="center" wrapText="1"/>
    </xf>
    <xf numFmtId="0" fontId="3" fillId="4" borderId="3" xfId="1" applyFont="1" applyFill="1" applyBorder="1" applyAlignment="1" applyProtection="1">
      <alignment vertical="center" wrapText="1"/>
    </xf>
    <xf numFmtId="0" fontId="3" fillId="4" borderId="4" xfId="1" applyFont="1" applyFill="1" applyBorder="1" applyAlignment="1" applyProtection="1">
      <alignment horizontal="center" vertical="center" wrapText="1"/>
    </xf>
    <xf numFmtId="0" fontId="3" fillId="4" borderId="4" xfId="1" applyFont="1" applyFill="1" applyBorder="1" applyAlignment="1" applyProtection="1">
      <alignment horizontal="left" vertical="center"/>
    </xf>
    <xf numFmtId="0" fontId="3" fillId="4" borderId="4" xfId="1" applyFont="1" applyFill="1" applyBorder="1" applyAlignment="1" applyProtection="1">
      <alignment horizontal="center" vertical="center"/>
    </xf>
    <xf numFmtId="0" fontId="3" fillId="4" borderId="4" xfId="1" applyFont="1" applyFill="1" applyBorder="1" applyAlignment="1" applyProtection="1">
      <alignment vertical="center" wrapText="1"/>
    </xf>
    <xf numFmtId="0" fontId="2" fillId="3" borderId="4" xfId="1" applyFont="1" applyFill="1" applyBorder="1" applyAlignment="1" applyProtection="1">
      <alignment vertical="center" wrapText="1"/>
      <protection locked="0"/>
    </xf>
    <xf numFmtId="0" fontId="5" fillId="5" borderId="4" xfId="1" applyFont="1" applyFill="1" applyBorder="1" applyAlignment="1" applyProtection="1">
      <alignment horizontal="center" vertical="center"/>
      <protection locked="0"/>
    </xf>
    <xf numFmtId="0" fontId="2" fillId="5" borderId="4" xfId="1" applyFont="1" applyFill="1" applyBorder="1" applyAlignment="1" applyProtection="1">
      <alignment vertical="center" wrapText="1"/>
      <protection locked="0"/>
    </xf>
    <xf numFmtId="0" fontId="2" fillId="5" borderId="4" xfId="1" applyFont="1" applyFill="1" applyBorder="1" applyAlignment="1" applyProtection="1">
      <alignment horizontal="left" vertical="center" wrapText="1"/>
      <protection locked="0"/>
    </xf>
    <xf numFmtId="0" fontId="2" fillId="5" borderId="4" xfId="1" applyFont="1" applyFill="1" applyBorder="1" applyAlignment="1" applyProtection="1">
      <alignment horizontal="center" vertical="center"/>
      <protection locked="0"/>
    </xf>
    <xf numFmtId="164" fontId="2" fillId="5" borderId="4" xfId="1" applyNumberFormat="1" applyFont="1" applyFill="1" applyBorder="1" applyAlignment="1" applyProtection="1">
      <alignment horizontal="center" vertical="center" wrapText="1"/>
      <protection locked="0"/>
    </xf>
    <xf numFmtId="165" fontId="2" fillId="5" borderId="4" xfId="1" applyNumberFormat="1" applyFont="1" applyFill="1" applyBorder="1" applyAlignment="1" applyProtection="1">
      <alignment horizontal="center" vertical="center"/>
      <protection locked="0"/>
    </xf>
    <xf numFmtId="0" fontId="2" fillId="5" borderId="4" xfId="1" applyFont="1" applyFill="1" applyBorder="1" applyAlignment="1" applyProtection="1">
      <alignment vertical="center"/>
      <protection locked="0"/>
    </xf>
    <xf numFmtId="164" fontId="5" fillId="5" borderId="4" xfId="1" applyNumberFormat="1" applyFont="1" applyFill="1" applyBorder="1" applyAlignment="1" applyProtection="1">
      <alignment vertical="center"/>
      <protection locked="0"/>
    </xf>
    <xf numFmtId="0" fontId="5" fillId="5" borderId="4" xfId="1" applyFont="1" applyFill="1" applyBorder="1" applyAlignment="1" applyProtection="1">
      <alignment vertical="center" wrapText="1"/>
      <protection locked="0"/>
    </xf>
    <xf numFmtId="0" fontId="2" fillId="5" borderId="4" xfId="1" applyNumberFormat="1" applyFont="1" applyFill="1" applyBorder="1" applyAlignment="1" applyProtection="1">
      <alignment vertical="center" wrapText="1"/>
      <protection locked="0"/>
    </xf>
    <xf numFmtId="0" fontId="5" fillId="5" borderId="4" xfId="1" applyFont="1" applyFill="1" applyBorder="1" applyAlignment="1" applyProtection="1">
      <alignment horizontal="left" vertical="center" wrapText="1"/>
      <protection locked="0"/>
    </xf>
    <xf numFmtId="0" fontId="6" fillId="3" borderId="4" xfId="1" applyFont="1" applyFill="1" applyBorder="1" applyAlignment="1">
      <alignment horizontal="justify" vertical="center" wrapText="1"/>
    </xf>
    <xf numFmtId="0" fontId="6" fillId="0" borderId="4" xfId="1" applyFont="1" applyBorder="1" applyAlignment="1">
      <alignment horizontal="center" vertical="center" wrapText="1"/>
    </xf>
    <xf numFmtId="0" fontId="6" fillId="0" borderId="4" xfId="1" applyFont="1" applyBorder="1" applyAlignment="1">
      <alignment horizontal="justify" vertical="center" wrapText="1"/>
    </xf>
    <xf numFmtId="0" fontId="6" fillId="0" borderId="4" xfId="1" applyFont="1" applyBorder="1" applyAlignment="1">
      <alignment horizontal="left" vertical="center" wrapText="1"/>
    </xf>
    <xf numFmtId="0" fontId="6" fillId="0" borderId="4" xfId="1" applyFont="1" applyBorder="1" applyAlignment="1">
      <alignment vertical="center" wrapText="1"/>
    </xf>
    <xf numFmtId="164" fontId="5" fillId="6" borderId="4" xfId="2" applyNumberFormat="1" applyFont="1" applyFill="1" applyBorder="1" applyAlignment="1" applyProtection="1">
      <alignment horizontal="center" vertical="center" wrapText="1"/>
    </xf>
    <xf numFmtId="165" fontId="2" fillId="0" borderId="4" xfId="1" applyNumberFormat="1" applyFont="1" applyBorder="1" applyAlignment="1">
      <alignment horizontal="center" vertical="center"/>
    </xf>
    <xf numFmtId="0" fontId="2" fillId="0" borderId="4" xfId="1" applyFont="1" applyBorder="1" applyAlignment="1">
      <alignment horizontal="justify" vertical="center" wrapText="1"/>
    </xf>
    <xf numFmtId="2" fontId="6" fillId="0" borderId="4" xfId="1" applyNumberFormat="1" applyFont="1" applyBorder="1" applyAlignment="1">
      <alignment horizontal="justify" vertical="center" wrapText="1"/>
    </xf>
    <xf numFmtId="165" fontId="2" fillId="0" borderId="4" xfId="1" applyNumberFormat="1" applyFont="1" applyBorder="1" applyAlignment="1">
      <alignment horizontal="center" vertical="center" wrapText="1"/>
    </xf>
    <xf numFmtId="165" fontId="6" fillId="0" borderId="4" xfId="1" applyNumberFormat="1" applyFont="1" applyBorder="1" applyAlignment="1">
      <alignment horizontal="center" vertical="center"/>
    </xf>
    <xf numFmtId="0" fontId="9" fillId="0" borderId="5" xfId="1" applyFont="1" applyBorder="1" applyAlignment="1">
      <alignment horizontal="left" vertical="top"/>
    </xf>
    <xf numFmtId="0" fontId="9" fillId="0" borderId="0" xfId="1" applyFont="1" applyAlignment="1">
      <alignment horizontal="left" vertical="top"/>
    </xf>
    <xf numFmtId="0" fontId="9" fillId="0" borderId="5" xfId="1" applyFont="1" applyBorder="1" applyAlignment="1">
      <alignment horizontal="left" vertical="top" wrapText="1"/>
    </xf>
    <xf numFmtId="14" fontId="9" fillId="0" borderId="5" xfId="1" applyNumberFormat="1" applyFont="1" applyBorder="1" applyAlignment="1">
      <alignment horizontal="left" vertical="top"/>
    </xf>
    <xf numFmtId="0" fontId="10" fillId="0" borderId="0" xfId="0" applyFont="1" applyAlignment="1">
      <alignment vertical="center" wrapText="1"/>
    </xf>
    <xf numFmtId="0" fontId="10" fillId="0" borderId="0" xfId="0" applyFont="1" applyAlignment="1" applyProtection="1">
      <alignment vertical="center" wrapText="1"/>
    </xf>
    <xf numFmtId="0" fontId="10" fillId="0" borderId="0" xfId="0" applyFont="1" applyAlignment="1" applyProtection="1">
      <alignment horizontal="center" vertical="center" wrapText="1"/>
    </xf>
    <xf numFmtId="0" fontId="10" fillId="0" borderId="0" xfId="0" applyFont="1" applyFill="1" applyAlignment="1" applyProtection="1">
      <alignment vertical="center" wrapText="1"/>
    </xf>
    <xf numFmtId="0" fontId="10" fillId="0" borderId="0" xfId="0" applyFont="1" applyAlignment="1" applyProtection="1">
      <alignment horizontal="justify" vertical="center" wrapText="1"/>
    </xf>
    <xf numFmtId="0" fontId="10" fillId="0" borderId="0" xfId="0" applyFont="1" applyBorder="1" applyAlignment="1" applyProtection="1">
      <alignment vertical="center" wrapText="1"/>
    </xf>
    <xf numFmtId="0" fontId="10" fillId="0" borderId="0" xfId="0" applyFont="1" applyAlignment="1" applyProtection="1">
      <alignment vertical="center"/>
    </xf>
    <xf numFmtId="0" fontId="11" fillId="0" borderId="0" xfId="0" applyFont="1" applyAlignment="1" applyProtection="1">
      <alignment vertical="center" wrapText="1"/>
    </xf>
    <xf numFmtId="0" fontId="11" fillId="0" borderId="0" xfId="0" applyFont="1" applyBorder="1" applyAlignment="1" applyProtection="1">
      <alignment vertical="center" wrapText="1"/>
    </xf>
    <xf numFmtId="0" fontId="11" fillId="0" borderId="0" xfId="0" applyFont="1" applyAlignment="1" applyProtection="1">
      <alignment vertical="center"/>
    </xf>
    <xf numFmtId="0" fontId="11" fillId="0" borderId="0" xfId="0" applyFont="1" applyAlignment="1" applyProtection="1">
      <alignment horizontal="center" vertical="center" wrapText="1"/>
    </xf>
    <xf numFmtId="0" fontId="10" fillId="7" borderId="0" xfId="0" applyFont="1" applyFill="1" applyAlignment="1" applyProtection="1">
      <alignment vertical="center" wrapText="1"/>
    </xf>
    <xf numFmtId="0" fontId="11" fillId="7" borderId="0" xfId="0" applyFont="1" applyFill="1" applyAlignment="1" applyProtection="1">
      <alignment vertical="center" wrapText="1"/>
    </xf>
    <xf numFmtId="0" fontId="11" fillId="7" borderId="0" xfId="0" applyFont="1" applyFill="1" applyBorder="1" applyAlignment="1" applyProtection="1">
      <alignment vertical="center" wrapText="1"/>
    </xf>
    <xf numFmtId="0" fontId="11" fillId="7" borderId="0" xfId="0" applyFont="1" applyFill="1" applyAlignment="1" applyProtection="1">
      <alignment vertical="center"/>
    </xf>
    <xf numFmtId="0" fontId="11" fillId="0" borderId="0" xfId="0" applyFont="1" applyFill="1" applyAlignment="1" applyProtection="1">
      <alignment horizontal="center" vertical="center" wrapText="1"/>
    </xf>
    <xf numFmtId="0" fontId="12" fillId="0" borderId="0" xfId="0" applyFont="1" applyAlignment="1">
      <alignment vertical="center" wrapText="1"/>
    </xf>
    <xf numFmtId="0" fontId="12" fillId="0" borderId="0" xfId="0" applyFont="1" applyFill="1" applyAlignment="1">
      <alignment vertical="center" wrapText="1"/>
    </xf>
    <xf numFmtId="0" fontId="12" fillId="0" borderId="0" xfId="0" applyFont="1" applyFill="1" applyAlignment="1" applyProtection="1">
      <alignment vertical="center" wrapText="1"/>
      <protection locked="0"/>
    </xf>
    <xf numFmtId="0" fontId="12" fillId="0" borderId="0" xfId="0" applyFont="1" applyFill="1" applyAlignment="1" applyProtection="1">
      <alignment horizontal="right" vertical="center" wrapText="1"/>
      <protection locked="0"/>
    </xf>
    <xf numFmtId="0" fontId="12" fillId="0" borderId="0" xfId="0" applyFont="1" applyFill="1" applyAlignment="1" applyProtection="1">
      <alignment vertical="center" wrapText="1"/>
    </xf>
    <xf numFmtId="0" fontId="12" fillId="0" borderId="0" xfId="0" applyFont="1" applyFill="1" applyAlignment="1" applyProtection="1">
      <alignment horizontal="center" vertical="center" wrapText="1"/>
    </xf>
    <xf numFmtId="0" fontId="12" fillId="0" borderId="0" xfId="0" applyFont="1" applyFill="1" applyAlignment="1" applyProtection="1">
      <alignment vertical="center"/>
    </xf>
    <xf numFmtId="0" fontId="13" fillId="0" borderId="0" xfId="0" applyFont="1" applyFill="1" applyAlignment="1" applyProtection="1">
      <alignment horizontal="center" vertical="center" wrapText="1"/>
    </xf>
    <xf numFmtId="0" fontId="12" fillId="0" borderId="0" xfId="0" applyFont="1" applyFill="1" applyProtection="1"/>
    <xf numFmtId="0" fontId="12" fillId="0" borderId="0" xfId="0" applyFont="1" applyFill="1" applyBorder="1" applyProtection="1"/>
    <xf numFmtId="0" fontId="14" fillId="0" borderId="0" xfId="0" applyFont="1" applyFill="1" applyProtection="1"/>
    <xf numFmtId="0" fontId="12" fillId="7" borderId="0" xfId="0" applyFont="1" applyFill="1" applyProtection="1"/>
    <xf numFmtId="0" fontId="12" fillId="7" borderId="0" xfId="0" applyFont="1" applyFill="1" applyAlignment="1" applyProtection="1">
      <alignment vertical="center" wrapText="1"/>
    </xf>
    <xf numFmtId="0" fontId="15" fillId="7" borderId="0" xfId="0" applyFont="1" applyFill="1" applyAlignment="1" applyProtection="1">
      <alignment vertical="center" wrapText="1"/>
    </xf>
    <xf numFmtId="0" fontId="15" fillId="7" borderId="0" xfId="0" applyFont="1" applyFill="1" applyProtection="1"/>
    <xf numFmtId="0" fontId="15" fillId="7" borderId="0" xfId="0" applyFont="1" applyFill="1" applyAlignment="1" applyProtection="1">
      <alignment horizontal="center" vertical="center" wrapText="1"/>
    </xf>
    <xf numFmtId="0" fontId="15" fillId="7" borderId="0" xfId="0" applyFont="1" applyFill="1" applyAlignment="1" applyProtection="1">
      <alignment vertical="center"/>
    </xf>
    <xf numFmtId="0" fontId="16" fillId="7" borderId="0" xfId="0" applyFont="1" applyFill="1" applyAlignment="1" applyProtection="1">
      <alignment horizontal="center" vertical="center" wrapText="1"/>
    </xf>
    <xf numFmtId="0" fontId="15" fillId="7" borderId="6" xfId="0" applyFont="1" applyFill="1" applyBorder="1" applyAlignment="1" applyProtection="1">
      <alignment vertical="center" wrapText="1"/>
    </xf>
    <xf numFmtId="0" fontId="16" fillId="7" borderId="7" xfId="0" applyFont="1" applyFill="1" applyBorder="1" applyAlignment="1" applyProtection="1">
      <alignment horizontal="center" vertical="center" wrapText="1"/>
    </xf>
    <xf numFmtId="0" fontId="17" fillId="7" borderId="0" xfId="0" applyFont="1" applyFill="1" applyProtection="1"/>
    <xf numFmtId="0" fontId="15" fillId="7" borderId="0" xfId="0" applyFont="1" applyFill="1" applyBorder="1" applyProtection="1"/>
    <xf numFmtId="0" fontId="15" fillId="7" borderId="8" xfId="0" applyFont="1" applyFill="1" applyBorder="1" applyAlignment="1" applyProtection="1">
      <alignment vertical="center" wrapText="1"/>
    </xf>
    <xf numFmtId="0" fontId="15" fillId="7" borderId="9" xfId="0" applyFont="1" applyFill="1" applyBorder="1" applyAlignment="1" applyProtection="1">
      <alignment vertical="center" wrapText="1"/>
    </xf>
    <xf numFmtId="0" fontId="18" fillId="7" borderId="7" xfId="0" applyFont="1" applyFill="1" applyBorder="1" applyProtection="1"/>
    <xf numFmtId="0" fontId="15" fillId="7" borderId="0" xfId="0" applyFont="1" applyFill="1" applyBorder="1" applyAlignment="1" applyProtection="1">
      <alignment horizontal="center"/>
    </xf>
    <xf numFmtId="0" fontId="19" fillId="7" borderId="7" xfId="0" applyFont="1" applyFill="1" applyBorder="1" applyProtection="1"/>
    <xf numFmtId="0" fontId="15" fillId="7" borderId="7" xfId="0" applyFont="1" applyFill="1" applyBorder="1" applyAlignment="1" applyProtection="1">
      <alignment horizontal="center" vertical="center" wrapText="1"/>
    </xf>
    <xf numFmtId="0" fontId="17" fillId="7" borderId="0" xfId="0" applyFont="1" applyFill="1" applyBorder="1" applyProtection="1"/>
    <xf numFmtId="0" fontId="11" fillId="7" borderId="7" xfId="0" applyFont="1" applyFill="1" applyBorder="1" applyAlignment="1" applyProtection="1">
      <alignment vertical="center"/>
    </xf>
    <xf numFmtId="0" fontId="15" fillId="7" borderId="0" xfId="0" applyFont="1" applyFill="1" applyAlignment="1" applyProtection="1">
      <alignment wrapText="1"/>
    </xf>
    <xf numFmtId="0" fontId="15" fillId="7" borderId="0" xfId="0" applyFont="1" applyFill="1" applyAlignment="1" applyProtection="1">
      <alignment horizontal="center" wrapText="1"/>
    </xf>
    <xf numFmtId="0" fontId="12" fillId="0" borderId="0" xfId="0" applyFont="1" applyFill="1" applyAlignment="1" applyProtection="1">
      <alignment vertical="center"/>
      <protection locked="0"/>
    </xf>
    <xf numFmtId="0" fontId="12" fillId="0" borderId="0" xfId="0" applyFont="1" applyFill="1" applyAlignment="1" applyProtection="1">
      <alignment horizontal="right" vertical="center"/>
      <protection locked="0"/>
    </xf>
    <xf numFmtId="0" fontId="12" fillId="0" borderId="0" xfId="0" applyFont="1" applyFill="1" applyAlignment="1" applyProtection="1">
      <alignment horizontal="center" vertical="center"/>
    </xf>
    <xf numFmtId="0" fontId="15" fillId="7" borderId="1" xfId="0" applyFont="1" applyFill="1" applyBorder="1" applyAlignment="1" applyProtection="1">
      <alignment vertical="center"/>
    </xf>
    <xf numFmtId="0" fontId="18" fillId="7" borderId="7" xfId="0" applyFont="1" applyFill="1" applyBorder="1" applyAlignment="1" applyProtection="1">
      <alignment horizontal="center" vertical="center" wrapText="1"/>
    </xf>
    <xf numFmtId="0" fontId="20" fillId="7" borderId="10" xfId="0" applyFont="1" applyFill="1" applyBorder="1" applyAlignment="1" applyProtection="1">
      <alignment horizontal="center" vertical="center" wrapText="1"/>
    </xf>
    <xf numFmtId="0" fontId="12" fillId="0" borderId="0" xfId="0" applyFont="1" applyFill="1" applyAlignment="1" applyProtection="1">
      <alignment horizontal="left" vertical="center"/>
    </xf>
    <xf numFmtId="0" fontId="15" fillId="7" borderId="1" xfId="0" applyFont="1" applyFill="1" applyBorder="1" applyAlignment="1" applyProtection="1">
      <alignment vertical="center" wrapText="1"/>
    </xf>
    <xf numFmtId="0" fontId="12" fillId="0" borderId="0" xfId="0" applyFont="1" applyAlignment="1" applyProtection="1">
      <alignment vertical="center" wrapText="1"/>
    </xf>
    <xf numFmtId="0" fontId="12" fillId="7" borderId="1" xfId="0" applyFont="1" applyFill="1" applyBorder="1" applyAlignment="1" applyProtection="1">
      <alignment vertical="center" wrapText="1"/>
    </xf>
    <xf numFmtId="0" fontId="20" fillId="7" borderId="1" xfId="0" applyFont="1" applyFill="1" applyBorder="1" applyAlignment="1" applyProtection="1">
      <alignment horizontal="center" vertical="center" wrapText="1"/>
    </xf>
    <xf numFmtId="0" fontId="21" fillId="7" borderId="1" xfId="0" applyFont="1" applyFill="1" applyBorder="1" applyAlignment="1" applyProtection="1">
      <alignment vertical="center"/>
    </xf>
    <xf numFmtId="0" fontId="16" fillId="7" borderId="1" xfId="0" applyFont="1" applyFill="1" applyBorder="1" applyAlignment="1" applyProtection="1">
      <alignment vertical="center" wrapText="1"/>
    </xf>
    <xf numFmtId="0" fontId="21" fillId="7" borderId="1" xfId="0" applyFont="1" applyFill="1" applyBorder="1" applyProtection="1"/>
    <xf numFmtId="0" fontId="15" fillId="7" borderId="11" xfId="0" applyFont="1" applyFill="1" applyBorder="1" applyAlignment="1" applyProtection="1">
      <alignment vertical="center" wrapText="1"/>
    </xf>
    <xf numFmtId="0" fontId="15" fillId="7" borderId="12" xfId="0" applyFont="1" applyFill="1" applyBorder="1" applyAlignment="1" applyProtection="1">
      <alignment vertical="center"/>
    </xf>
    <xf numFmtId="0" fontId="21" fillId="7" borderId="13" xfId="0" applyFont="1" applyFill="1" applyBorder="1" applyProtection="1"/>
    <xf numFmtId="0" fontId="16" fillId="7" borderId="14" xfId="0" applyFont="1" applyFill="1" applyBorder="1" applyAlignment="1" applyProtection="1">
      <alignment vertical="center" wrapText="1"/>
    </xf>
    <xf numFmtId="0" fontId="12" fillId="0" borderId="0" xfId="0" applyFont="1" applyAlignment="1">
      <alignment vertical="center"/>
    </xf>
    <xf numFmtId="0" fontId="12" fillId="0" borderId="0" xfId="0" applyFont="1" applyFill="1" applyAlignment="1">
      <alignment vertical="center"/>
    </xf>
    <xf numFmtId="0" fontId="12" fillId="7" borderId="0" xfId="0" applyFont="1" applyFill="1" applyAlignment="1" applyProtection="1">
      <alignment vertical="center"/>
    </xf>
    <xf numFmtId="0" fontId="15" fillId="7" borderId="7" xfId="0" applyFont="1" applyFill="1" applyBorder="1" applyProtection="1"/>
    <xf numFmtId="0" fontId="21" fillId="7" borderId="7" xfId="0" applyFont="1" applyFill="1" applyBorder="1" applyAlignment="1" applyProtection="1">
      <alignment horizontal="center" vertical="center" wrapText="1"/>
    </xf>
    <xf numFmtId="0" fontId="20" fillId="7" borderId="7" xfId="0" applyFont="1" applyFill="1" applyBorder="1" applyAlignment="1" applyProtection="1">
      <alignment horizontal="center" vertical="center" wrapText="1"/>
    </xf>
    <xf numFmtId="0" fontId="21" fillId="7" borderId="7" xfId="0" applyFont="1" applyFill="1" applyBorder="1" applyProtection="1"/>
    <xf numFmtId="0" fontId="15" fillId="7" borderId="7" xfId="0" applyFont="1" applyFill="1" applyBorder="1" applyAlignment="1" applyProtection="1">
      <alignment wrapText="1"/>
    </xf>
    <xf numFmtId="0" fontId="21" fillId="7" borderId="7" xfId="0" applyFont="1" applyFill="1" applyBorder="1" applyAlignment="1" applyProtection="1">
      <alignment vertical="center" wrapText="1"/>
    </xf>
    <xf numFmtId="0" fontId="20" fillId="7" borderId="7" xfId="0" applyFont="1" applyFill="1" applyBorder="1" applyAlignment="1" applyProtection="1">
      <alignment vertical="center" wrapText="1"/>
    </xf>
    <xf numFmtId="0" fontId="15" fillId="7" borderId="7" xfId="0" applyFont="1" applyFill="1" applyBorder="1" applyAlignment="1" applyProtection="1">
      <alignment vertical="center" wrapText="1"/>
    </xf>
    <xf numFmtId="0" fontId="12" fillId="7" borderId="7" xfId="0" applyFont="1" applyFill="1" applyBorder="1" applyAlignment="1" applyProtection="1">
      <alignment vertical="center" wrapText="1"/>
    </xf>
    <xf numFmtId="49" fontId="7" fillId="7" borderId="0" xfId="0" applyNumberFormat="1" applyFont="1" applyFill="1" applyAlignment="1" applyProtection="1">
      <alignment horizontal="center" vertical="center" wrapText="1"/>
    </xf>
    <xf numFmtId="0" fontId="12"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2" fillId="0" borderId="0" xfId="0" applyFont="1" applyAlignment="1" applyProtection="1">
      <alignment horizontal="right" vertical="center" wrapText="1"/>
      <protection locked="0"/>
    </xf>
    <xf numFmtId="0" fontId="15" fillId="7" borderId="15" xfId="0" applyFont="1" applyFill="1" applyBorder="1" applyAlignment="1" applyProtection="1">
      <alignment vertical="center" wrapText="1"/>
    </xf>
    <xf numFmtId="0" fontId="17" fillId="7" borderId="15" xfId="0" applyFont="1" applyFill="1" applyBorder="1" applyAlignment="1" applyProtection="1">
      <alignment horizontal="center" vertical="center" wrapText="1"/>
    </xf>
    <xf numFmtId="0" fontId="18" fillId="7" borderId="15" xfId="0" applyFont="1" applyFill="1" applyBorder="1" applyAlignment="1" applyProtection="1">
      <alignment horizontal="center" vertical="center" wrapText="1"/>
    </xf>
    <xf numFmtId="0" fontId="22" fillId="7" borderId="0" xfId="0" applyFont="1" applyFill="1" applyAlignment="1" applyProtection="1">
      <alignment vertical="center"/>
    </xf>
    <xf numFmtId="0" fontId="21" fillId="7" borderId="15" xfId="0" applyFont="1" applyFill="1" applyBorder="1" applyAlignment="1" applyProtection="1">
      <alignment horizontal="center" vertical="center" wrapText="1"/>
    </xf>
    <xf numFmtId="0" fontId="20" fillId="7" borderId="15" xfId="0" applyFont="1" applyFill="1" applyBorder="1" applyAlignment="1" applyProtection="1">
      <alignment horizontal="center" vertical="center"/>
    </xf>
    <xf numFmtId="0" fontId="11" fillId="0" borderId="0" xfId="0" applyFont="1" applyAlignment="1" applyProtection="1">
      <alignment vertical="center" wrapText="1"/>
      <protection locked="0"/>
    </xf>
    <xf numFmtId="0" fontId="11" fillId="0" borderId="0" xfId="0" applyFont="1" applyAlignment="1" applyProtection="1">
      <alignment horizontal="center" vertical="center" wrapText="1"/>
      <protection locked="0"/>
    </xf>
    <xf numFmtId="0" fontId="11" fillId="0" borderId="0" xfId="0" applyFont="1" applyFill="1" applyAlignment="1" applyProtection="1">
      <alignment vertical="center" wrapText="1"/>
    </xf>
    <xf numFmtId="0" fontId="15" fillId="0" borderId="0" xfId="0" applyFont="1" applyFill="1" applyAlignment="1" applyProtection="1">
      <alignment vertical="center" wrapText="1"/>
    </xf>
    <xf numFmtId="0" fontId="15" fillId="0" borderId="0" xfId="0" applyFont="1" applyAlignment="1" applyProtection="1">
      <alignment vertical="center" wrapText="1"/>
    </xf>
    <xf numFmtId="0" fontId="21" fillId="7" borderId="1" xfId="0" applyFont="1" applyFill="1" applyBorder="1" applyAlignment="1" applyProtection="1">
      <alignment horizontal="center" vertical="center" wrapText="1"/>
    </xf>
    <xf numFmtId="0" fontId="12" fillId="7" borderId="0" xfId="0" applyFont="1" applyFill="1" applyAlignment="1" applyProtection="1">
      <alignment horizontal="center" vertical="center" wrapText="1"/>
    </xf>
    <xf numFmtId="0" fontId="10" fillId="0" borderId="0" xfId="0" applyFont="1" applyFill="1" applyBorder="1" applyAlignment="1">
      <alignment vertical="center" wrapTex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justify" vertical="center" wrapText="1"/>
    </xf>
    <xf numFmtId="0" fontId="10" fillId="0" borderId="0" xfId="0" applyFont="1" applyFill="1" applyBorder="1" applyAlignment="1" applyProtection="1">
      <alignment vertical="center" wrapText="1"/>
      <protection locked="0"/>
    </xf>
    <xf numFmtId="167" fontId="10" fillId="0" borderId="0" xfId="7" applyNumberFormat="1" applyFont="1" applyFill="1" applyBorder="1" applyAlignment="1" applyProtection="1">
      <alignment horizontal="center" vertical="center" wrapText="1"/>
    </xf>
    <xf numFmtId="9" fontId="10" fillId="0" borderId="0" xfId="0" applyNumberFormat="1" applyFont="1" applyFill="1" applyBorder="1" applyAlignment="1" applyProtection="1">
      <alignment horizontal="center" vertical="center" wrapText="1"/>
      <protection locked="0"/>
    </xf>
    <xf numFmtId="9" fontId="10" fillId="0" borderId="0" xfId="7" applyFont="1" applyFill="1" applyBorder="1" applyAlignment="1" applyProtection="1">
      <alignment horizontal="center" vertical="center" wrapText="1"/>
    </xf>
    <xf numFmtId="167" fontId="10" fillId="0" borderId="0" xfId="0" applyNumberFormat="1" applyFont="1" applyFill="1" applyBorder="1" applyAlignment="1" applyProtection="1">
      <alignment horizontal="center" vertical="center" wrapText="1"/>
      <protection locked="0"/>
    </xf>
    <xf numFmtId="10" fontId="10" fillId="0" borderId="0" xfId="0" applyNumberFormat="1" applyFont="1" applyFill="1" applyBorder="1" applyAlignment="1" applyProtection="1">
      <alignment vertical="center" wrapText="1"/>
    </xf>
    <xf numFmtId="0" fontId="10"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9" fontId="10" fillId="0" borderId="0" xfId="7" applyFont="1" applyFill="1" applyBorder="1" applyAlignment="1" applyProtection="1">
      <alignment horizontal="justify" vertical="center" wrapText="1"/>
    </xf>
    <xf numFmtId="10" fontId="10" fillId="0" borderId="0" xfId="7" applyNumberFormat="1" applyFont="1" applyFill="1" applyBorder="1" applyAlignment="1" applyProtection="1">
      <alignment horizontal="center" vertical="center" wrapText="1"/>
    </xf>
    <xf numFmtId="0" fontId="10" fillId="0" borderId="0" xfId="0" applyFont="1" applyFill="1" applyAlignment="1" applyProtection="1">
      <alignment horizontal="center" vertical="center" wrapText="1"/>
    </xf>
    <xf numFmtId="10" fontId="10" fillId="0" borderId="0" xfId="0" applyNumberFormat="1" applyFont="1" applyAlignment="1" applyProtection="1">
      <alignment vertical="center" wrapText="1"/>
    </xf>
    <xf numFmtId="9" fontId="24" fillId="8" borderId="16" xfId="0" applyNumberFormat="1" applyFont="1" applyFill="1" applyBorder="1" applyAlignment="1" applyProtection="1">
      <alignment horizontal="center" vertical="center" wrapText="1"/>
    </xf>
    <xf numFmtId="0" fontId="10" fillId="0" borderId="0" xfId="0" applyFont="1" applyAlignment="1" applyProtection="1">
      <alignment vertical="center" wrapText="1"/>
      <protection locked="0"/>
    </xf>
    <xf numFmtId="0" fontId="10" fillId="0" borderId="17"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0" borderId="19" xfId="0" applyFont="1" applyBorder="1" applyAlignment="1" applyProtection="1">
      <alignment vertical="center" wrapText="1"/>
      <protection locked="0"/>
    </xf>
    <xf numFmtId="0" fontId="10" fillId="0" borderId="20" xfId="0" applyFont="1" applyFill="1" applyBorder="1" applyAlignment="1" applyProtection="1">
      <alignment vertical="center" wrapText="1"/>
      <protection locked="0"/>
    </xf>
    <xf numFmtId="0" fontId="10" fillId="0" borderId="21"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0" fontId="10" fillId="9" borderId="21" xfId="0" applyFont="1" applyFill="1" applyBorder="1" applyAlignment="1" applyProtection="1">
      <alignment horizontal="center" vertical="center" wrapText="1"/>
      <protection locked="0"/>
    </xf>
    <xf numFmtId="0" fontId="10" fillId="9" borderId="22" xfId="0" applyFont="1" applyFill="1" applyBorder="1" applyAlignment="1" applyProtection="1">
      <alignment horizontal="center" vertical="center" wrapText="1"/>
      <protection locked="0"/>
    </xf>
    <xf numFmtId="0" fontId="10" fillId="0" borderId="20" xfId="0" applyFont="1" applyFill="1" applyBorder="1" applyAlignment="1" applyProtection="1">
      <alignment vertical="center" wrapText="1"/>
    </xf>
    <xf numFmtId="0" fontId="10" fillId="0" borderId="21"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20" xfId="0" applyFont="1" applyBorder="1" applyAlignment="1" applyProtection="1">
      <alignment vertical="center" wrapText="1"/>
    </xf>
    <xf numFmtId="10" fontId="10" fillId="0" borderId="21" xfId="0" applyNumberFormat="1" applyFont="1" applyFill="1" applyBorder="1" applyAlignment="1" applyProtection="1">
      <alignment horizontal="center" vertical="center" wrapText="1"/>
    </xf>
    <xf numFmtId="1" fontId="10" fillId="0" borderId="21" xfId="0" applyNumberFormat="1" applyFont="1" applyFill="1" applyBorder="1" applyAlignment="1" applyProtection="1">
      <alignment horizontal="justify" vertical="center" wrapText="1"/>
    </xf>
    <xf numFmtId="10" fontId="10" fillId="0" borderId="21" xfId="0" applyNumberFormat="1" applyFont="1" applyFill="1" applyBorder="1" applyAlignment="1" applyProtection="1">
      <alignment horizontal="justify" vertical="center" wrapText="1"/>
    </xf>
    <xf numFmtId="10" fontId="10" fillId="0" borderId="22" xfId="0" applyNumberFormat="1" applyFont="1" applyFill="1" applyBorder="1" applyAlignment="1" applyProtection="1">
      <alignment horizontal="justify" vertical="center" wrapText="1"/>
    </xf>
    <xf numFmtId="10" fontId="10" fillId="8" borderId="23" xfId="8" applyNumberFormat="1" applyFont="1" applyFill="1" applyBorder="1" applyAlignment="1" applyProtection="1">
      <alignment horizontal="center" vertical="center" wrapText="1"/>
    </xf>
    <xf numFmtId="10" fontId="10" fillId="0" borderId="24" xfId="0" applyNumberFormat="1" applyFont="1" applyFill="1" applyBorder="1" applyAlignment="1" applyProtection="1">
      <alignment vertical="center" wrapText="1"/>
    </xf>
    <xf numFmtId="9" fontId="10" fillId="0" borderId="18" xfId="8" applyFont="1" applyFill="1" applyBorder="1" applyAlignment="1" applyProtection="1">
      <alignment horizontal="center" vertical="center" wrapText="1"/>
    </xf>
    <xf numFmtId="9" fontId="10" fillId="0" borderId="25" xfId="8" applyFont="1" applyFill="1" applyBorder="1" applyAlignment="1" applyProtection="1">
      <alignment horizontal="center" vertical="center" wrapText="1"/>
    </xf>
    <xf numFmtId="9" fontId="10" fillId="0" borderId="26" xfId="8" applyFont="1" applyFill="1" applyBorder="1" applyAlignment="1" applyProtection="1">
      <alignment horizontal="center" vertical="center" wrapText="1"/>
    </xf>
    <xf numFmtId="9" fontId="10" fillId="10" borderId="25" xfId="0" applyNumberFormat="1" applyFont="1" applyFill="1" applyBorder="1" applyAlignment="1" applyProtection="1">
      <alignment horizontal="center" vertical="center" wrapText="1"/>
    </xf>
    <xf numFmtId="9" fontId="10" fillId="0" borderId="20" xfId="0" applyNumberFormat="1" applyFont="1" applyFill="1" applyBorder="1" applyAlignment="1" applyProtection="1">
      <alignment horizontal="center" vertical="center" wrapText="1"/>
    </xf>
    <xf numFmtId="9" fontId="10" fillId="0" borderId="27" xfId="0" applyNumberFormat="1" applyFont="1" applyFill="1" applyBorder="1" applyAlignment="1" applyProtection="1">
      <alignment horizontal="center" vertical="center" wrapText="1"/>
    </xf>
    <xf numFmtId="10" fontId="10" fillId="11" borderId="28" xfId="0" applyNumberFormat="1" applyFont="1" applyFill="1" applyBorder="1" applyAlignment="1" applyProtection="1">
      <alignment vertical="center" wrapText="1"/>
    </xf>
    <xf numFmtId="0" fontId="10" fillId="0" borderId="29" xfId="0" applyFont="1" applyBorder="1" applyAlignment="1" applyProtection="1">
      <alignment vertical="center" wrapText="1"/>
    </xf>
    <xf numFmtId="168" fontId="10" fillId="0" borderId="21" xfId="0" applyNumberFormat="1" applyFont="1" applyFill="1" applyBorder="1" applyAlignment="1" applyProtection="1">
      <alignment horizontal="center" vertical="center" wrapText="1"/>
    </xf>
    <xf numFmtId="0" fontId="10" fillId="9" borderId="24" xfId="0" applyFont="1" applyFill="1" applyBorder="1" applyAlignment="1" applyProtection="1">
      <alignment vertical="center" wrapText="1"/>
      <protection locked="0"/>
    </xf>
    <xf numFmtId="0" fontId="10" fillId="9" borderId="18" xfId="0" applyFont="1" applyFill="1" applyBorder="1" applyAlignment="1" applyProtection="1">
      <alignment horizontal="center" vertical="center" wrapText="1"/>
      <protection locked="0"/>
    </xf>
    <xf numFmtId="0" fontId="10" fillId="9" borderId="25" xfId="0" applyFont="1" applyFill="1" applyBorder="1" applyAlignment="1" applyProtection="1">
      <alignment horizontal="center" vertical="center" wrapText="1"/>
      <protection locked="0"/>
    </xf>
    <xf numFmtId="0" fontId="10" fillId="0" borderId="24" xfId="0" applyFont="1" applyFill="1" applyBorder="1" applyAlignment="1" applyProtection="1">
      <alignment vertical="center" wrapText="1"/>
    </xf>
    <xf numFmtId="0" fontId="10" fillId="0" borderId="18"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32" xfId="0" applyFont="1" applyBorder="1" applyAlignment="1" applyProtection="1">
      <alignment vertical="center" wrapText="1"/>
    </xf>
    <xf numFmtId="10" fontId="10" fillId="0" borderId="18" xfId="0" applyNumberFormat="1" applyFont="1" applyFill="1" applyBorder="1" applyAlignment="1" applyProtection="1">
      <alignment horizontal="center" vertical="center" wrapText="1"/>
    </xf>
    <xf numFmtId="1" fontId="10" fillId="0" borderId="18" xfId="0" applyNumberFormat="1" applyFont="1" applyFill="1" applyBorder="1" applyAlignment="1" applyProtection="1">
      <alignment horizontal="justify" vertical="center" wrapText="1"/>
    </xf>
    <xf numFmtId="10" fontId="10" fillId="0" borderId="25" xfId="0" applyNumberFormat="1" applyFont="1" applyFill="1" applyBorder="1" applyAlignment="1" applyProtection="1">
      <alignment horizontal="justify" vertical="center" wrapText="1"/>
    </xf>
    <xf numFmtId="9" fontId="10" fillId="0" borderId="33" xfId="0" applyNumberFormat="1" applyFont="1" applyFill="1" applyBorder="1" applyAlignment="1" applyProtection="1">
      <alignment horizontal="center" vertical="center" wrapText="1"/>
    </xf>
    <xf numFmtId="9" fontId="10" fillId="0" borderId="19" xfId="0" applyNumberFormat="1" applyFont="1" applyFill="1" applyBorder="1" applyAlignment="1" applyProtection="1">
      <alignment horizontal="center" vertical="center" wrapText="1"/>
    </xf>
    <xf numFmtId="10" fontId="10" fillId="11" borderId="23" xfId="0" applyNumberFormat="1" applyFont="1" applyFill="1" applyBorder="1" applyAlignment="1" applyProtection="1">
      <alignment vertical="center" wrapText="1"/>
    </xf>
    <xf numFmtId="0" fontId="10" fillId="0" borderId="33" xfId="0" applyFont="1" applyBorder="1" applyAlignment="1" applyProtection="1">
      <alignment vertical="center" wrapText="1"/>
    </xf>
    <xf numFmtId="168" fontId="10" fillId="0" borderId="18" xfId="0" applyNumberFormat="1" applyFont="1" applyFill="1" applyBorder="1" applyAlignment="1" applyProtection="1">
      <alignment horizontal="center" vertical="center" wrapText="1"/>
    </xf>
    <xf numFmtId="0" fontId="10" fillId="0" borderId="35" xfId="0" applyFont="1" applyBorder="1" applyAlignment="1" applyProtection="1">
      <alignment vertical="center" wrapText="1"/>
      <protection locked="0"/>
    </xf>
    <xf numFmtId="0" fontId="10" fillId="0" borderId="36" xfId="0" applyFont="1" applyBorder="1" applyAlignment="1" applyProtection="1">
      <alignment vertical="center" wrapText="1"/>
      <protection locked="0"/>
    </xf>
    <xf numFmtId="0" fontId="10" fillId="0" borderId="24" xfId="0" applyFont="1" applyFill="1" applyBorder="1" applyAlignment="1" applyProtection="1">
      <alignment vertical="center" wrapText="1"/>
      <protection locked="0"/>
    </xf>
    <xf numFmtId="0" fontId="10" fillId="0" borderId="18" xfId="0"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wrapText="1"/>
      <protection locked="0"/>
    </xf>
    <xf numFmtId="0" fontId="10" fillId="9" borderId="17" xfId="0" applyFont="1" applyFill="1" applyBorder="1" applyAlignment="1" applyProtection="1">
      <alignment vertical="center" wrapText="1"/>
      <protection locked="0"/>
    </xf>
    <xf numFmtId="0" fontId="10" fillId="9" borderId="35" xfId="0" applyFont="1" applyFill="1" applyBorder="1" applyAlignment="1" applyProtection="1">
      <alignment horizontal="center" vertical="center" wrapText="1"/>
      <protection locked="0"/>
    </xf>
    <xf numFmtId="0" fontId="10" fillId="0" borderId="32" xfId="0" applyFont="1" applyFill="1" applyBorder="1" applyAlignment="1" applyProtection="1">
      <alignment vertical="center" wrapText="1"/>
    </xf>
    <xf numFmtId="10" fontId="10" fillId="0" borderId="18" xfId="0" applyNumberFormat="1" applyFont="1" applyFill="1" applyBorder="1" applyAlignment="1" applyProtection="1">
      <alignment horizontal="justify" vertical="center" wrapText="1"/>
    </xf>
    <xf numFmtId="0" fontId="10" fillId="0" borderId="18" xfId="0" applyNumberFormat="1" applyFont="1" applyFill="1" applyBorder="1" applyAlignment="1" applyProtection="1">
      <alignment horizontal="center" vertical="center" wrapText="1"/>
    </xf>
    <xf numFmtId="1" fontId="10" fillId="0" borderId="25" xfId="0" applyNumberFormat="1" applyFont="1" applyFill="1" applyBorder="1" applyAlignment="1" applyProtection="1">
      <alignment horizontal="center" vertical="center" wrapText="1"/>
    </xf>
    <xf numFmtId="1" fontId="10" fillId="0" borderId="26" xfId="8" applyNumberFormat="1" applyFont="1" applyFill="1" applyBorder="1" applyAlignment="1" applyProtection="1">
      <alignment horizontal="center" vertical="center" wrapText="1"/>
    </xf>
    <xf numFmtId="0" fontId="10" fillId="10" borderId="18" xfId="0" applyNumberFormat="1" applyFont="1" applyFill="1" applyBorder="1" applyAlignment="1" applyProtection="1">
      <alignment horizontal="center" vertical="center" wrapText="1"/>
    </xf>
    <xf numFmtId="0" fontId="10" fillId="10" borderId="25" xfId="0" applyNumberFormat="1" applyFont="1" applyFill="1" applyBorder="1" applyAlignment="1" applyProtection="1">
      <alignment horizontal="center" vertical="center" wrapText="1"/>
    </xf>
    <xf numFmtId="10" fontId="10" fillId="11" borderId="23" xfId="0" applyNumberFormat="1" applyFont="1" applyFill="1" applyBorder="1" applyAlignment="1" applyProtection="1">
      <alignment horizontal="center" vertical="center" wrapText="1"/>
    </xf>
    <xf numFmtId="0" fontId="10" fillId="5" borderId="33" xfId="9" applyFont="1" applyFill="1" applyBorder="1" applyAlignment="1" applyProtection="1">
      <alignment horizontal="justify" vertical="center" wrapText="1"/>
    </xf>
    <xf numFmtId="0" fontId="10" fillId="0" borderId="35"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9" borderId="37" xfId="0" applyFont="1" applyFill="1" applyBorder="1" applyAlignment="1" applyProtection="1">
      <alignment horizontal="center" vertical="center" wrapText="1"/>
      <protection locked="0"/>
    </xf>
    <xf numFmtId="0" fontId="10" fillId="0" borderId="17" xfId="0" applyFont="1" applyFill="1" applyBorder="1" applyAlignment="1" applyProtection="1">
      <alignment vertical="center" wrapText="1"/>
    </xf>
    <xf numFmtId="0" fontId="10" fillId="0" borderId="35" xfId="0" applyFont="1" applyFill="1" applyBorder="1" applyAlignment="1" applyProtection="1">
      <alignment horizontal="center" vertical="center" wrapText="1"/>
    </xf>
    <xf numFmtId="0" fontId="10" fillId="0" borderId="37" xfId="0" applyFont="1" applyFill="1" applyBorder="1" applyAlignment="1" applyProtection="1">
      <alignment horizontal="center" vertical="center" wrapText="1"/>
    </xf>
    <xf numFmtId="0" fontId="10" fillId="0" borderId="38" xfId="0" applyFont="1" applyFill="1" applyBorder="1" applyAlignment="1" applyProtection="1">
      <alignment vertical="center" wrapText="1"/>
    </xf>
    <xf numFmtId="0" fontId="10" fillId="0" borderId="34" xfId="0" applyFont="1" applyBorder="1" applyAlignment="1" applyProtection="1">
      <alignment vertical="center" wrapText="1"/>
      <protection locked="0"/>
    </xf>
    <xf numFmtId="0" fontId="10" fillId="0" borderId="39" xfId="0" applyFont="1" applyBorder="1" applyAlignment="1" applyProtection="1">
      <alignment horizontal="center" vertical="center" wrapText="1"/>
      <protection locked="0"/>
    </xf>
    <xf numFmtId="0" fontId="10" fillId="0" borderId="34" xfId="0" applyFont="1" applyBorder="1" applyAlignment="1" applyProtection="1">
      <alignment horizontal="center" vertical="center" wrapText="1"/>
      <protection locked="0"/>
    </xf>
    <xf numFmtId="10" fontId="10" fillId="8" borderId="40" xfId="8" applyNumberFormat="1" applyFont="1" applyFill="1" applyBorder="1" applyAlignment="1" applyProtection="1">
      <alignment horizontal="center" vertical="center" wrapText="1"/>
    </xf>
    <xf numFmtId="10" fontId="10" fillId="0" borderId="41" xfId="0" applyNumberFormat="1" applyFont="1" applyFill="1" applyBorder="1" applyAlignment="1" applyProtection="1">
      <alignment vertical="center" wrapText="1"/>
    </xf>
    <xf numFmtId="0" fontId="10" fillId="0" borderId="26" xfId="0" applyNumberFormat="1" applyFont="1" applyFill="1" applyBorder="1" applyAlignment="1" applyProtection="1">
      <alignment horizontal="center" vertical="center" wrapText="1"/>
    </xf>
    <xf numFmtId="1" fontId="10" fillId="0" borderId="42" xfId="0" applyNumberFormat="1" applyFont="1" applyFill="1" applyBorder="1" applyAlignment="1" applyProtection="1">
      <alignment horizontal="center" vertical="center" wrapText="1"/>
    </xf>
    <xf numFmtId="0" fontId="10" fillId="10" borderId="26" xfId="0" applyNumberFormat="1" applyFont="1" applyFill="1" applyBorder="1" applyAlignment="1" applyProtection="1">
      <alignment horizontal="center" vertical="center" wrapText="1"/>
    </xf>
    <xf numFmtId="0" fontId="10" fillId="10" borderId="42" xfId="0" applyNumberFormat="1" applyFont="1" applyFill="1" applyBorder="1" applyAlignment="1" applyProtection="1">
      <alignment horizontal="center" vertical="center" wrapText="1"/>
    </xf>
    <xf numFmtId="0" fontId="10" fillId="0" borderId="24" xfId="0" applyFont="1" applyBorder="1" applyAlignment="1" applyProtection="1">
      <alignment vertical="center" wrapText="1"/>
      <protection locked="0"/>
    </xf>
    <xf numFmtId="0" fontId="10" fillId="0" borderId="18"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9" borderId="45" xfId="0" applyFont="1" applyFill="1" applyBorder="1" applyAlignment="1" applyProtection="1">
      <alignment horizontal="center" vertical="center" wrapText="1"/>
      <protection locked="0"/>
    </xf>
    <xf numFmtId="0" fontId="10" fillId="0" borderId="46" xfId="0" applyFont="1" applyFill="1" applyBorder="1" applyAlignment="1" applyProtection="1">
      <alignment vertical="center" wrapText="1"/>
    </xf>
    <xf numFmtId="0" fontId="10" fillId="0" borderId="47" xfId="0" applyFont="1" applyFill="1" applyBorder="1" applyAlignment="1" applyProtection="1">
      <alignment horizontal="center" vertical="center" wrapText="1"/>
    </xf>
    <xf numFmtId="0" fontId="10" fillId="0" borderId="45" xfId="0" applyFont="1" applyFill="1" applyBorder="1" applyAlignment="1" applyProtection="1">
      <alignment horizontal="center" vertical="center" wrapText="1"/>
    </xf>
    <xf numFmtId="0" fontId="10" fillId="0" borderId="44" xfId="0" applyFont="1" applyFill="1" applyBorder="1" applyAlignment="1" applyProtection="1">
      <alignment vertical="center" wrapText="1"/>
    </xf>
    <xf numFmtId="10" fontId="10" fillId="0" borderId="20" xfId="0" applyNumberFormat="1" applyFont="1" applyFill="1" applyBorder="1" applyAlignment="1" applyProtection="1">
      <alignment horizontal="center" vertical="center" wrapText="1"/>
    </xf>
    <xf numFmtId="10" fontId="10" fillId="8" borderId="28" xfId="8" applyNumberFormat="1" applyFont="1" applyFill="1" applyBorder="1" applyAlignment="1" applyProtection="1">
      <alignment horizontal="center" vertical="center" wrapText="1"/>
    </xf>
    <xf numFmtId="10" fontId="10" fillId="0" borderId="20" xfId="0" applyNumberFormat="1" applyFont="1" applyFill="1" applyBorder="1" applyAlignment="1" applyProtection="1">
      <alignment vertical="center" wrapText="1"/>
    </xf>
    <xf numFmtId="0" fontId="10" fillId="0" borderId="21" xfId="0" applyNumberFormat="1" applyFont="1" applyFill="1" applyBorder="1" applyAlignment="1" applyProtection="1">
      <alignment horizontal="center" vertical="center" wrapText="1"/>
    </xf>
    <xf numFmtId="1" fontId="10" fillId="0" borderId="22" xfId="0" applyNumberFormat="1" applyFont="1" applyFill="1" applyBorder="1" applyAlignment="1" applyProtection="1">
      <alignment horizontal="center" vertical="center" wrapText="1"/>
    </xf>
    <xf numFmtId="0" fontId="10" fillId="10" borderId="21" xfId="0" applyNumberFormat="1" applyFont="1" applyFill="1" applyBorder="1" applyAlignment="1" applyProtection="1">
      <alignment horizontal="center" vertical="center" wrapText="1"/>
    </xf>
    <xf numFmtId="0" fontId="10" fillId="10" borderId="22" xfId="0" applyNumberFormat="1" applyFont="1" applyFill="1" applyBorder="1" applyAlignment="1" applyProtection="1">
      <alignment horizontal="center" vertical="center" wrapText="1"/>
    </xf>
    <xf numFmtId="10" fontId="25" fillId="11" borderId="28" xfId="9" applyNumberFormat="1" applyFont="1" applyFill="1" applyBorder="1" applyAlignment="1" applyProtection="1">
      <alignment horizontal="center" vertical="center" wrapText="1"/>
    </xf>
    <xf numFmtId="0" fontId="10" fillId="0" borderId="48" xfId="9" applyFont="1" applyFill="1" applyBorder="1" applyAlignment="1" applyProtection="1">
      <alignment horizontal="justify" vertical="top" wrapText="1"/>
    </xf>
    <xf numFmtId="2" fontId="10" fillId="0" borderId="25" xfId="0" applyNumberFormat="1" applyFont="1" applyFill="1" applyBorder="1" applyAlignment="1" applyProtection="1">
      <alignment horizontal="center" vertical="center" wrapText="1"/>
    </xf>
    <xf numFmtId="0" fontId="26" fillId="9" borderId="25" xfId="0" applyFont="1" applyFill="1" applyBorder="1" applyAlignment="1" applyProtection="1">
      <alignment horizontal="center" vertical="center" wrapText="1"/>
      <protection locked="0"/>
    </xf>
    <xf numFmtId="0" fontId="10" fillId="0" borderId="50" xfId="0" applyFont="1" applyFill="1" applyBorder="1" applyAlignment="1" applyProtection="1">
      <alignment vertical="center" wrapText="1"/>
    </xf>
    <xf numFmtId="10" fontId="10" fillId="0" borderId="24" xfId="0" applyNumberFormat="1" applyFont="1" applyFill="1" applyBorder="1" applyAlignment="1" applyProtection="1">
      <alignment horizontal="center" vertical="center" wrapText="1"/>
    </xf>
    <xf numFmtId="9" fontId="10" fillId="0" borderId="24" xfId="0" applyNumberFormat="1" applyFont="1" applyFill="1" applyBorder="1" applyAlignment="1" applyProtection="1">
      <alignment horizontal="center" vertical="center" wrapText="1"/>
    </xf>
    <xf numFmtId="10" fontId="25" fillId="11" borderId="23" xfId="9" applyNumberFormat="1" applyFont="1" applyFill="1" applyBorder="1" applyAlignment="1" applyProtection="1">
      <alignment horizontal="center" vertical="center" wrapText="1"/>
    </xf>
    <xf numFmtId="0" fontId="10" fillId="0" borderId="33" xfId="9" applyFont="1" applyFill="1" applyBorder="1" applyAlignment="1" applyProtection="1">
      <alignment horizontal="justify" vertical="top" wrapText="1"/>
    </xf>
    <xf numFmtId="168" fontId="10" fillId="0" borderId="25" xfId="0" applyNumberFormat="1"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protection locked="0"/>
    </xf>
    <xf numFmtId="9" fontId="10" fillId="0" borderId="18" xfId="0" applyNumberFormat="1" applyFont="1" applyBorder="1" applyAlignment="1" applyProtection="1">
      <alignment horizontal="center" vertical="center" wrapText="1"/>
      <protection locked="0"/>
    </xf>
    <xf numFmtId="9" fontId="10" fillId="0" borderId="19" xfId="0" applyNumberFormat="1" applyFont="1" applyBorder="1" applyAlignment="1" applyProtection="1">
      <alignment horizontal="center" vertical="center" wrapText="1"/>
      <protection locked="0"/>
    </xf>
    <xf numFmtId="9" fontId="10" fillId="10" borderId="18" xfId="8" applyFont="1" applyFill="1" applyBorder="1" applyAlignment="1" applyProtection="1">
      <alignment horizontal="center" vertical="center" wrapText="1"/>
    </xf>
    <xf numFmtId="9" fontId="10" fillId="10" borderId="25" xfId="8" applyFont="1" applyFill="1" applyBorder="1" applyAlignment="1" applyProtection="1">
      <alignment horizontal="center" vertical="center" wrapText="1"/>
    </xf>
    <xf numFmtId="10" fontId="10" fillId="0" borderId="50" xfId="0" applyNumberFormat="1" applyFont="1" applyFill="1" applyBorder="1" applyAlignment="1" applyProtection="1">
      <alignment horizontal="center" vertical="center" wrapText="1"/>
    </xf>
    <xf numFmtId="10" fontId="10" fillId="11" borderId="23" xfId="8" applyNumberFormat="1" applyFont="1" applyFill="1" applyBorder="1" applyAlignment="1" applyProtection="1">
      <alignment horizontal="center" vertical="center" wrapText="1"/>
    </xf>
    <xf numFmtId="0" fontId="10" fillId="0" borderId="33" xfId="0" applyFont="1" applyFill="1" applyBorder="1" applyAlignment="1" applyProtection="1">
      <alignment horizontal="left" vertical="center" wrapText="1"/>
    </xf>
    <xf numFmtId="0" fontId="10" fillId="0" borderId="33" xfId="0" applyFont="1" applyFill="1" applyBorder="1" applyAlignment="1" applyProtection="1">
      <alignment horizontal="justify" vertical="center" wrapText="1"/>
    </xf>
    <xf numFmtId="0" fontId="10" fillId="0" borderId="51" xfId="0" applyFont="1" applyBorder="1" applyAlignment="1" applyProtection="1">
      <alignment vertical="center" wrapText="1"/>
      <protection locked="0"/>
    </xf>
    <xf numFmtId="0" fontId="10" fillId="0" borderId="41" xfId="0" applyFont="1" applyBorder="1" applyAlignment="1" applyProtection="1">
      <alignment vertical="center" wrapText="1"/>
      <protection locked="0"/>
    </xf>
    <xf numFmtId="0" fontId="10" fillId="0" borderId="26" xfId="0" applyFont="1" applyBorder="1" applyAlignment="1" applyProtection="1">
      <alignment horizontal="center" vertical="center" wrapText="1"/>
      <protection locked="0"/>
    </xf>
    <xf numFmtId="0" fontId="10" fillId="0" borderId="42" xfId="0" applyFont="1" applyBorder="1" applyAlignment="1" applyProtection="1">
      <alignment horizontal="center" vertical="center" wrapText="1"/>
      <protection locked="0"/>
    </xf>
    <xf numFmtId="0" fontId="10" fillId="9" borderId="26" xfId="0" applyFont="1" applyFill="1" applyBorder="1" applyAlignment="1" applyProtection="1">
      <alignment horizontal="center" vertical="center" wrapText="1"/>
      <protection locked="0"/>
    </xf>
    <xf numFmtId="0" fontId="10" fillId="9" borderId="42" xfId="0" applyFont="1" applyFill="1" applyBorder="1" applyAlignment="1" applyProtection="1">
      <alignment horizontal="center" vertical="center" wrapText="1"/>
      <protection locked="0"/>
    </xf>
    <xf numFmtId="0" fontId="10" fillId="0" borderId="41" xfId="0" applyFont="1" applyFill="1" applyBorder="1" applyAlignment="1" applyProtection="1">
      <alignment vertical="center" wrapText="1"/>
    </xf>
    <xf numFmtId="0" fontId="10" fillId="0" borderId="26" xfId="0" applyFont="1" applyFill="1" applyBorder="1" applyAlignment="1" applyProtection="1">
      <alignment horizontal="center" vertical="center" wrapText="1"/>
    </xf>
    <xf numFmtId="0" fontId="10" fillId="0" borderId="42" xfId="0" applyFont="1" applyFill="1" applyBorder="1" applyAlignment="1" applyProtection="1">
      <alignment horizontal="center" vertical="center" wrapText="1"/>
    </xf>
    <xf numFmtId="0" fontId="10" fillId="0" borderId="52" xfId="0" applyFont="1" applyFill="1" applyBorder="1" applyAlignment="1" applyProtection="1">
      <alignment vertical="center" wrapText="1"/>
    </xf>
    <xf numFmtId="10" fontId="10" fillId="0" borderId="41" xfId="0" applyNumberFormat="1" applyFont="1" applyFill="1" applyBorder="1" applyAlignment="1" applyProtection="1">
      <alignment horizontal="center" vertical="center" wrapText="1"/>
    </xf>
    <xf numFmtId="1" fontId="10" fillId="0" borderId="26" xfId="0" applyNumberFormat="1" applyFont="1" applyFill="1" applyBorder="1" applyAlignment="1" applyProtection="1">
      <alignment horizontal="justify" vertical="center" wrapText="1"/>
    </xf>
    <xf numFmtId="1" fontId="10" fillId="0" borderId="26" xfId="0" applyNumberFormat="1" applyFont="1" applyBorder="1" applyAlignment="1" applyProtection="1">
      <alignment horizontal="justify" vertical="center" wrapText="1"/>
    </xf>
    <xf numFmtId="10" fontId="10" fillId="0" borderId="42" xfId="0" applyNumberFormat="1" applyFont="1" applyFill="1" applyBorder="1" applyAlignment="1" applyProtection="1">
      <alignment horizontal="justify" vertical="center" wrapText="1"/>
    </xf>
    <xf numFmtId="9" fontId="10" fillId="0" borderId="41" xfId="0" applyNumberFormat="1" applyFont="1" applyFill="1" applyBorder="1" applyAlignment="1" applyProtection="1">
      <alignment horizontal="center" vertical="center" wrapText="1"/>
    </xf>
    <xf numFmtId="9" fontId="10" fillId="0" borderId="51" xfId="0" applyNumberFormat="1" applyFont="1" applyFill="1" applyBorder="1" applyAlignment="1" applyProtection="1">
      <alignment horizontal="center" vertical="center" wrapText="1"/>
    </xf>
    <xf numFmtId="10" fontId="10" fillId="11" borderId="40" xfId="0" applyNumberFormat="1" applyFont="1" applyFill="1" applyBorder="1" applyAlignment="1" applyProtection="1">
      <alignment horizontal="center" vertical="center" wrapText="1"/>
    </xf>
    <xf numFmtId="0" fontId="10" fillId="0" borderId="53" xfId="0" applyFont="1" applyFill="1" applyBorder="1" applyAlignment="1" applyProtection="1">
      <alignment horizontal="justify" vertical="center" wrapText="1"/>
    </xf>
    <xf numFmtId="168" fontId="10" fillId="0" borderId="42" xfId="0" applyNumberFormat="1" applyFont="1" applyFill="1" applyBorder="1" applyAlignment="1" applyProtection="1">
      <alignment horizontal="center" vertical="center" wrapText="1"/>
    </xf>
    <xf numFmtId="0" fontId="10" fillId="0" borderId="46" xfId="0" applyFont="1" applyBorder="1" applyAlignment="1" applyProtection="1">
      <alignment vertical="center" wrapText="1"/>
      <protection locked="0"/>
    </xf>
    <xf numFmtId="0" fontId="10" fillId="0" borderId="47" xfId="0" applyFont="1" applyBorder="1" applyAlignment="1" applyProtection="1">
      <alignment vertical="center" wrapText="1"/>
      <protection locked="0"/>
    </xf>
    <xf numFmtId="0" fontId="10" fillId="0" borderId="43" xfId="0" applyFont="1" applyBorder="1" applyAlignment="1" applyProtection="1">
      <alignment vertical="center" wrapText="1"/>
      <protection locked="0"/>
    </xf>
    <xf numFmtId="0" fontId="10" fillId="0" borderId="47" xfId="0" applyFont="1" applyBorder="1" applyAlignment="1" applyProtection="1">
      <alignment horizontal="center" vertical="center" wrapText="1"/>
      <protection locked="0"/>
    </xf>
    <xf numFmtId="0" fontId="10" fillId="0" borderId="45" xfId="0" applyFont="1" applyBorder="1" applyAlignment="1" applyProtection="1">
      <alignment horizontal="center" vertical="center" wrapText="1"/>
      <protection locked="0"/>
    </xf>
    <xf numFmtId="0" fontId="10" fillId="9" borderId="46" xfId="0" applyNumberFormat="1" applyFont="1" applyFill="1" applyBorder="1" applyAlignment="1" applyProtection="1">
      <alignment vertical="center" wrapText="1"/>
      <protection locked="0"/>
    </xf>
    <xf numFmtId="0" fontId="10" fillId="9" borderId="47" xfId="0" applyFont="1" applyFill="1" applyBorder="1" applyAlignment="1" applyProtection="1">
      <alignment horizontal="center" vertical="center" wrapText="1"/>
      <protection locked="0"/>
    </xf>
    <xf numFmtId="0" fontId="10" fillId="0" borderId="56" xfId="0" applyFont="1" applyFill="1" applyBorder="1" applyAlignment="1" applyProtection="1">
      <alignment vertical="center" wrapText="1"/>
    </xf>
    <xf numFmtId="10" fontId="10" fillId="0" borderId="48" xfId="0" applyNumberFormat="1" applyFont="1" applyFill="1" applyBorder="1" applyAlignment="1" applyProtection="1">
      <alignment horizontal="center" vertical="center" wrapText="1"/>
    </xf>
    <xf numFmtId="1" fontId="10" fillId="0" borderId="47" xfId="0" applyNumberFormat="1" applyFont="1" applyFill="1" applyBorder="1" applyAlignment="1" applyProtection="1">
      <alignment horizontal="justify" vertical="center" wrapText="1"/>
    </xf>
    <xf numFmtId="1" fontId="10" fillId="0" borderId="47" xfId="0" applyNumberFormat="1" applyFont="1" applyBorder="1" applyAlignment="1" applyProtection="1">
      <alignment horizontal="justify" vertical="center" wrapText="1"/>
    </xf>
    <xf numFmtId="10" fontId="10" fillId="0" borderId="47" xfId="0" applyNumberFormat="1" applyFont="1" applyFill="1" applyBorder="1" applyAlignment="1" applyProtection="1">
      <alignment horizontal="justify" vertical="center" wrapText="1"/>
    </xf>
    <xf numFmtId="9" fontId="10" fillId="0" borderId="48" xfId="0" applyNumberFormat="1" applyFont="1" applyFill="1" applyBorder="1" applyAlignment="1" applyProtection="1">
      <alignment horizontal="center" vertical="center" wrapText="1"/>
    </xf>
    <xf numFmtId="9" fontId="10" fillId="0" borderId="43" xfId="0" applyNumberFormat="1" applyFont="1" applyFill="1" applyBorder="1" applyAlignment="1" applyProtection="1">
      <alignment horizontal="center" vertical="center" wrapText="1"/>
    </xf>
    <xf numFmtId="10" fontId="10" fillId="11" borderId="55" xfId="0" applyNumberFormat="1" applyFont="1" applyFill="1" applyBorder="1" applyAlignment="1" applyProtection="1">
      <alignment horizontal="center" vertical="center" wrapText="1"/>
    </xf>
    <xf numFmtId="0" fontId="10" fillId="0" borderId="48" xfId="0" applyFont="1" applyFill="1" applyBorder="1" applyAlignment="1" applyProtection="1">
      <alignment horizontal="justify" vertical="center" wrapText="1"/>
    </xf>
    <xf numFmtId="2" fontId="10" fillId="0" borderId="18" xfId="0" applyNumberFormat="1" applyFont="1" applyFill="1" applyBorder="1" applyAlignment="1" applyProtection="1">
      <alignment horizontal="center" vertical="center" wrapText="1"/>
    </xf>
    <xf numFmtId="0" fontId="10" fillId="9" borderId="24" xfId="0" applyNumberFormat="1" applyFont="1" applyFill="1" applyBorder="1" applyAlignment="1" applyProtection="1">
      <alignment vertical="center" wrapText="1"/>
      <protection locked="0"/>
    </xf>
    <xf numFmtId="9" fontId="10" fillId="0" borderId="45" xfId="0" applyNumberFormat="1" applyFont="1" applyFill="1" applyBorder="1" applyAlignment="1" applyProtection="1">
      <alignment horizontal="center" vertical="center" wrapText="1"/>
    </xf>
    <xf numFmtId="10" fontId="10" fillId="0" borderId="33" xfId="0" applyNumberFormat="1" applyFont="1" applyFill="1" applyBorder="1" applyAlignment="1" applyProtection="1">
      <alignment horizontal="center" vertical="center" wrapText="1"/>
    </xf>
    <xf numFmtId="0" fontId="10" fillId="0" borderId="57" xfId="0" applyFont="1" applyFill="1" applyBorder="1" applyAlignment="1" applyProtection="1">
      <alignment vertical="center" wrapText="1"/>
    </xf>
    <xf numFmtId="10" fontId="7" fillId="0" borderId="23" xfId="0" applyNumberFormat="1" applyFont="1" applyFill="1" applyBorder="1" applyAlignment="1" applyProtection="1">
      <alignment horizontal="center" vertical="center" wrapText="1"/>
    </xf>
    <xf numFmtId="1" fontId="10" fillId="0" borderId="18" xfId="0" applyNumberFormat="1" applyFont="1" applyBorder="1" applyAlignment="1" applyProtection="1">
      <alignment horizontal="justify" vertical="center" wrapText="1"/>
    </xf>
    <xf numFmtId="0" fontId="10" fillId="5" borderId="33" xfId="0" applyFont="1" applyFill="1" applyBorder="1" applyAlignment="1" applyProtection="1">
      <alignment horizontal="justify" vertical="center" wrapText="1"/>
    </xf>
    <xf numFmtId="0" fontId="10" fillId="9" borderId="61" xfId="0" applyFont="1" applyFill="1" applyBorder="1" applyAlignment="1" applyProtection="1">
      <alignment vertical="center" wrapText="1"/>
      <protection locked="0"/>
    </xf>
    <xf numFmtId="0" fontId="10" fillId="9" borderId="61" xfId="0" applyFont="1" applyFill="1" applyBorder="1" applyAlignment="1" applyProtection="1">
      <alignment horizontal="center" vertical="center" wrapText="1"/>
      <protection locked="0"/>
    </xf>
    <xf numFmtId="0" fontId="10" fillId="9" borderId="61" xfId="0" applyNumberFormat="1" applyFont="1" applyFill="1" applyBorder="1" applyAlignment="1" applyProtection="1">
      <alignment horizontal="center" vertical="center" wrapText="1"/>
      <protection locked="0"/>
    </xf>
    <xf numFmtId="0" fontId="12" fillId="9" borderId="61" xfId="0" applyFont="1" applyFill="1" applyBorder="1" applyAlignment="1" applyProtection="1">
      <alignment vertical="center" wrapText="1"/>
      <protection locked="0"/>
    </xf>
    <xf numFmtId="9" fontId="10" fillId="9" borderId="18" xfId="0" applyNumberFormat="1" applyFont="1" applyFill="1" applyBorder="1" applyAlignment="1" applyProtection="1">
      <alignment horizontal="center" vertical="center" wrapText="1"/>
      <protection locked="0"/>
    </xf>
    <xf numFmtId="9" fontId="10" fillId="9" borderId="25" xfId="0" applyNumberFormat="1" applyFont="1" applyFill="1" applyBorder="1" applyAlignment="1" applyProtection="1">
      <alignment horizontal="center" vertical="center" wrapText="1"/>
      <protection locked="0"/>
    </xf>
    <xf numFmtId="0" fontId="7" fillId="9" borderId="62" xfId="0" applyFont="1" applyFill="1" applyBorder="1" applyAlignment="1" applyProtection="1">
      <alignment vertical="center" wrapText="1"/>
      <protection locked="0"/>
    </xf>
    <xf numFmtId="0" fontId="10" fillId="9" borderId="62" xfId="0" applyFont="1" applyFill="1" applyBorder="1" applyAlignment="1" applyProtection="1">
      <alignment horizontal="center" vertical="center" wrapText="1"/>
      <protection locked="0"/>
    </xf>
    <xf numFmtId="0" fontId="10" fillId="9" borderId="62" xfId="0" applyNumberFormat="1" applyFont="1" applyFill="1" applyBorder="1" applyAlignment="1" applyProtection="1">
      <alignment horizontal="center" vertical="center" wrapText="1"/>
      <protection locked="0"/>
    </xf>
    <xf numFmtId="0" fontId="7" fillId="9" borderId="62" xfId="0" applyFont="1" applyFill="1" applyBorder="1" applyAlignment="1" applyProtection="1">
      <alignment vertical="top" wrapText="1"/>
      <protection locked="0"/>
    </xf>
    <xf numFmtId="0" fontId="10" fillId="9" borderId="62" xfId="0" applyFont="1" applyFill="1" applyBorder="1" applyAlignment="1" applyProtection="1">
      <alignment vertical="center" wrapText="1"/>
      <protection locked="0"/>
    </xf>
    <xf numFmtId="168" fontId="10" fillId="0" borderId="35" xfId="0" applyNumberFormat="1" applyFont="1" applyFill="1" applyBorder="1" applyAlignment="1" applyProtection="1">
      <alignment horizontal="center" vertical="center" wrapText="1"/>
    </xf>
    <xf numFmtId="0" fontId="12" fillId="9" borderId="62"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xf>
    <xf numFmtId="0" fontId="10" fillId="0" borderId="43" xfId="0" applyFont="1" applyFill="1" applyBorder="1" applyAlignment="1" applyProtection="1">
      <alignment horizontal="center" vertical="center" wrapText="1"/>
    </xf>
    <xf numFmtId="0" fontId="10" fillId="0" borderId="63" xfId="0" applyFont="1" applyFill="1" applyBorder="1" applyAlignment="1" applyProtection="1">
      <alignment vertical="center" wrapText="1"/>
    </xf>
    <xf numFmtId="10" fontId="10" fillId="0" borderId="59" xfId="0" applyNumberFormat="1" applyFont="1" applyFill="1" applyBorder="1" applyAlignment="1" applyProtection="1">
      <alignment horizontal="center" vertical="center" wrapText="1"/>
    </xf>
    <xf numFmtId="1" fontId="10" fillId="0" borderId="35" xfId="0" applyNumberFormat="1" applyFont="1" applyFill="1" applyBorder="1" applyAlignment="1" applyProtection="1">
      <alignment horizontal="justify" vertical="center" wrapText="1"/>
    </xf>
    <xf numFmtId="1" fontId="10" fillId="0" borderId="35" xfId="0" applyNumberFormat="1" applyFont="1" applyBorder="1" applyAlignment="1" applyProtection="1">
      <alignment horizontal="justify" vertical="center" wrapText="1"/>
    </xf>
    <xf numFmtId="9" fontId="10" fillId="0" borderId="53" xfId="0" applyNumberFormat="1" applyFont="1" applyFill="1" applyBorder="1" applyAlignment="1" applyProtection="1">
      <alignment horizontal="center" vertical="center" wrapText="1"/>
    </xf>
    <xf numFmtId="10" fontId="10" fillId="11" borderId="40" xfId="8" applyNumberFormat="1" applyFont="1" applyFill="1" applyBorder="1" applyAlignment="1" applyProtection="1">
      <alignment horizontal="center" vertical="center" wrapText="1"/>
    </xf>
    <xf numFmtId="168" fontId="10" fillId="0" borderId="26" xfId="0" applyNumberFormat="1" applyFont="1" applyFill="1" applyBorder="1" applyAlignment="1" applyProtection="1">
      <alignment horizontal="center" vertical="center" wrapText="1"/>
    </xf>
    <xf numFmtId="0" fontId="10" fillId="0" borderId="64" xfId="0" applyFont="1" applyFill="1" applyBorder="1" applyAlignment="1" applyProtection="1">
      <alignment vertical="center" wrapText="1"/>
    </xf>
    <xf numFmtId="10" fontId="10" fillId="0" borderId="55" xfId="8" applyNumberFormat="1" applyFont="1" applyFill="1" applyBorder="1" applyAlignment="1" applyProtection="1">
      <alignment horizontal="center" vertical="center" wrapText="1"/>
    </xf>
    <xf numFmtId="0" fontId="10" fillId="0" borderId="18" xfId="0" applyFont="1" applyFill="1" applyBorder="1" applyAlignment="1" applyProtection="1">
      <alignment horizontal="left" vertical="center" wrapText="1"/>
    </xf>
    <xf numFmtId="10" fontId="10" fillId="0" borderId="23" xfId="8" applyNumberFormat="1" applyFont="1" applyFill="1" applyBorder="1" applyAlignment="1" applyProtection="1">
      <alignment horizontal="center" vertical="center" wrapText="1"/>
    </xf>
    <xf numFmtId="0" fontId="25" fillId="0" borderId="24" xfId="0" applyFont="1" applyBorder="1" applyAlignment="1" applyProtection="1">
      <alignment vertical="center" wrapText="1"/>
      <protection locked="0"/>
    </xf>
    <xf numFmtId="1" fontId="10" fillId="0" borderId="18" xfId="0" applyNumberFormat="1" applyFont="1" applyBorder="1" applyAlignment="1" applyProtection="1">
      <alignment horizontal="center" vertical="center" wrapText="1"/>
      <protection locked="0"/>
    </xf>
    <xf numFmtId="1" fontId="10" fillId="0" borderId="19" xfId="0" applyNumberFormat="1" applyFont="1" applyBorder="1" applyAlignment="1" applyProtection="1">
      <alignment horizontal="center" vertical="center" wrapText="1"/>
      <protection locked="0"/>
    </xf>
    <xf numFmtId="0" fontId="10" fillId="0" borderId="18" xfId="0" applyFont="1" applyFill="1" applyBorder="1" applyAlignment="1" applyProtection="1">
      <alignment horizontal="justify" vertical="center" wrapText="1"/>
    </xf>
    <xf numFmtId="3" fontId="10" fillId="10" borderId="25" xfId="8" applyNumberFormat="1" applyFont="1" applyFill="1" applyBorder="1" applyAlignment="1" applyProtection="1">
      <alignment horizontal="center" vertical="center" wrapText="1"/>
    </xf>
    <xf numFmtId="0" fontId="10" fillId="0" borderId="50" xfId="0" applyFont="1" applyBorder="1" applyAlignment="1" applyProtection="1">
      <alignment vertical="center" wrapText="1"/>
    </xf>
    <xf numFmtId="1" fontId="10" fillId="10" borderId="25" xfId="8" applyNumberFormat="1" applyFont="1" applyFill="1" applyBorder="1" applyAlignment="1" applyProtection="1">
      <alignment horizontal="center" vertical="center" wrapText="1"/>
    </xf>
    <xf numFmtId="9" fontId="10" fillId="0" borderId="18" xfId="0" applyNumberFormat="1" applyFont="1" applyFill="1" applyBorder="1" applyAlignment="1" applyProtection="1">
      <alignment horizontal="center" vertical="center" wrapText="1"/>
    </xf>
    <xf numFmtId="9" fontId="10" fillId="0" borderId="25" xfId="0" applyNumberFormat="1" applyFont="1" applyFill="1" applyBorder="1" applyAlignment="1" applyProtection="1">
      <alignment horizontal="center" vertical="center" wrapText="1"/>
    </xf>
    <xf numFmtId="0" fontId="10" fillId="9" borderId="41" xfId="0" applyFont="1" applyFill="1" applyBorder="1" applyAlignment="1" applyProtection="1">
      <alignment vertical="center" wrapText="1"/>
      <protection locked="0"/>
    </xf>
    <xf numFmtId="0" fontId="10" fillId="0" borderId="26" xfId="0" applyFont="1" applyBorder="1" applyAlignment="1" applyProtection="1">
      <alignment vertical="center" wrapText="1"/>
      <protection locked="0"/>
    </xf>
    <xf numFmtId="0" fontId="10" fillId="0" borderId="52" xfId="0" applyFont="1" applyBorder="1" applyAlignment="1" applyProtection="1">
      <alignment vertical="center" wrapText="1"/>
    </xf>
    <xf numFmtId="10" fontId="10" fillId="0" borderId="26" xfId="0" applyNumberFormat="1" applyFont="1" applyFill="1" applyBorder="1" applyAlignment="1" applyProtection="1">
      <alignment horizontal="justify" vertical="center" wrapText="1"/>
    </xf>
    <xf numFmtId="1" fontId="10" fillId="10" borderId="42" xfId="8" applyNumberFormat="1" applyFont="1" applyFill="1" applyBorder="1" applyAlignment="1" applyProtection="1">
      <alignment horizontal="center" vertical="center" wrapText="1"/>
    </xf>
    <xf numFmtId="0" fontId="10" fillId="0" borderId="65" xfId="0" applyFont="1" applyBorder="1" applyAlignment="1" applyProtection="1">
      <alignment vertical="center" wrapText="1"/>
      <protection locked="0"/>
    </xf>
    <xf numFmtId="0" fontId="10" fillId="0" borderId="39" xfId="0" applyFont="1" applyBorder="1" applyAlignment="1" applyProtection="1">
      <alignment vertical="center" wrapText="1"/>
      <protection locked="0"/>
    </xf>
    <xf numFmtId="0" fontId="10" fillId="0" borderId="66" xfId="0" applyFont="1" applyBorder="1" applyAlignment="1" applyProtection="1">
      <alignment horizontal="center" vertical="center" wrapText="1"/>
      <protection locked="0"/>
    </xf>
    <xf numFmtId="0" fontId="10" fillId="9" borderId="65" xfId="0" applyFont="1" applyFill="1" applyBorder="1" applyAlignment="1" applyProtection="1">
      <alignment vertical="center" wrapText="1"/>
      <protection locked="0"/>
    </xf>
    <xf numFmtId="0" fontId="10" fillId="9" borderId="39" xfId="0" applyFont="1" applyFill="1" applyBorder="1" applyAlignment="1" applyProtection="1">
      <alignment horizontal="center" vertical="center" wrapText="1"/>
      <protection locked="0"/>
    </xf>
    <xf numFmtId="0" fontId="10" fillId="9" borderId="66" xfId="0" applyFont="1" applyFill="1" applyBorder="1" applyAlignment="1" applyProtection="1">
      <alignment horizontal="center" vertical="center" wrapText="1"/>
      <protection locked="0"/>
    </xf>
    <xf numFmtId="0" fontId="10" fillId="0" borderId="65" xfId="0" applyFont="1" applyFill="1" applyBorder="1" applyAlignment="1" applyProtection="1">
      <alignment vertical="center" wrapText="1"/>
    </xf>
    <xf numFmtId="0" fontId="10" fillId="0" borderId="39" xfId="0" applyFont="1" applyFill="1" applyBorder="1" applyAlignment="1" applyProtection="1">
      <alignment horizontal="center" vertical="center" wrapText="1"/>
    </xf>
    <xf numFmtId="0" fontId="10" fillId="0" borderId="66" xfId="0" applyFont="1" applyFill="1" applyBorder="1" applyAlignment="1" applyProtection="1">
      <alignment horizontal="center" vertical="center" wrapText="1"/>
    </xf>
    <xf numFmtId="0" fontId="10" fillId="0" borderId="67" xfId="0" applyFont="1" applyBorder="1" applyAlignment="1" applyProtection="1">
      <alignment vertical="center" wrapText="1"/>
    </xf>
    <xf numFmtId="10" fontId="10" fillId="0" borderId="60" xfId="0" applyNumberFormat="1" applyFont="1" applyFill="1" applyBorder="1" applyAlignment="1" applyProtection="1">
      <alignment horizontal="center" vertical="center" wrapText="1"/>
    </xf>
    <xf numFmtId="0" fontId="10" fillId="0" borderId="39" xfId="0" applyNumberFormat="1" applyFont="1" applyFill="1" applyBorder="1" applyAlignment="1" applyProtection="1">
      <alignment horizontal="justify" vertical="center" wrapText="1"/>
    </xf>
    <xf numFmtId="0" fontId="25" fillId="0" borderId="39" xfId="9" applyFont="1" applyFill="1" applyBorder="1" applyAlignment="1" applyProtection="1">
      <alignment horizontal="justify" vertical="center" wrapText="1"/>
    </xf>
    <xf numFmtId="10" fontId="10" fillId="8" borderId="16" xfId="8" applyNumberFormat="1" applyFont="1" applyFill="1" applyBorder="1" applyAlignment="1" applyProtection="1">
      <alignment horizontal="center" vertical="center" wrapText="1"/>
    </xf>
    <xf numFmtId="10" fontId="10" fillId="0" borderId="65" xfId="0" applyNumberFormat="1" applyFont="1" applyFill="1" applyBorder="1" applyAlignment="1" applyProtection="1">
      <alignment vertical="center" wrapText="1"/>
    </xf>
    <xf numFmtId="0" fontId="10" fillId="0" borderId="39" xfId="0" applyNumberFormat="1" applyFont="1" applyFill="1" applyBorder="1" applyAlignment="1" applyProtection="1">
      <alignment horizontal="center" vertical="center" wrapText="1"/>
    </xf>
    <xf numFmtId="1" fontId="10" fillId="0" borderId="66" xfId="0" applyNumberFormat="1" applyFont="1" applyFill="1" applyBorder="1" applyAlignment="1" applyProtection="1">
      <alignment horizontal="center" vertical="center" wrapText="1"/>
    </xf>
    <xf numFmtId="0" fontId="10" fillId="10" borderId="39" xfId="0" applyNumberFormat="1" applyFont="1" applyFill="1" applyBorder="1" applyAlignment="1" applyProtection="1">
      <alignment horizontal="center" vertical="center" wrapText="1"/>
    </xf>
    <xf numFmtId="0" fontId="10" fillId="10" borderId="66" xfId="0" applyNumberFormat="1" applyFont="1" applyFill="1" applyBorder="1" applyAlignment="1" applyProtection="1">
      <alignment horizontal="center" vertical="center" wrapText="1"/>
    </xf>
    <xf numFmtId="9" fontId="10" fillId="10" borderId="66" xfId="8" applyFont="1" applyFill="1" applyBorder="1" applyAlignment="1" applyProtection="1">
      <alignment horizontal="center" vertical="center" wrapText="1"/>
    </xf>
    <xf numFmtId="9" fontId="10" fillId="0" borderId="60" xfId="0" applyNumberFormat="1" applyFont="1" applyFill="1" applyBorder="1" applyAlignment="1" applyProtection="1">
      <alignment horizontal="center" vertical="center" wrapText="1"/>
    </xf>
    <xf numFmtId="9" fontId="10" fillId="0" borderId="34" xfId="0" applyNumberFormat="1" applyFont="1" applyFill="1" applyBorder="1" applyAlignment="1" applyProtection="1">
      <alignment horizontal="center" vertical="center" wrapText="1"/>
    </xf>
    <xf numFmtId="10" fontId="10" fillId="11" borderId="16" xfId="0" applyNumberFormat="1" applyFont="1" applyFill="1" applyBorder="1" applyAlignment="1" applyProtection="1">
      <alignment horizontal="center" vertical="center" wrapText="1"/>
    </xf>
    <xf numFmtId="10" fontId="10" fillId="5" borderId="67" xfId="0" applyNumberFormat="1" applyFont="1" applyFill="1" applyBorder="1" applyAlignment="1" applyProtection="1">
      <alignment horizontal="left" vertical="center" wrapText="1"/>
    </xf>
    <xf numFmtId="0" fontId="10" fillId="0" borderId="25" xfId="0" applyFont="1" applyBorder="1" applyAlignment="1" applyProtection="1">
      <alignment horizontal="center" vertical="center" wrapText="1"/>
    </xf>
    <xf numFmtId="0" fontId="10" fillId="0" borderId="21" xfId="0" applyFont="1" applyBorder="1" applyAlignment="1" applyProtection="1">
      <alignment vertical="center" wrapText="1"/>
      <protection locked="0"/>
    </xf>
    <xf numFmtId="0" fontId="10" fillId="0" borderId="27" xfId="0" applyFont="1" applyBorder="1" applyAlignment="1" applyProtection="1">
      <alignment vertical="center" wrapText="1"/>
      <protection locked="0"/>
    </xf>
    <xf numFmtId="0" fontId="10" fillId="0" borderId="20" xfId="0" applyFont="1" applyBorder="1" applyAlignment="1" applyProtection="1">
      <alignment vertical="center" wrapText="1"/>
      <protection locked="0"/>
    </xf>
    <xf numFmtId="0" fontId="10" fillId="0" borderId="2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9" borderId="20" xfId="0" applyFont="1" applyFill="1" applyBorder="1" applyAlignment="1" applyProtection="1">
      <alignment vertical="center" wrapText="1"/>
      <protection locked="0"/>
    </xf>
    <xf numFmtId="0" fontId="10" fillId="0" borderId="64" xfId="0" applyFont="1" applyBorder="1" applyAlignment="1" applyProtection="1">
      <alignment vertical="center" wrapText="1"/>
    </xf>
    <xf numFmtId="0" fontId="10" fillId="0" borderId="21" xfId="0" applyNumberFormat="1" applyFont="1" applyFill="1" applyBorder="1" applyAlignment="1" applyProtection="1">
      <alignment horizontal="justify" vertical="center" wrapText="1"/>
    </xf>
    <xf numFmtId="0" fontId="25" fillId="0" borderId="21" xfId="9" applyFont="1" applyFill="1" applyBorder="1" applyAlignment="1" applyProtection="1">
      <alignment horizontal="justify" vertical="center" wrapText="1"/>
    </xf>
    <xf numFmtId="0" fontId="25" fillId="0" borderId="22" xfId="9" applyFont="1" applyFill="1" applyBorder="1" applyAlignment="1" applyProtection="1">
      <alignment horizontal="justify" vertical="center" wrapText="1"/>
    </xf>
    <xf numFmtId="9" fontId="10" fillId="0" borderId="21" xfId="8" applyFont="1" applyFill="1" applyBorder="1" applyAlignment="1" applyProtection="1">
      <alignment horizontal="center" vertical="center" wrapText="1"/>
    </xf>
    <xf numFmtId="9" fontId="10" fillId="0" borderId="22" xfId="8" applyFont="1" applyFill="1" applyBorder="1" applyAlignment="1" applyProtection="1">
      <alignment horizontal="center" vertical="center" wrapText="1"/>
    </xf>
    <xf numFmtId="9" fontId="10" fillId="10" borderId="22" xfId="8" applyFont="1" applyFill="1" applyBorder="1" applyAlignment="1" applyProtection="1">
      <alignment horizontal="center" vertical="center" wrapText="1"/>
    </xf>
    <xf numFmtId="9" fontId="10" fillId="0" borderId="21" xfId="0" applyNumberFormat="1" applyFont="1" applyFill="1" applyBorder="1" applyAlignment="1" applyProtection="1">
      <alignment horizontal="center" vertical="center" wrapText="1"/>
    </xf>
    <xf numFmtId="10" fontId="10" fillId="11" borderId="21" xfId="0" applyNumberFormat="1" applyFont="1" applyFill="1" applyBorder="1" applyAlignment="1" applyProtection="1">
      <alignment horizontal="center" vertical="center" wrapText="1"/>
    </xf>
    <xf numFmtId="10" fontId="10" fillId="5" borderId="21" xfId="0" applyNumberFormat="1" applyFont="1" applyFill="1" applyBorder="1" applyAlignment="1" applyProtection="1">
      <alignment horizontal="left" vertical="center" wrapText="1"/>
    </xf>
    <xf numFmtId="168" fontId="10" fillId="0" borderId="22" xfId="0" applyNumberFormat="1" applyFont="1" applyFill="1" applyBorder="1" applyAlignment="1" applyProtection="1">
      <alignment horizontal="center" vertical="center" wrapText="1"/>
    </xf>
    <xf numFmtId="0" fontId="25" fillId="0" borderId="25" xfId="9" applyFont="1" applyFill="1" applyBorder="1" applyAlignment="1" applyProtection="1">
      <alignment horizontal="justify" vertical="center" wrapText="1"/>
    </xf>
    <xf numFmtId="10" fontId="10" fillId="11" borderId="18" xfId="0" applyNumberFormat="1" applyFont="1" applyFill="1" applyBorder="1" applyAlignment="1" applyProtection="1">
      <alignment horizontal="center" vertical="center" wrapText="1"/>
    </xf>
    <xf numFmtId="0" fontId="25" fillId="0" borderId="42" xfId="9" applyFont="1" applyFill="1" applyBorder="1" applyAlignment="1" applyProtection="1">
      <alignment horizontal="justify" vertical="center" wrapText="1"/>
    </xf>
    <xf numFmtId="9" fontId="10" fillId="0" borderId="42" xfId="8" applyFont="1" applyFill="1" applyBorder="1" applyAlignment="1" applyProtection="1">
      <alignment horizontal="center" vertical="center" wrapText="1"/>
    </xf>
    <xf numFmtId="9" fontId="10" fillId="10" borderId="42" xfId="8" applyFont="1" applyFill="1" applyBorder="1" applyAlignment="1" applyProtection="1">
      <alignment horizontal="center" vertical="center" wrapText="1"/>
    </xf>
    <xf numFmtId="9" fontId="10" fillId="0" borderId="26" xfId="0" applyNumberFormat="1" applyFont="1" applyFill="1" applyBorder="1" applyAlignment="1" applyProtection="1">
      <alignment horizontal="center" vertical="center" wrapText="1"/>
    </xf>
    <xf numFmtId="10" fontId="10" fillId="11" borderId="26" xfId="0" applyNumberFormat="1" applyFont="1" applyFill="1" applyBorder="1" applyAlignment="1" applyProtection="1">
      <alignment horizontal="center" vertical="center" wrapText="1"/>
    </xf>
    <xf numFmtId="0" fontId="10" fillId="0" borderId="26" xfId="0" applyFont="1" applyFill="1" applyBorder="1" applyAlignment="1" applyProtection="1">
      <alignment horizontal="left" vertical="center" wrapText="1"/>
    </xf>
    <xf numFmtId="0" fontId="10" fillId="9" borderId="46" xfId="0" applyFont="1" applyFill="1" applyBorder="1" applyAlignment="1" applyProtection="1">
      <alignment vertical="center" wrapText="1"/>
      <protection locked="0"/>
    </xf>
    <xf numFmtId="10" fontId="10" fillId="0" borderId="39" xfId="0" applyNumberFormat="1" applyFont="1" applyFill="1" applyBorder="1" applyAlignment="1" applyProtection="1">
      <alignment horizontal="justify" vertical="center" wrapText="1"/>
    </xf>
    <xf numFmtId="3" fontId="10" fillId="10" borderId="66" xfId="8" applyNumberFormat="1" applyFont="1" applyFill="1" applyBorder="1" applyAlignment="1" applyProtection="1">
      <alignment horizontal="center" vertical="center" wrapText="1"/>
    </xf>
    <xf numFmtId="10" fontId="10" fillId="11" borderId="16" xfId="8" applyNumberFormat="1" applyFont="1" applyFill="1" applyBorder="1" applyAlignment="1" applyProtection="1">
      <alignment horizontal="center" vertical="center" wrapText="1"/>
    </xf>
    <xf numFmtId="0" fontId="10" fillId="0" borderId="56" xfId="0" applyFont="1" applyBorder="1" applyAlignment="1" applyProtection="1">
      <alignment horizontal="center" vertical="center" wrapText="1"/>
    </xf>
    <xf numFmtId="0" fontId="10" fillId="0" borderId="28" xfId="0" applyFont="1" applyBorder="1" applyAlignment="1" applyProtection="1">
      <alignment vertical="center" wrapText="1"/>
    </xf>
    <xf numFmtId="10" fontId="10" fillId="11" borderId="28" xfId="8" applyNumberFormat="1" applyFont="1" applyFill="1" applyBorder="1" applyAlignment="1" applyProtection="1">
      <alignment horizontal="center" vertical="center" wrapText="1"/>
    </xf>
    <xf numFmtId="0" fontId="10" fillId="0" borderId="29" xfId="0" applyFont="1" applyBorder="1" applyAlignment="1" applyProtection="1">
      <alignment horizontal="left" vertical="center" wrapText="1"/>
    </xf>
    <xf numFmtId="2" fontId="10" fillId="0" borderId="22" xfId="0" applyNumberFormat="1" applyFont="1" applyFill="1" applyBorder="1" applyAlignment="1" applyProtection="1">
      <alignment horizontal="center" vertical="center" wrapText="1"/>
    </xf>
    <xf numFmtId="0" fontId="10" fillId="0" borderId="23" xfId="0" applyFont="1" applyFill="1" applyBorder="1" applyAlignment="1" applyProtection="1">
      <alignment vertical="center" wrapText="1"/>
    </xf>
    <xf numFmtId="0" fontId="10" fillId="0" borderId="46" xfId="9" applyFont="1" applyFill="1" applyBorder="1" applyAlignment="1" applyProtection="1">
      <alignment horizontal="left" vertical="center" wrapText="1"/>
    </xf>
    <xf numFmtId="168" fontId="10" fillId="0" borderId="45" xfId="0" applyNumberFormat="1" applyFont="1" applyFill="1" applyBorder="1" applyAlignment="1" applyProtection="1">
      <alignment horizontal="center" vertical="center" wrapText="1"/>
    </xf>
    <xf numFmtId="10" fontId="10" fillId="0" borderId="23" xfId="0" applyNumberFormat="1" applyFont="1" applyFill="1" applyBorder="1" applyAlignment="1" applyProtection="1">
      <alignment vertical="center" wrapText="1"/>
    </xf>
    <xf numFmtId="1" fontId="10" fillId="0" borderId="26" xfId="0" applyNumberFormat="1" applyFont="1" applyFill="1" applyBorder="1" applyAlignment="1" applyProtection="1">
      <alignment horizontal="center" vertical="center" wrapText="1"/>
    </xf>
    <xf numFmtId="169" fontId="10" fillId="0" borderId="18" xfId="10" applyNumberFormat="1" applyFont="1" applyFill="1" applyBorder="1" applyAlignment="1" applyProtection="1">
      <alignment horizontal="center" vertical="center" wrapText="1"/>
    </xf>
    <xf numFmtId="169" fontId="10" fillId="0" borderId="25" xfId="10" applyNumberFormat="1" applyFont="1" applyFill="1" applyBorder="1" applyAlignment="1" applyProtection="1">
      <alignment horizontal="center" vertical="center" wrapText="1"/>
    </xf>
    <xf numFmtId="10" fontId="10" fillId="0" borderId="23" xfId="0" applyNumberFormat="1" applyFont="1" applyFill="1" applyBorder="1" applyAlignment="1" applyProtection="1">
      <alignment horizontal="center" vertical="center" wrapText="1"/>
    </xf>
    <xf numFmtId="3" fontId="10" fillId="9" borderId="18" xfId="0" applyNumberFormat="1" applyFont="1" applyFill="1" applyBorder="1" applyAlignment="1" applyProtection="1">
      <alignment horizontal="center" vertical="center" wrapText="1"/>
      <protection locked="0"/>
    </xf>
    <xf numFmtId="3" fontId="10" fillId="9" borderId="25" xfId="0" applyNumberFormat="1" applyFont="1" applyFill="1" applyBorder="1" applyAlignment="1" applyProtection="1">
      <alignment horizontal="center" vertical="center" wrapText="1"/>
      <protection locked="0"/>
    </xf>
    <xf numFmtId="9" fontId="10" fillId="0" borderId="17" xfId="0" applyNumberFormat="1" applyFont="1" applyFill="1" applyBorder="1" applyAlignment="1" applyProtection="1">
      <alignment horizontal="center" vertical="center" wrapText="1"/>
    </xf>
    <xf numFmtId="10" fontId="10" fillId="11" borderId="49" xfId="8" applyNumberFormat="1" applyFont="1" applyFill="1" applyBorder="1" applyAlignment="1" applyProtection="1">
      <alignment horizontal="center" vertical="center" wrapText="1"/>
    </xf>
    <xf numFmtId="0" fontId="10" fillId="0" borderId="59" xfId="0" applyFont="1" applyFill="1" applyBorder="1" applyAlignment="1" applyProtection="1">
      <alignment horizontal="left" vertical="center" wrapText="1"/>
    </xf>
    <xf numFmtId="0" fontId="10" fillId="0" borderId="40" xfId="0" applyFont="1" applyFill="1" applyBorder="1" applyAlignment="1" applyProtection="1">
      <alignment vertical="center" wrapText="1"/>
    </xf>
    <xf numFmtId="0" fontId="10" fillId="0" borderId="53" xfId="0" applyFont="1" applyFill="1" applyBorder="1" applyAlignment="1" applyProtection="1">
      <alignment horizontal="left" vertical="center" wrapText="1"/>
    </xf>
    <xf numFmtId="2" fontId="10" fillId="0" borderId="35" xfId="0" applyNumberFormat="1" applyFont="1" applyBorder="1" applyAlignment="1" applyProtection="1">
      <alignment vertical="center"/>
      <protection locked="0"/>
    </xf>
    <xf numFmtId="2" fontId="10" fillId="0" borderId="37" xfId="0" applyNumberFormat="1" applyFont="1" applyBorder="1" applyAlignment="1" applyProtection="1">
      <alignment vertical="center"/>
      <protection locked="0"/>
    </xf>
    <xf numFmtId="0" fontId="10" fillId="0" borderId="67" xfId="0" applyFont="1" applyFill="1" applyBorder="1" applyAlignment="1" applyProtection="1">
      <alignment vertical="center" wrapText="1"/>
    </xf>
    <xf numFmtId="10" fontId="10" fillId="8" borderId="55" xfId="8" applyNumberFormat="1" applyFont="1" applyFill="1" applyBorder="1" applyAlignment="1" applyProtection="1">
      <alignment horizontal="center" vertical="center" wrapText="1"/>
    </xf>
    <xf numFmtId="10" fontId="10" fillId="0" borderId="46" xfId="0" applyNumberFormat="1" applyFont="1" applyFill="1" applyBorder="1" applyAlignment="1" applyProtection="1">
      <alignment vertical="center" wrapText="1"/>
    </xf>
    <xf numFmtId="0" fontId="10" fillId="0" borderId="47" xfId="0" applyNumberFormat="1" applyFont="1" applyFill="1" applyBorder="1" applyAlignment="1" applyProtection="1">
      <alignment horizontal="center" vertical="center" wrapText="1"/>
    </xf>
    <xf numFmtId="1" fontId="10" fillId="0" borderId="45" xfId="0" applyNumberFormat="1" applyFont="1" applyFill="1" applyBorder="1" applyAlignment="1" applyProtection="1">
      <alignment horizontal="center" vertical="center" wrapText="1"/>
    </xf>
    <xf numFmtId="0" fontId="10" fillId="10" borderId="47" xfId="0" applyNumberFormat="1" applyFont="1" applyFill="1" applyBorder="1" applyAlignment="1" applyProtection="1">
      <alignment horizontal="center" vertical="center" wrapText="1"/>
    </xf>
    <xf numFmtId="0" fontId="10" fillId="10" borderId="45" xfId="0" applyNumberFormat="1" applyFont="1" applyFill="1" applyBorder="1" applyAlignment="1" applyProtection="1">
      <alignment horizontal="center" vertical="center" wrapText="1"/>
    </xf>
    <xf numFmtId="9" fontId="10" fillId="10" borderId="45" xfId="0" applyNumberFormat="1" applyFont="1" applyFill="1" applyBorder="1" applyAlignment="1" applyProtection="1">
      <alignment horizontal="center" vertical="center" wrapText="1"/>
    </xf>
    <xf numFmtId="0" fontId="10" fillId="0" borderId="73" xfId="0" applyFont="1" applyBorder="1" applyAlignment="1" applyProtection="1">
      <alignment horizontal="center" vertical="center" wrapText="1"/>
    </xf>
    <xf numFmtId="9" fontId="10" fillId="0" borderId="27" xfId="0" applyNumberFormat="1" applyFont="1" applyBorder="1" applyAlignment="1" applyProtection="1">
      <alignment vertical="center" wrapText="1"/>
      <protection locked="0"/>
    </xf>
    <xf numFmtId="0" fontId="10" fillId="0" borderId="74" xfId="0" applyFont="1" applyFill="1" applyBorder="1" applyAlignment="1" applyProtection="1">
      <alignment vertical="center" wrapText="1"/>
    </xf>
    <xf numFmtId="10" fontId="10" fillId="8" borderId="74" xfId="8" applyNumberFormat="1" applyFont="1" applyFill="1" applyBorder="1" applyAlignment="1" applyProtection="1">
      <alignment horizontal="center" vertical="center" wrapText="1"/>
    </xf>
    <xf numFmtId="9" fontId="10" fillId="0" borderId="20" xfId="8" applyFont="1" applyFill="1" applyBorder="1" applyAlignment="1" applyProtection="1">
      <alignment vertical="center" wrapText="1"/>
    </xf>
    <xf numFmtId="0" fontId="10" fillId="0" borderId="29" xfId="0" applyFont="1" applyFill="1" applyBorder="1" applyAlignment="1" applyProtection="1">
      <alignment horizontal="justify" vertical="center" wrapText="1"/>
    </xf>
    <xf numFmtId="9" fontId="10" fillId="0" borderId="36" xfId="0" applyNumberFormat="1" applyFont="1" applyBorder="1" applyAlignment="1" applyProtection="1">
      <alignment vertical="center" wrapText="1"/>
      <protection locked="0"/>
    </xf>
    <xf numFmtId="0" fontId="10" fillId="0" borderId="37" xfId="0" applyFont="1" applyBorder="1" applyAlignment="1" applyProtection="1">
      <alignment horizontal="center" vertical="center" wrapText="1"/>
      <protection locked="0"/>
    </xf>
    <xf numFmtId="0" fontId="10" fillId="0" borderId="17" xfId="0" applyFont="1" applyFill="1" applyBorder="1" applyAlignment="1" applyProtection="1">
      <alignment vertical="center" wrapText="1"/>
      <protection locked="0"/>
    </xf>
    <xf numFmtId="0" fontId="10" fillId="0" borderId="73" xfId="0" applyFont="1" applyFill="1" applyBorder="1" applyAlignment="1" applyProtection="1">
      <alignment vertical="center" wrapText="1"/>
    </xf>
    <xf numFmtId="10" fontId="10" fillId="0" borderId="17" xfId="0" applyNumberFormat="1" applyFont="1" applyFill="1" applyBorder="1" applyAlignment="1" applyProtection="1">
      <alignment horizontal="center" vertical="center" wrapText="1"/>
    </xf>
    <xf numFmtId="10" fontId="10" fillId="0" borderId="35" xfId="0" applyNumberFormat="1" applyFont="1" applyFill="1" applyBorder="1" applyAlignment="1" applyProtection="1">
      <alignment horizontal="justify" vertical="center" wrapText="1"/>
    </xf>
    <xf numFmtId="10" fontId="10" fillId="0" borderId="37" xfId="0" applyNumberFormat="1" applyFont="1" applyFill="1" applyBorder="1" applyAlignment="1" applyProtection="1">
      <alignment horizontal="justify" vertical="center" wrapText="1"/>
    </xf>
    <xf numFmtId="9" fontId="10" fillId="0" borderId="36" xfId="0" applyNumberFormat="1" applyFont="1" applyFill="1" applyBorder="1" applyAlignment="1" applyProtection="1">
      <alignment horizontal="center" vertical="center" wrapText="1"/>
    </xf>
    <xf numFmtId="10" fontId="10" fillId="11" borderId="49" xfId="0" applyNumberFormat="1" applyFont="1" applyFill="1" applyBorder="1" applyAlignment="1" applyProtection="1">
      <alignment horizontal="center" vertical="center" wrapText="1"/>
    </xf>
    <xf numFmtId="10" fontId="10" fillId="0" borderId="59" xfId="0" applyNumberFormat="1" applyFont="1" applyFill="1" applyBorder="1" applyAlignment="1" applyProtection="1">
      <alignment horizontal="justify" vertical="center" wrapText="1"/>
    </xf>
    <xf numFmtId="2" fontId="10" fillId="0" borderId="37" xfId="0" applyNumberFormat="1" applyFont="1" applyFill="1" applyBorder="1" applyAlignment="1" applyProtection="1">
      <alignment horizontal="center" vertical="center" wrapText="1"/>
    </xf>
    <xf numFmtId="10" fontId="10" fillId="0" borderId="20" xfId="0" applyNumberFormat="1" applyFont="1" applyBorder="1" applyAlignment="1" applyProtection="1">
      <alignment vertical="center" wrapText="1"/>
      <protection locked="0"/>
    </xf>
    <xf numFmtId="2" fontId="10" fillId="0" borderId="27" xfId="0" applyNumberFormat="1" applyFont="1" applyBorder="1" applyAlignment="1" applyProtection="1">
      <alignment vertical="center" wrapText="1"/>
      <protection locked="0"/>
    </xf>
    <xf numFmtId="2" fontId="10" fillId="0" borderId="22" xfId="0" applyNumberFormat="1" applyFont="1" applyBorder="1" applyAlignment="1" applyProtection="1">
      <alignment horizontal="center" vertical="center" wrapText="1"/>
      <protection locked="0"/>
    </xf>
    <xf numFmtId="10" fontId="10" fillId="9" borderId="21" xfId="0" applyNumberFormat="1" applyFont="1" applyFill="1" applyBorder="1" applyAlignment="1" applyProtection="1">
      <alignment horizontal="center" vertical="center" wrapText="1"/>
      <protection locked="0"/>
    </xf>
    <xf numFmtId="2" fontId="10" fillId="9" borderId="22" xfId="0" applyNumberFormat="1" applyFont="1" applyFill="1" applyBorder="1" applyAlignment="1" applyProtection="1">
      <alignment horizontal="center" vertical="center" wrapText="1"/>
      <protection locked="0"/>
    </xf>
    <xf numFmtId="10" fontId="10" fillId="0" borderId="20" xfId="0" applyNumberFormat="1" applyFont="1" applyFill="1" applyBorder="1" applyAlignment="1" applyProtection="1">
      <alignment horizontal="justify" vertical="center" wrapText="1"/>
    </xf>
    <xf numFmtId="9" fontId="10" fillId="0" borderId="0" xfId="0" applyNumberFormat="1" applyFont="1" applyAlignment="1" applyProtection="1">
      <alignment vertical="center" wrapText="1"/>
      <protection locked="0"/>
    </xf>
    <xf numFmtId="10" fontId="10" fillId="8" borderId="56" xfId="8" applyNumberFormat="1" applyFont="1" applyFill="1" applyBorder="1" applyAlignment="1" applyProtection="1">
      <alignment horizontal="center" vertical="center" wrapText="1"/>
    </xf>
    <xf numFmtId="10" fontId="10" fillId="0" borderId="24" xfId="0" applyNumberFormat="1" applyFont="1" applyFill="1" applyBorder="1" applyAlignment="1" applyProtection="1">
      <alignment horizontal="justify" vertical="center" wrapText="1"/>
    </xf>
    <xf numFmtId="168" fontId="10" fillId="5" borderId="25" xfId="0" applyNumberFormat="1" applyFont="1" applyFill="1" applyBorder="1" applyAlignment="1" applyProtection="1">
      <alignment horizontal="center" vertical="center" wrapText="1"/>
    </xf>
    <xf numFmtId="10" fontId="10" fillId="0" borderId="33" xfId="0" applyNumberFormat="1" applyFont="1" applyFill="1" applyBorder="1" applyAlignment="1" applyProtection="1">
      <alignment horizontal="justify" vertical="center" wrapText="1"/>
    </xf>
    <xf numFmtId="0" fontId="10" fillId="0" borderId="51" xfId="0" applyFont="1" applyBorder="1" applyAlignment="1" applyProtection="1">
      <alignment horizontal="center" vertical="center" wrapText="1"/>
      <protection locked="0"/>
    </xf>
    <xf numFmtId="10" fontId="22" fillId="0" borderId="23" xfId="0" applyNumberFormat="1" applyFont="1" applyFill="1" applyBorder="1" applyAlignment="1" applyProtection="1">
      <alignment horizontal="center" vertical="center" wrapText="1"/>
    </xf>
    <xf numFmtId="10" fontId="10" fillId="8" borderId="63" xfId="8" applyNumberFormat="1" applyFont="1" applyFill="1" applyBorder="1" applyAlignment="1" applyProtection="1">
      <alignment horizontal="center" vertical="center" wrapText="1"/>
    </xf>
    <xf numFmtId="10" fontId="10" fillId="0" borderId="41" xfId="0" applyNumberFormat="1" applyFont="1" applyFill="1" applyBorder="1" applyAlignment="1" applyProtection="1">
      <alignment horizontal="justify" vertical="center" wrapText="1"/>
    </xf>
    <xf numFmtId="168" fontId="13" fillId="0" borderId="26" xfId="0" applyNumberFormat="1" applyFont="1" applyFill="1" applyBorder="1" applyAlignment="1" applyProtection="1">
      <alignment horizontal="center" vertical="center" wrapText="1"/>
    </xf>
    <xf numFmtId="0" fontId="10" fillId="0" borderId="76" xfId="0" applyFont="1" applyBorder="1" applyAlignment="1" applyProtection="1">
      <alignment vertical="center" wrapText="1"/>
      <protection locked="0"/>
    </xf>
    <xf numFmtId="0" fontId="10" fillId="0" borderId="77" xfId="0" applyFont="1" applyBorder="1" applyAlignment="1" applyProtection="1">
      <alignment vertical="center" wrapText="1"/>
      <protection locked="0"/>
    </xf>
    <xf numFmtId="9" fontId="10" fillId="0" borderId="78" xfId="0" applyNumberFormat="1" applyFont="1" applyBorder="1" applyAlignment="1" applyProtection="1">
      <alignment vertical="center" wrapText="1"/>
      <protection locked="0"/>
    </xf>
    <xf numFmtId="0" fontId="10" fillId="0" borderId="76" xfId="0" applyFont="1" applyBorder="1" applyAlignment="1" applyProtection="1">
      <alignment vertical="center" wrapText="1"/>
    </xf>
    <xf numFmtId="0" fontId="10" fillId="0" borderId="77" xfId="0" applyFont="1" applyBorder="1" applyAlignment="1" applyProtection="1">
      <alignment horizontal="center" vertical="center" wrapText="1"/>
    </xf>
    <xf numFmtId="0" fontId="10" fillId="0" borderId="79" xfId="0" applyFont="1" applyBorder="1" applyAlignment="1" applyProtection="1">
      <alignment horizontal="center" vertical="center" wrapText="1"/>
    </xf>
    <xf numFmtId="0" fontId="10" fillId="0" borderId="80" xfId="0" applyFont="1" applyBorder="1" applyAlignment="1" applyProtection="1">
      <alignment vertical="center" wrapText="1"/>
    </xf>
    <xf numFmtId="0" fontId="10" fillId="0" borderId="78" xfId="0" applyFont="1" applyBorder="1" applyAlignment="1" applyProtection="1">
      <alignment horizontal="center" vertical="center" wrapText="1"/>
    </xf>
    <xf numFmtId="10" fontId="10" fillId="0" borderId="80" xfId="0" applyNumberFormat="1" applyFont="1" applyFill="1" applyBorder="1" applyAlignment="1" applyProtection="1">
      <alignment horizontal="center" vertical="center" wrapText="1"/>
    </xf>
    <xf numFmtId="0" fontId="10" fillId="0" borderId="77" xfId="0" applyFont="1" applyFill="1" applyBorder="1" applyAlignment="1" applyProtection="1">
      <alignment horizontal="center" vertical="center" wrapText="1"/>
    </xf>
    <xf numFmtId="0" fontId="10" fillId="0" borderId="78" xfId="0" applyFont="1" applyFill="1" applyBorder="1" applyAlignment="1" applyProtection="1">
      <alignment horizontal="center" vertical="center" wrapText="1"/>
    </xf>
    <xf numFmtId="10" fontId="10" fillId="0" borderId="54" xfId="0" applyNumberFormat="1" applyFont="1" applyFill="1" applyBorder="1" applyAlignment="1" applyProtection="1">
      <alignment horizontal="center" vertical="center" wrapText="1"/>
    </xf>
    <xf numFmtId="10" fontId="10" fillId="0" borderId="77" xfId="0" applyNumberFormat="1" applyFont="1" applyFill="1" applyBorder="1" applyAlignment="1" applyProtection="1">
      <alignment horizontal="justify" vertical="center" wrapText="1"/>
    </xf>
    <xf numFmtId="10" fontId="10" fillId="8" borderId="54" xfId="8" applyNumberFormat="1" applyFont="1" applyFill="1" applyBorder="1" applyAlignment="1" applyProtection="1">
      <alignment horizontal="center" vertical="center" wrapText="1"/>
    </xf>
    <xf numFmtId="10" fontId="10" fillId="0" borderId="76" xfId="0" applyNumberFormat="1" applyFont="1" applyFill="1" applyBorder="1" applyAlignment="1" applyProtection="1">
      <alignment vertical="center" wrapText="1"/>
    </xf>
    <xf numFmtId="0" fontId="10" fillId="0" borderId="77" xfId="0" applyNumberFormat="1" applyFont="1" applyFill="1" applyBorder="1" applyAlignment="1" applyProtection="1">
      <alignment horizontal="center" vertical="center" wrapText="1"/>
    </xf>
    <xf numFmtId="0" fontId="10" fillId="0" borderId="79" xfId="0" applyNumberFormat="1" applyFont="1" applyFill="1" applyBorder="1" applyAlignment="1" applyProtection="1">
      <alignment horizontal="center" vertical="center" wrapText="1"/>
    </xf>
    <xf numFmtId="10" fontId="10" fillId="0" borderId="80" xfId="0" applyNumberFormat="1" applyFont="1" applyFill="1" applyBorder="1" applyAlignment="1" applyProtection="1">
      <alignment vertical="center" wrapText="1"/>
    </xf>
    <xf numFmtId="10" fontId="10" fillId="0" borderId="77" xfId="0" applyNumberFormat="1" applyFont="1" applyFill="1" applyBorder="1" applyAlignment="1" applyProtection="1">
      <alignment vertical="center" wrapText="1"/>
    </xf>
    <xf numFmtId="0" fontId="10" fillId="0" borderId="78" xfId="0" applyNumberFormat="1" applyFont="1" applyFill="1" applyBorder="1" applyAlignment="1" applyProtection="1">
      <alignment horizontal="center" vertical="center" wrapText="1"/>
    </xf>
    <xf numFmtId="9" fontId="10" fillId="0" borderId="39" xfId="0" applyNumberFormat="1" applyFont="1" applyFill="1" applyBorder="1" applyAlignment="1" applyProtection="1">
      <alignment horizontal="center" vertical="center" wrapText="1"/>
    </xf>
    <xf numFmtId="10" fontId="10" fillId="0" borderId="66" xfId="8" applyNumberFormat="1" applyFont="1" applyFill="1" applyBorder="1" applyAlignment="1" applyProtection="1">
      <alignment horizontal="center" vertical="center" wrapText="1"/>
    </xf>
    <xf numFmtId="10" fontId="10" fillId="0" borderId="80" xfId="0" applyNumberFormat="1" applyFont="1" applyFill="1" applyBorder="1" applyAlignment="1" applyProtection="1">
      <alignment horizontal="justify" vertical="center" wrapText="1"/>
    </xf>
    <xf numFmtId="0" fontId="10" fillId="0" borderId="67" xfId="0" applyFont="1" applyBorder="1" applyAlignment="1" applyProtection="1">
      <alignment horizontal="center" vertical="center" wrapText="1"/>
    </xf>
    <xf numFmtId="10" fontId="10" fillId="0" borderId="0" xfId="8" applyNumberFormat="1" applyFont="1" applyAlignment="1" applyProtection="1">
      <alignment vertical="center" wrapText="1"/>
      <protection locked="0"/>
    </xf>
    <xf numFmtId="169" fontId="10" fillId="0" borderId="0" xfId="10" applyNumberFormat="1" applyFont="1" applyAlignment="1" applyProtection="1">
      <alignment vertical="center" wrapText="1"/>
      <protection locked="0"/>
    </xf>
    <xf numFmtId="0" fontId="10" fillId="0" borderId="47" xfId="0" applyFont="1" applyFill="1" applyBorder="1" applyAlignment="1" applyProtection="1">
      <alignment horizontal="center" vertical="center" wrapText="1"/>
      <protection locked="0"/>
    </xf>
    <xf numFmtId="0" fontId="10" fillId="0" borderId="43"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justify" vertical="center" wrapText="1"/>
    </xf>
    <xf numFmtId="9" fontId="10" fillId="0" borderId="46" xfId="0" applyNumberFormat="1" applyFont="1" applyFill="1" applyBorder="1" applyAlignment="1" applyProtection="1">
      <alignment vertical="center" wrapText="1"/>
    </xf>
    <xf numFmtId="9" fontId="10" fillId="0" borderId="48" xfId="0" applyNumberFormat="1" applyFont="1" applyFill="1" applyBorder="1" applyAlignment="1" applyProtection="1">
      <alignment vertical="center" wrapText="1"/>
    </xf>
    <xf numFmtId="0" fontId="7" fillId="0" borderId="0" xfId="0" applyFont="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68" xfId="0" applyFont="1" applyBorder="1" applyAlignment="1" applyProtection="1">
      <alignment vertical="center" wrapText="1"/>
    </xf>
    <xf numFmtId="0" fontId="7" fillId="0" borderId="0" xfId="0" applyFont="1" applyBorder="1" applyAlignment="1" applyProtection="1">
      <alignment vertical="center" wrapText="1"/>
    </xf>
    <xf numFmtId="0" fontId="0" fillId="0" borderId="0" xfId="0" applyBorder="1" applyAlignment="1" applyProtection="1"/>
    <xf numFmtId="0" fontId="7" fillId="0" borderId="0" xfId="0" applyFont="1" applyBorder="1" applyAlignment="1">
      <alignment vertical="justify"/>
    </xf>
    <xf numFmtId="0" fontId="7" fillId="0" borderId="68" xfId="0" applyFont="1" applyBorder="1" applyAlignment="1" applyProtection="1">
      <alignment vertical="justify"/>
    </xf>
    <xf numFmtId="0" fontId="7" fillId="0" borderId="0" xfId="0" applyFont="1" applyBorder="1" applyAlignment="1" applyProtection="1">
      <alignment vertical="justify"/>
    </xf>
    <xf numFmtId="0" fontId="28" fillId="0" borderId="0" xfId="0" applyFont="1" applyBorder="1" applyAlignment="1" applyProtection="1">
      <alignment vertical="center" wrapText="1"/>
    </xf>
    <xf numFmtId="0" fontId="7" fillId="0" borderId="0" xfId="0" applyFont="1" applyBorder="1" applyAlignment="1" applyProtection="1">
      <alignment horizontal="left" vertical="center" wrapText="1"/>
    </xf>
    <xf numFmtId="0" fontId="7" fillId="0" borderId="0" xfId="0" applyFont="1" applyAlignment="1" applyProtection="1">
      <alignment vertical="center" wrapText="1"/>
    </xf>
    <xf numFmtId="0" fontId="28" fillId="0" borderId="0" xfId="0" applyFont="1" applyAlignment="1">
      <alignment vertical="center" wrapText="1"/>
    </xf>
    <xf numFmtId="0" fontId="28" fillId="0" borderId="68" xfId="0" applyFont="1" applyBorder="1" applyAlignment="1" applyProtection="1">
      <alignment vertical="center" wrapText="1"/>
    </xf>
    <xf numFmtId="0" fontId="28" fillId="0" borderId="0" xfId="0" applyFont="1" applyBorder="1" applyAlignment="1" applyProtection="1">
      <alignment horizontal="center" vertical="center" wrapText="1"/>
    </xf>
    <xf numFmtId="0" fontId="28" fillId="0" borderId="0" xfId="0" applyFont="1" applyBorder="1" applyAlignment="1" applyProtection="1"/>
    <xf numFmtId="0" fontId="28" fillId="5" borderId="18" xfId="0" applyFont="1" applyFill="1" applyBorder="1" applyAlignment="1" applyProtection="1">
      <alignment horizontal="center" vertical="center" wrapText="1"/>
    </xf>
    <xf numFmtId="0" fontId="28" fillId="0" borderId="0" xfId="0" applyFont="1" applyFill="1" applyBorder="1" applyAlignment="1" applyProtection="1">
      <alignment vertical="center" wrapText="1"/>
    </xf>
    <xf numFmtId="0" fontId="28" fillId="0" borderId="71" xfId="0" applyFont="1" applyBorder="1" applyAlignment="1" applyProtection="1">
      <alignment vertical="center" wrapText="1"/>
    </xf>
    <xf numFmtId="0" fontId="28" fillId="0" borderId="85" xfId="0" applyFont="1" applyBorder="1" applyAlignment="1" applyProtection="1">
      <alignment vertical="center" wrapText="1"/>
    </xf>
    <xf numFmtId="0" fontId="28" fillId="0" borderId="85" xfId="0" applyFont="1" applyBorder="1" applyAlignment="1" applyProtection="1">
      <alignment horizontal="center" vertical="center" wrapText="1"/>
    </xf>
    <xf numFmtId="0" fontId="28" fillId="0" borderId="85" xfId="0" applyFont="1" applyBorder="1" applyAlignment="1" applyProtection="1"/>
    <xf numFmtId="0" fontId="7" fillId="0" borderId="0" xfId="4"/>
    <xf numFmtId="0" fontId="30" fillId="6" borderId="93" xfId="9" applyFont="1" applyFill="1" applyBorder="1" applyAlignment="1" applyProtection="1">
      <alignment horizontal="center" vertical="center" wrapText="1"/>
    </xf>
    <xf numFmtId="0" fontId="30" fillId="6" borderId="95" xfId="9" applyFont="1" applyFill="1" applyBorder="1" applyAlignment="1" applyProtection="1">
      <alignment horizontal="center" vertical="center" wrapText="1"/>
    </xf>
    <xf numFmtId="0" fontId="30" fillId="6" borderId="96" xfId="9" applyFont="1" applyFill="1" applyBorder="1" applyAlignment="1" applyProtection="1">
      <alignment horizontal="center" vertical="center" wrapText="1"/>
    </xf>
    <xf numFmtId="0" fontId="30" fillId="6" borderId="89" xfId="9" applyFont="1" applyFill="1" applyBorder="1" applyAlignment="1" applyProtection="1">
      <alignment horizontal="center" vertical="center" wrapText="1"/>
    </xf>
    <xf numFmtId="0" fontId="30" fillId="6" borderId="97" xfId="9" applyFont="1" applyFill="1" applyBorder="1" applyAlignment="1" applyProtection="1">
      <alignment horizontal="center" vertical="center" wrapText="1"/>
    </xf>
    <xf numFmtId="9" fontId="30" fillId="13" borderId="94" xfId="9" applyNumberFormat="1" applyFont="1" applyFill="1" applyBorder="1" applyAlignment="1" applyProtection="1">
      <alignment horizontal="center" vertical="center" wrapText="1"/>
    </xf>
    <xf numFmtId="0" fontId="30" fillId="6" borderId="90" xfId="9" applyFont="1" applyFill="1" applyBorder="1" applyAlignment="1" applyProtection="1">
      <alignment horizontal="center" vertical="center" wrapText="1"/>
    </xf>
    <xf numFmtId="0" fontId="30" fillId="6" borderId="100" xfId="9" applyFont="1" applyFill="1" applyBorder="1" applyAlignment="1" applyProtection="1">
      <alignment horizontal="center" vertical="center" wrapText="1"/>
    </xf>
    <xf numFmtId="0" fontId="30" fillId="15" borderId="101" xfId="9" applyFont="1" applyFill="1" applyBorder="1" applyAlignment="1" applyProtection="1">
      <alignment horizontal="center" vertical="center" wrapText="1"/>
    </xf>
    <xf numFmtId="0" fontId="30" fillId="0" borderId="102" xfId="9" applyFont="1" applyFill="1" applyBorder="1" applyAlignment="1" applyProtection="1">
      <alignment horizontal="center" vertical="center" wrapText="1"/>
    </xf>
    <xf numFmtId="10" fontId="30" fillId="6" borderId="103" xfId="9" applyNumberFormat="1" applyFont="1" applyFill="1" applyBorder="1" applyAlignment="1" applyProtection="1">
      <alignment horizontal="center" vertical="center" wrapText="1"/>
    </xf>
    <xf numFmtId="10" fontId="30" fillId="6" borderId="104" xfId="11" applyNumberFormat="1" applyFont="1" applyFill="1" applyBorder="1" applyAlignment="1" applyProtection="1">
      <alignment horizontal="center" vertical="center" wrapText="1"/>
    </xf>
    <xf numFmtId="9" fontId="30" fillId="6" borderId="105" xfId="9" applyNumberFormat="1" applyFont="1" applyFill="1" applyBorder="1" applyAlignment="1" applyProtection="1">
      <alignment horizontal="center" vertical="center" wrapText="1"/>
    </xf>
    <xf numFmtId="9" fontId="30" fillId="6" borderId="106" xfId="9" applyNumberFormat="1" applyFont="1" applyFill="1" applyBorder="1" applyAlignment="1" applyProtection="1">
      <alignment horizontal="center" vertical="center" wrapText="1"/>
    </xf>
    <xf numFmtId="0" fontId="30" fillId="6" borderId="107" xfId="9" applyNumberFormat="1" applyFont="1" applyFill="1" applyBorder="1" applyAlignment="1" applyProtection="1">
      <alignment horizontal="center" vertical="center" wrapText="1"/>
    </xf>
    <xf numFmtId="0" fontId="30" fillId="6" borderId="106" xfId="9" applyNumberFormat="1" applyFont="1" applyFill="1" applyBorder="1" applyAlignment="1" applyProtection="1">
      <alignment horizontal="center" vertical="center" wrapText="1"/>
    </xf>
    <xf numFmtId="10" fontId="30" fillId="6" borderId="106" xfId="9" applyNumberFormat="1" applyFont="1" applyFill="1" applyBorder="1" applyAlignment="1" applyProtection="1">
      <alignment horizontal="justify" vertical="center" wrapText="1"/>
    </xf>
    <xf numFmtId="10" fontId="30" fillId="6" borderId="106" xfId="9" applyNumberFormat="1" applyFont="1" applyFill="1" applyBorder="1" applyAlignment="1" applyProtection="1">
      <alignment horizontal="center" vertical="center" wrapText="1"/>
    </xf>
    <xf numFmtId="10" fontId="30" fillId="6" borderId="87" xfId="9" applyNumberFormat="1" applyFont="1" applyFill="1" applyBorder="1" applyAlignment="1" applyProtection="1">
      <alignment horizontal="center" vertical="center" wrapText="1"/>
    </xf>
    <xf numFmtId="0" fontId="31" fillId="0" borderId="108" xfId="4" applyFont="1" applyBorder="1" applyAlignment="1" applyProtection="1">
      <alignment horizontal="center" vertical="center" wrapText="1"/>
      <protection locked="0"/>
    </xf>
    <xf numFmtId="0" fontId="31" fillId="0" borderId="109" xfId="4" applyFont="1" applyBorder="1" applyAlignment="1" applyProtection="1">
      <alignment horizontal="center" vertical="center" wrapText="1"/>
      <protection locked="0"/>
    </xf>
    <xf numFmtId="0" fontId="31" fillId="0" borderId="110" xfId="4" applyFont="1" applyBorder="1" applyAlignment="1" applyProtection="1">
      <alignment horizontal="center" vertical="center" wrapText="1"/>
      <protection locked="0"/>
    </xf>
    <xf numFmtId="0" fontId="31" fillId="0" borderId="99" xfId="4" applyFont="1" applyBorder="1" applyAlignment="1" applyProtection="1">
      <alignment horizontal="center" vertical="center" wrapText="1"/>
      <protection locked="0"/>
    </xf>
    <xf numFmtId="0" fontId="30" fillId="6" borderId="112" xfId="9" applyFont="1" applyFill="1" applyBorder="1" applyAlignment="1" applyProtection="1">
      <alignment horizontal="center" vertical="center" wrapText="1"/>
    </xf>
    <xf numFmtId="0" fontId="29" fillId="6" borderId="113" xfId="9" applyFont="1" applyFill="1" applyBorder="1" applyAlignment="1" applyProtection="1">
      <alignment horizontal="center" vertical="center" wrapText="1"/>
    </xf>
    <xf numFmtId="167" fontId="32" fillId="6" borderId="114" xfId="9" applyNumberFormat="1" applyFont="1" applyFill="1" applyBorder="1" applyAlignment="1" applyProtection="1">
      <alignment horizontal="center" vertical="center" wrapText="1"/>
    </xf>
    <xf numFmtId="0" fontId="12" fillId="6" borderId="115" xfId="9" applyFont="1" applyFill="1" applyBorder="1" applyAlignment="1" applyProtection="1">
      <alignment horizontal="center" vertical="center" wrapText="1"/>
    </xf>
    <xf numFmtId="0" fontId="12" fillId="6" borderId="116" xfId="9" applyFont="1" applyFill="1" applyBorder="1" applyAlignment="1" applyProtection="1">
      <alignment horizontal="center" vertical="center" wrapText="1"/>
    </xf>
    <xf numFmtId="0" fontId="33" fillId="16" borderId="116" xfId="9" applyNumberFormat="1" applyFont="1" applyFill="1" applyBorder="1" applyAlignment="1" applyProtection="1">
      <alignment horizontal="center" vertical="center" wrapText="1"/>
    </xf>
    <xf numFmtId="0" fontId="30" fillId="16" borderId="116" xfId="9" applyNumberFormat="1" applyFont="1" applyFill="1" applyBorder="1" applyAlignment="1" applyProtection="1">
      <alignment horizontal="center" vertical="center" wrapText="1"/>
    </xf>
    <xf numFmtId="9" fontId="30" fillId="16" borderId="116" xfId="11" applyFont="1" applyFill="1" applyBorder="1" applyAlignment="1" applyProtection="1">
      <alignment horizontal="center" vertical="center" wrapText="1"/>
    </xf>
    <xf numFmtId="0" fontId="33" fillId="6" borderId="116" xfId="9" applyNumberFormat="1" applyFont="1" applyFill="1" applyBorder="1" applyAlignment="1" applyProtection="1">
      <alignment horizontal="center" vertical="center" wrapText="1"/>
    </xf>
    <xf numFmtId="0" fontId="30" fillId="6" borderId="116" xfId="9" applyNumberFormat="1" applyFont="1" applyFill="1" applyBorder="1" applyAlignment="1" applyProtection="1">
      <alignment horizontal="center" vertical="center" wrapText="1"/>
    </xf>
    <xf numFmtId="9" fontId="30" fillId="6" borderId="116" xfId="11" applyFont="1" applyFill="1" applyBorder="1" applyAlignment="1" applyProtection="1">
      <alignment horizontal="center" vertical="center" wrapText="1"/>
    </xf>
    <xf numFmtId="1" fontId="34" fillId="16" borderId="117" xfId="9" applyNumberFormat="1" applyFont="1" applyFill="1" applyBorder="1" applyAlignment="1" applyProtection="1">
      <alignment horizontal="center" vertical="center" wrapText="1"/>
    </xf>
    <xf numFmtId="1" fontId="34" fillId="16" borderId="89" xfId="9" applyNumberFormat="1" applyFont="1" applyFill="1" applyBorder="1" applyAlignment="1" applyProtection="1">
      <alignment horizontal="center" vertical="center" wrapText="1"/>
    </xf>
    <xf numFmtId="9" fontId="34" fillId="16" borderId="89" xfId="11" applyFont="1" applyFill="1" applyBorder="1" applyAlignment="1" applyProtection="1">
      <alignment horizontal="center" vertical="center" wrapText="1"/>
    </xf>
    <xf numFmtId="170" fontId="30" fillId="6" borderId="115" xfId="3" applyNumberFormat="1" applyFont="1" applyFill="1" applyBorder="1" applyAlignment="1" applyProtection="1">
      <alignment horizontal="center" vertical="center" wrapText="1"/>
    </xf>
    <xf numFmtId="170" fontId="30" fillId="6" borderId="116" xfId="9" applyNumberFormat="1" applyFont="1" applyFill="1" applyBorder="1" applyAlignment="1" applyProtection="1">
      <alignment horizontal="center" vertical="center" wrapText="1"/>
    </xf>
    <xf numFmtId="10" fontId="30" fillId="6" borderId="116" xfId="9" applyNumberFormat="1" applyFont="1" applyFill="1" applyBorder="1" applyAlignment="1" applyProtection="1">
      <alignment horizontal="center" vertical="center" wrapText="1"/>
    </xf>
    <xf numFmtId="10" fontId="30" fillId="6" borderId="118" xfId="9" applyNumberFormat="1" applyFont="1" applyFill="1" applyBorder="1" applyAlignment="1" applyProtection="1">
      <alignment horizontal="center" vertical="center" wrapText="1"/>
    </xf>
    <xf numFmtId="0" fontId="30" fillId="17" borderId="119" xfId="4" applyFont="1" applyFill="1" applyBorder="1" applyAlignment="1" applyProtection="1">
      <alignment horizontal="center" vertical="center" wrapText="1"/>
      <protection locked="0"/>
    </xf>
    <xf numFmtId="9" fontId="35" fillId="17" borderId="119" xfId="4" applyNumberFormat="1" applyFont="1" applyFill="1" applyBorder="1" applyAlignment="1">
      <alignment horizontal="center" vertical="center" wrapText="1"/>
    </xf>
    <xf numFmtId="0" fontId="30" fillId="0" borderId="119" xfId="4" applyFont="1" applyBorder="1" applyAlignment="1" applyProtection="1">
      <alignment horizontal="center" vertical="center" wrapText="1"/>
      <protection locked="0"/>
    </xf>
    <xf numFmtId="9" fontId="35" fillId="0" borderId="119" xfId="4" applyNumberFormat="1" applyFont="1" applyBorder="1" applyAlignment="1">
      <alignment horizontal="center" vertical="center" wrapText="1"/>
    </xf>
    <xf numFmtId="9" fontId="35" fillId="0" borderId="120" xfId="4" applyNumberFormat="1" applyFont="1" applyBorder="1" applyAlignment="1">
      <alignment horizontal="center" vertical="center" wrapText="1"/>
    </xf>
    <xf numFmtId="0" fontId="30" fillId="6" borderId="121" xfId="9" applyFont="1" applyFill="1" applyBorder="1" applyAlignment="1" applyProtection="1">
      <alignment horizontal="center" vertical="center" wrapText="1"/>
    </xf>
    <xf numFmtId="0" fontId="29" fillId="6" borderId="111" xfId="9" applyFont="1" applyFill="1" applyBorder="1" applyAlignment="1" applyProtection="1">
      <alignment horizontal="center" vertical="center" wrapText="1"/>
    </xf>
    <xf numFmtId="167" fontId="32" fillId="6" borderId="122" xfId="9" applyNumberFormat="1" applyFont="1" applyFill="1" applyBorder="1" applyAlignment="1" applyProtection="1">
      <alignment horizontal="center" vertical="center" wrapText="1"/>
    </xf>
    <xf numFmtId="0" fontId="12" fillId="6" borderId="96" xfId="9" applyFont="1" applyFill="1" applyBorder="1" applyAlignment="1" applyProtection="1">
      <alignment horizontal="center" vertical="center" wrapText="1"/>
    </xf>
    <xf numFmtId="0" fontId="12" fillId="6" borderId="89" xfId="9" applyFont="1" applyFill="1" applyBorder="1" applyAlignment="1" applyProtection="1">
      <alignment horizontal="center" vertical="center" wrapText="1"/>
    </xf>
    <xf numFmtId="0" fontId="33" fillId="16" borderId="89" xfId="9" applyNumberFormat="1" applyFont="1" applyFill="1" applyBorder="1" applyAlignment="1" applyProtection="1">
      <alignment horizontal="center" vertical="center" wrapText="1"/>
    </xf>
    <xf numFmtId="0" fontId="33" fillId="6" borderId="89" xfId="9" applyNumberFormat="1" applyFont="1" applyFill="1" applyBorder="1" applyAlignment="1" applyProtection="1">
      <alignment horizontal="center" vertical="center" wrapText="1"/>
    </xf>
    <xf numFmtId="170" fontId="30" fillId="6" borderId="96" xfId="3" applyNumberFormat="1" applyFont="1" applyFill="1" applyBorder="1" applyAlignment="1" applyProtection="1">
      <alignment horizontal="center" vertical="center" wrapText="1"/>
    </xf>
    <xf numFmtId="170" fontId="30" fillId="6" borderId="89" xfId="9" applyNumberFormat="1" applyFont="1" applyFill="1" applyBorder="1" applyAlignment="1" applyProtection="1">
      <alignment horizontal="center" vertical="center" wrapText="1"/>
    </xf>
    <xf numFmtId="10" fontId="30" fillId="6" borderId="123" xfId="9" applyNumberFormat="1" applyFont="1" applyFill="1" applyBorder="1" applyAlignment="1" applyProtection="1">
      <alignment horizontal="center" vertical="center" wrapText="1"/>
    </xf>
    <xf numFmtId="0" fontId="30" fillId="6" borderId="124" xfId="9" applyFont="1" applyFill="1" applyBorder="1" applyAlignment="1" applyProtection="1">
      <alignment horizontal="center" vertical="center" wrapText="1"/>
    </xf>
    <xf numFmtId="0" fontId="29" fillId="6" borderId="125" xfId="9" applyFont="1" applyFill="1" applyBorder="1" applyAlignment="1" applyProtection="1">
      <alignment horizontal="center" vertical="center" wrapText="1"/>
    </xf>
    <xf numFmtId="167" fontId="32" fillId="6" borderId="126" xfId="9" applyNumberFormat="1" applyFont="1" applyFill="1" applyBorder="1" applyAlignment="1" applyProtection="1">
      <alignment horizontal="center" vertical="center" wrapText="1"/>
    </xf>
    <xf numFmtId="0" fontId="12" fillId="6" borderId="97" xfId="9" applyFont="1" applyFill="1" applyBorder="1" applyAlignment="1" applyProtection="1">
      <alignment horizontal="center" vertical="center" wrapText="1"/>
    </xf>
    <xf numFmtId="0" fontId="12" fillId="6" borderId="90" xfId="9" applyFont="1" applyFill="1" applyBorder="1" applyAlignment="1" applyProtection="1">
      <alignment horizontal="center" vertical="center" wrapText="1"/>
    </xf>
    <xf numFmtId="0" fontId="33" fillId="16" borderId="90" xfId="9" applyNumberFormat="1" applyFont="1" applyFill="1" applyBorder="1" applyAlignment="1" applyProtection="1">
      <alignment horizontal="center" vertical="center" wrapText="1"/>
    </xf>
    <xf numFmtId="0" fontId="33" fillId="6" borderId="90" xfId="9" applyNumberFormat="1" applyFont="1" applyFill="1" applyBorder="1" applyAlignment="1" applyProtection="1">
      <alignment horizontal="center" vertical="center" wrapText="1"/>
    </xf>
    <xf numFmtId="10" fontId="30" fillId="6" borderId="97" xfId="9" applyNumberFormat="1" applyFont="1" applyFill="1" applyBorder="1" applyAlignment="1" applyProtection="1">
      <alignment horizontal="justify" vertical="center" wrapText="1"/>
    </xf>
    <xf numFmtId="10" fontId="30" fillId="6" borderId="90" xfId="9" applyNumberFormat="1" applyFont="1" applyFill="1" applyBorder="1" applyAlignment="1" applyProtection="1">
      <alignment horizontal="center" vertical="center" wrapText="1"/>
    </xf>
    <xf numFmtId="10" fontId="30" fillId="6" borderId="127" xfId="9" applyNumberFormat="1" applyFont="1" applyFill="1" applyBorder="1" applyAlignment="1" applyProtection="1">
      <alignment horizontal="center" vertical="center" wrapText="1"/>
    </xf>
    <xf numFmtId="0" fontId="30" fillId="17" borderId="128" xfId="4" applyFont="1" applyFill="1" applyBorder="1" applyAlignment="1" applyProtection="1">
      <alignment horizontal="center" vertical="center" wrapText="1"/>
      <protection locked="0"/>
    </xf>
    <xf numFmtId="9" fontId="35" fillId="17" borderId="128" xfId="4" applyNumberFormat="1" applyFont="1" applyFill="1" applyBorder="1" applyAlignment="1">
      <alignment horizontal="center" vertical="center" wrapText="1"/>
    </xf>
    <xf numFmtId="0" fontId="30" fillId="0" borderId="128" xfId="4" applyFont="1" applyBorder="1" applyAlignment="1" applyProtection="1">
      <alignment horizontal="center" vertical="center" wrapText="1"/>
      <protection locked="0"/>
    </xf>
    <xf numFmtId="9" fontId="35" fillId="0" borderId="128" xfId="4" applyNumberFormat="1" applyFont="1" applyBorder="1" applyAlignment="1">
      <alignment horizontal="center" vertical="center" wrapText="1"/>
    </xf>
    <xf numFmtId="9" fontId="35" fillId="0" borderId="129" xfId="4" applyNumberFormat="1" applyFont="1" applyBorder="1" applyAlignment="1">
      <alignment horizontal="center" vertical="center" wrapText="1"/>
    </xf>
    <xf numFmtId="0" fontId="30" fillId="6" borderId="130" xfId="9" applyFont="1" applyFill="1" applyBorder="1" applyAlignment="1" applyProtection="1">
      <alignment horizontal="center" vertical="center" wrapText="1"/>
    </xf>
    <xf numFmtId="0" fontId="30" fillId="15" borderId="125" xfId="9" applyFont="1" applyFill="1" applyBorder="1" applyAlignment="1" applyProtection="1">
      <alignment horizontal="center" vertical="center" wrapText="1"/>
    </xf>
    <xf numFmtId="0" fontId="30" fillId="0" borderId="122" xfId="9" applyFont="1" applyFill="1" applyBorder="1" applyAlignment="1" applyProtection="1">
      <alignment horizontal="center" vertical="center" wrapText="1"/>
    </xf>
    <xf numFmtId="10" fontId="30" fillId="6" borderId="131" xfId="9" applyNumberFormat="1" applyFont="1" applyFill="1" applyBorder="1" applyAlignment="1" applyProtection="1">
      <alignment horizontal="center" vertical="center" wrapText="1"/>
    </xf>
    <xf numFmtId="167" fontId="30" fillId="6" borderId="132" xfId="9" applyNumberFormat="1" applyFont="1" applyFill="1" applyBorder="1" applyAlignment="1" applyProtection="1">
      <alignment horizontal="center" vertical="center" wrapText="1"/>
    </xf>
    <xf numFmtId="9" fontId="30" fillId="6" borderId="133" xfId="9" applyNumberFormat="1" applyFont="1" applyFill="1" applyBorder="1" applyAlignment="1" applyProtection="1">
      <alignment horizontal="center" vertical="center" wrapText="1"/>
    </xf>
    <xf numFmtId="9" fontId="30" fillId="6" borderId="107" xfId="9" applyNumberFormat="1" applyFont="1" applyFill="1" applyBorder="1" applyAlignment="1" applyProtection="1">
      <alignment horizontal="center" vertical="center" wrapText="1"/>
    </xf>
    <xf numFmtId="9" fontId="30" fillId="0" borderId="116" xfId="11" applyFont="1" applyFill="1" applyBorder="1" applyAlignment="1" applyProtection="1">
      <alignment horizontal="center" vertical="center" wrapText="1"/>
    </xf>
    <xf numFmtId="0" fontId="30" fillId="6" borderId="107" xfId="9" applyNumberFormat="1" applyFont="1" applyFill="1" applyBorder="1" applyAlignment="1" applyProtection="1">
      <alignment horizontal="left" vertical="center" wrapText="1" indent="1"/>
    </xf>
    <xf numFmtId="0" fontId="30" fillId="6" borderId="87" xfId="9" applyNumberFormat="1" applyFont="1" applyFill="1" applyBorder="1" applyAlignment="1" applyProtection="1">
      <alignment horizontal="left" vertical="center" wrapText="1" indent="1"/>
    </xf>
    <xf numFmtId="1" fontId="29" fillId="6" borderId="89" xfId="9" applyNumberFormat="1" applyFont="1" applyFill="1" applyBorder="1" applyAlignment="1" applyProtection="1">
      <alignment horizontal="center" vertical="center" wrapText="1"/>
    </xf>
    <xf numFmtId="1" fontId="29" fillId="6" borderId="0" xfId="9" applyNumberFormat="1" applyFont="1" applyFill="1" applyBorder="1" applyAlignment="1" applyProtection="1">
      <alignment horizontal="center" vertical="center" wrapText="1"/>
    </xf>
    <xf numFmtId="10" fontId="30" fillId="6" borderId="134" xfId="9" applyNumberFormat="1" applyFont="1" applyFill="1" applyBorder="1" applyAlignment="1" applyProtection="1">
      <alignment horizontal="justify" vertical="center" wrapText="1"/>
    </xf>
    <xf numFmtId="10" fontId="30" fillId="6" borderId="107" xfId="9" applyNumberFormat="1" applyFont="1" applyFill="1" applyBorder="1" applyAlignment="1" applyProtection="1">
      <alignment horizontal="center" vertical="center" wrapText="1"/>
    </xf>
    <xf numFmtId="0" fontId="30" fillId="17" borderId="135" xfId="4" applyFont="1" applyFill="1" applyBorder="1" applyAlignment="1" applyProtection="1">
      <alignment horizontal="center" vertical="center" wrapText="1"/>
      <protection locked="0"/>
    </xf>
    <xf numFmtId="0" fontId="30" fillId="17" borderId="136" xfId="4" applyFont="1" applyFill="1" applyBorder="1" applyAlignment="1" applyProtection="1">
      <alignment horizontal="center" vertical="center" wrapText="1"/>
      <protection locked="0"/>
    </xf>
    <xf numFmtId="9" fontId="35" fillId="17" borderId="136" xfId="4" applyNumberFormat="1" applyFont="1" applyFill="1" applyBorder="1" applyAlignment="1">
      <alignment horizontal="center" vertical="center" wrapText="1"/>
    </xf>
    <xf numFmtId="0" fontId="30" fillId="0" borderId="136" xfId="4" applyFont="1" applyBorder="1" applyAlignment="1" applyProtection="1">
      <alignment horizontal="center" vertical="center" wrapText="1"/>
      <protection locked="0"/>
    </xf>
    <xf numFmtId="9" fontId="35" fillId="0" borderId="136" xfId="4" applyNumberFormat="1" applyFont="1" applyBorder="1" applyAlignment="1">
      <alignment horizontal="center" vertical="center" wrapText="1"/>
    </xf>
    <xf numFmtId="9" fontId="35" fillId="0" borderId="137" xfId="4" applyNumberFormat="1" applyFont="1" applyBorder="1" applyAlignment="1">
      <alignment horizontal="center" vertical="center" wrapText="1"/>
    </xf>
    <xf numFmtId="9" fontId="35" fillId="0" borderId="138" xfId="4" applyNumberFormat="1" applyFont="1" applyBorder="1" applyAlignment="1">
      <alignment horizontal="center" vertical="center" wrapText="1"/>
    </xf>
    <xf numFmtId="0" fontId="34" fillId="6" borderId="113" xfId="9" applyFont="1" applyFill="1" applyBorder="1" applyAlignment="1" applyProtection="1">
      <alignment horizontal="center" vertical="center" wrapText="1"/>
    </xf>
    <xf numFmtId="167" fontId="36" fillId="6" borderId="114" xfId="11" applyNumberFormat="1" applyFont="1" applyFill="1" applyBorder="1" applyAlignment="1" applyProtection="1">
      <alignment horizontal="center" vertical="center" wrapText="1"/>
    </xf>
    <xf numFmtId="0" fontId="33" fillId="16" borderId="116" xfId="9" applyFont="1" applyFill="1" applyBorder="1" applyAlignment="1" applyProtection="1">
      <alignment horizontal="center" vertical="center" wrapText="1"/>
    </xf>
    <xf numFmtId="0" fontId="33" fillId="6" borderId="116" xfId="9" applyFont="1" applyFill="1" applyBorder="1" applyAlignment="1" applyProtection="1">
      <alignment horizontal="center" vertical="center" wrapText="1"/>
    </xf>
    <xf numFmtId="0" fontId="29" fillId="6" borderId="115" xfId="9" applyFont="1" applyFill="1" applyBorder="1" applyAlignment="1" applyProtection="1">
      <alignment horizontal="center" vertical="center" wrapText="1"/>
    </xf>
    <xf numFmtId="0" fontId="29" fillId="6" borderId="116" xfId="9" applyFont="1" applyFill="1" applyBorder="1" applyAlignment="1" applyProtection="1">
      <alignment horizontal="center" vertical="center" wrapText="1"/>
    </xf>
    <xf numFmtId="0" fontId="29" fillId="6" borderId="118" xfId="9" applyFont="1" applyFill="1" applyBorder="1" applyAlignment="1" applyProtection="1">
      <alignment horizontal="center" vertical="center" wrapText="1"/>
    </xf>
    <xf numFmtId="0" fontId="30" fillId="17" borderId="139" xfId="4" applyFont="1" applyFill="1" applyBorder="1" applyAlignment="1" applyProtection="1">
      <alignment horizontal="center" vertical="center" wrapText="1"/>
      <protection locked="0"/>
    </xf>
    <xf numFmtId="9" fontId="35" fillId="17" borderId="139" xfId="4" applyNumberFormat="1" applyFont="1" applyFill="1" applyBorder="1" applyAlignment="1">
      <alignment horizontal="center" vertical="center" wrapText="1"/>
    </xf>
    <xf numFmtId="0" fontId="30" fillId="0" borderId="139" xfId="4" applyFont="1" applyBorder="1" applyAlignment="1" applyProtection="1">
      <alignment horizontal="center" vertical="center" wrapText="1"/>
      <protection locked="0"/>
    </xf>
    <xf numFmtId="9" fontId="35" fillId="0" borderId="139" xfId="4" applyNumberFormat="1" applyFont="1" applyBorder="1" applyAlignment="1">
      <alignment horizontal="center" vertical="center" wrapText="1"/>
    </xf>
    <xf numFmtId="9" fontId="35" fillId="0" borderId="140" xfId="4" applyNumberFormat="1" applyFont="1" applyBorder="1" applyAlignment="1">
      <alignment horizontal="center" vertical="center" wrapText="1"/>
    </xf>
    <xf numFmtId="167" fontId="36" fillId="6" borderId="122" xfId="11" applyNumberFormat="1" applyFont="1" applyFill="1" applyBorder="1" applyAlignment="1" applyProtection="1">
      <alignment horizontal="center" vertical="center" wrapText="1"/>
    </xf>
    <xf numFmtId="9" fontId="33" fillId="16" borderId="89" xfId="9" applyNumberFormat="1" applyFont="1" applyFill="1" applyBorder="1" applyAlignment="1" applyProtection="1">
      <alignment horizontal="center" vertical="center" wrapText="1"/>
    </xf>
    <xf numFmtId="9" fontId="33" fillId="6" borderId="89" xfId="9" applyNumberFormat="1" applyFont="1" applyFill="1" applyBorder="1" applyAlignment="1" applyProtection="1">
      <alignment horizontal="center" vertical="center" wrapText="1"/>
    </xf>
    <xf numFmtId="9" fontId="34" fillId="16" borderId="117" xfId="11" applyFont="1" applyFill="1" applyBorder="1" applyAlignment="1" applyProtection="1">
      <alignment horizontal="center" vertical="center" wrapText="1"/>
    </xf>
    <xf numFmtId="0" fontId="29" fillId="6" borderId="96" xfId="9" applyFont="1" applyFill="1" applyBorder="1" applyAlignment="1" applyProtection="1">
      <alignment horizontal="center" vertical="center" wrapText="1"/>
    </xf>
    <xf numFmtId="9" fontId="29" fillId="6" borderId="89" xfId="9" applyNumberFormat="1" applyFont="1" applyFill="1" applyBorder="1" applyAlignment="1" applyProtection="1">
      <alignment horizontal="center" vertical="center" wrapText="1"/>
    </xf>
    <xf numFmtId="0" fontId="29" fillId="6" borderId="89" xfId="9" applyFont="1" applyFill="1" applyBorder="1" applyAlignment="1">
      <alignment horizontal="center" vertical="center" wrapText="1"/>
    </xf>
    <xf numFmtId="10" fontId="29" fillId="6" borderId="123" xfId="9" applyNumberFormat="1" applyFont="1" applyFill="1" applyBorder="1" applyAlignment="1" applyProtection="1">
      <alignment horizontal="center" vertical="center" wrapText="1"/>
    </xf>
    <xf numFmtId="9" fontId="30" fillId="17" borderId="119" xfId="11" applyFont="1" applyFill="1" applyBorder="1" applyAlignment="1" applyProtection="1">
      <alignment horizontal="center" vertical="center" wrapText="1"/>
      <protection locked="0"/>
    </xf>
    <xf numFmtId="167" fontId="30" fillId="17" borderId="119" xfId="11" applyNumberFormat="1" applyFont="1" applyFill="1" applyBorder="1" applyAlignment="1" applyProtection="1">
      <alignment horizontal="center" vertical="center" wrapText="1"/>
      <protection locked="0"/>
    </xf>
    <xf numFmtId="9" fontId="30" fillId="0" borderId="119" xfId="11" applyFont="1" applyFill="1" applyBorder="1" applyAlignment="1" applyProtection="1">
      <alignment horizontal="center" vertical="center" wrapText="1"/>
      <protection locked="0"/>
    </xf>
    <xf numFmtId="9" fontId="30" fillId="0" borderId="119" xfId="4" applyNumberFormat="1" applyFont="1" applyBorder="1" applyAlignment="1" applyProtection="1">
      <alignment horizontal="center" vertical="center" wrapText="1"/>
      <protection locked="0"/>
    </xf>
    <xf numFmtId="0" fontId="29" fillId="6" borderId="89" xfId="9" applyFont="1" applyFill="1" applyBorder="1" applyAlignment="1" applyProtection="1">
      <alignment horizontal="center" vertical="center" wrapText="1"/>
    </xf>
    <xf numFmtId="10" fontId="30" fillId="0" borderId="119" xfId="4" applyNumberFormat="1" applyFont="1" applyBorder="1" applyAlignment="1" applyProtection="1">
      <alignment horizontal="center" vertical="center" wrapText="1"/>
      <protection locked="0"/>
    </xf>
    <xf numFmtId="9" fontId="29" fillId="17" borderId="119" xfId="11" applyFont="1" applyFill="1" applyBorder="1" applyAlignment="1" applyProtection="1">
      <alignment horizontal="center" vertical="center" wrapText="1"/>
      <protection locked="0"/>
    </xf>
    <xf numFmtId="10" fontId="30" fillId="17" borderId="119" xfId="4" applyNumberFormat="1" applyFont="1" applyFill="1" applyBorder="1" applyAlignment="1" applyProtection="1">
      <alignment horizontal="center" vertical="center" wrapText="1"/>
      <protection locked="0"/>
    </xf>
    <xf numFmtId="10" fontId="30" fillId="17" borderId="119" xfId="11" applyNumberFormat="1" applyFont="1" applyFill="1" applyBorder="1" applyAlignment="1" applyProtection="1">
      <alignment horizontal="center" vertical="center" wrapText="1"/>
      <protection locked="0"/>
    </xf>
    <xf numFmtId="9" fontId="30" fillId="17" borderId="119" xfId="4" applyNumberFormat="1" applyFont="1" applyFill="1" applyBorder="1" applyAlignment="1" applyProtection="1">
      <alignment horizontal="center" vertical="center" wrapText="1"/>
      <protection locked="0"/>
    </xf>
    <xf numFmtId="0" fontId="29" fillId="6" borderId="141" xfId="4" applyFont="1" applyFill="1" applyBorder="1" applyAlignment="1" applyProtection="1">
      <alignment horizontal="left" vertical="center" wrapText="1"/>
    </xf>
    <xf numFmtId="167" fontId="36" fillId="18" borderId="126" xfId="11" applyNumberFormat="1" applyFont="1" applyFill="1" applyBorder="1" applyAlignment="1" applyProtection="1">
      <alignment horizontal="center" vertical="center" wrapText="1"/>
    </xf>
    <xf numFmtId="9" fontId="10" fillId="6" borderId="97" xfId="4" applyNumberFormat="1" applyFont="1" applyFill="1" applyBorder="1" applyAlignment="1" applyProtection="1">
      <alignment horizontal="center" vertical="center" wrapText="1"/>
    </xf>
    <xf numFmtId="9" fontId="10" fillId="6" borderId="90" xfId="4" applyNumberFormat="1" applyFont="1" applyFill="1" applyBorder="1" applyAlignment="1" applyProtection="1">
      <alignment horizontal="center" vertical="center" wrapText="1"/>
    </xf>
    <xf numFmtId="0" fontId="37" fillId="16" borderId="90" xfId="4" applyNumberFormat="1" applyFont="1" applyFill="1" applyBorder="1" applyAlignment="1" applyProtection="1">
      <alignment horizontal="center" vertical="center" wrapText="1"/>
    </xf>
    <xf numFmtId="0" fontId="37" fillId="6" borderId="90" xfId="4" applyNumberFormat="1" applyFont="1" applyFill="1" applyBorder="1" applyAlignment="1" applyProtection="1">
      <alignment horizontal="center" vertical="center" wrapText="1"/>
    </xf>
    <xf numFmtId="10" fontId="10" fillId="6" borderId="97" xfId="4" applyNumberFormat="1" applyFont="1" applyFill="1" applyBorder="1" applyAlignment="1" applyProtection="1">
      <alignment horizontal="center" vertical="center" wrapText="1"/>
    </xf>
    <xf numFmtId="10" fontId="10" fillId="6" borderId="90" xfId="4" applyNumberFormat="1" applyFont="1" applyFill="1" applyBorder="1" applyAlignment="1" applyProtection="1">
      <alignment horizontal="center" vertical="center" wrapText="1"/>
    </xf>
    <xf numFmtId="10" fontId="10" fillId="6" borderId="127" xfId="4" applyNumberFormat="1" applyFont="1" applyFill="1" applyBorder="1" applyAlignment="1" applyProtection="1">
      <alignment horizontal="center" vertical="center" wrapText="1"/>
    </xf>
    <xf numFmtId="0" fontId="7" fillId="0" borderId="103" xfId="4" applyBorder="1"/>
    <xf numFmtId="0" fontId="30" fillId="15" borderId="111" xfId="9" applyFont="1" applyFill="1" applyBorder="1" applyAlignment="1" applyProtection="1">
      <alignment horizontal="center" vertical="center" wrapText="1"/>
    </xf>
    <xf numFmtId="0" fontId="30" fillId="15" borderId="122" xfId="9" applyFont="1" applyFill="1" applyBorder="1" applyAlignment="1" applyProtection="1">
      <alignment horizontal="center" vertical="center" wrapText="1"/>
    </xf>
    <xf numFmtId="10" fontId="30" fillId="6" borderId="142" xfId="9" applyNumberFormat="1" applyFont="1" applyFill="1" applyBorder="1" applyAlignment="1" applyProtection="1">
      <alignment horizontal="center" vertical="center" wrapText="1"/>
    </xf>
    <xf numFmtId="9" fontId="30" fillId="6" borderId="107" xfId="11" applyFont="1" applyFill="1" applyBorder="1" applyAlignment="1" applyProtection="1">
      <alignment horizontal="center" vertical="center" wrapText="1"/>
    </xf>
    <xf numFmtId="1" fontId="29" fillId="6" borderId="87" xfId="9" applyNumberFormat="1" applyFont="1" applyFill="1" applyBorder="1" applyAlignment="1" applyProtection="1">
      <alignment horizontal="center" vertical="center" wrapText="1"/>
    </xf>
    <xf numFmtId="10" fontId="29" fillId="6" borderId="143" xfId="11" applyNumberFormat="1" applyFont="1" applyFill="1" applyBorder="1" applyAlignment="1" applyProtection="1">
      <alignment horizontal="center" vertical="center" wrapText="1"/>
    </xf>
    <xf numFmtId="0" fontId="30" fillId="6" borderId="144" xfId="9" applyFont="1" applyFill="1" applyBorder="1" applyAlignment="1" applyProtection="1">
      <alignment horizontal="justify" vertical="center" wrapText="1"/>
    </xf>
    <xf numFmtId="0" fontId="30" fillId="6" borderId="144" xfId="9" applyFont="1" applyFill="1" applyBorder="1" applyAlignment="1" applyProtection="1">
      <alignment horizontal="center" vertical="center" wrapText="1"/>
    </xf>
    <xf numFmtId="0" fontId="30" fillId="6" borderId="145" xfId="9" applyNumberFormat="1" applyFont="1" applyFill="1" applyBorder="1" applyAlignment="1" applyProtection="1">
      <alignment horizontal="center" vertical="center" wrapText="1"/>
    </xf>
    <xf numFmtId="0" fontId="7" fillId="0" borderId="112" xfId="4" applyBorder="1" applyAlignment="1">
      <alignment horizontal="center" vertical="center" wrapText="1"/>
    </xf>
    <xf numFmtId="0" fontId="12" fillId="6" borderId="0" xfId="9" applyFont="1" applyFill="1" applyBorder="1" applyAlignment="1" applyProtection="1">
      <alignment vertical="center" wrapText="1"/>
    </xf>
    <xf numFmtId="0" fontId="38" fillId="16" borderId="116" xfId="9" applyFont="1" applyFill="1" applyBorder="1" applyAlignment="1" applyProtection="1">
      <alignment horizontal="center" vertical="center" wrapText="1"/>
    </xf>
    <xf numFmtId="0" fontId="38" fillId="6" borderId="116" xfId="9" applyFont="1" applyFill="1" applyBorder="1" applyAlignment="1" applyProtection="1">
      <alignment horizontal="center" vertical="center" wrapText="1"/>
    </xf>
    <xf numFmtId="0" fontId="31" fillId="16" borderId="116" xfId="9" applyNumberFormat="1" applyFont="1" applyFill="1" applyBorder="1" applyAlignment="1" applyProtection="1">
      <alignment horizontal="center" vertical="center" wrapText="1"/>
    </xf>
    <xf numFmtId="0" fontId="12" fillId="6" borderId="93" xfId="9" applyFont="1" applyFill="1" applyBorder="1" applyAlignment="1" applyProtection="1">
      <alignment horizontal="center" vertical="center" wrapText="1"/>
    </xf>
    <xf numFmtId="0" fontId="12" fillId="6" borderId="95" xfId="9" applyFont="1" applyFill="1" applyBorder="1" applyAlignment="1" applyProtection="1">
      <alignment horizontal="center" vertical="center" wrapText="1"/>
    </xf>
    <xf numFmtId="0" fontId="12" fillId="6" borderId="88" xfId="9" applyFont="1" applyFill="1" applyBorder="1" applyAlignment="1" applyProtection="1">
      <alignment horizontal="center" vertical="center" wrapText="1"/>
    </xf>
    <xf numFmtId="0" fontId="7" fillId="0" borderId="121" xfId="4" applyBorder="1" applyAlignment="1">
      <alignment horizontal="center" vertical="center" wrapText="1"/>
    </xf>
    <xf numFmtId="0" fontId="12" fillId="6" borderId="146" xfId="9" applyFont="1" applyFill="1" applyBorder="1" applyAlignment="1" applyProtection="1">
      <alignment vertical="center" wrapText="1"/>
    </xf>
    <xf numFmtId="9" fontId="31" fillId="16" borderId="116" xfId="11" applyFont="1" applyFill="1" applyBorder="1" applyAlignment="1" applyProtection="1">
      <alignment horizontal="center" vertical="center" wrapText="1"/>
    </xf>
    <xf numFmtId="10" fontId="12" fillId="0" borderId="96" xfId="9" applyNumberFormat="1" applyFont="1" applyFill="1" applyBorder="1" applyAlignment="1" applyProtection="1">
      <alignment horizontal="center" vertical="center" wrapText="1"/>
    </xf>
    <xf numFmtId="10" fontId="12" fillId="0" borderId="89" xfId="9" applyNumberFormat="1" applyFont="1" applyFill="1" applyBorder="1" applyAlignment="1" applyProtection="1">
      <alignment horizontal="center" vertical="center" wrapText="1"/>
    </xf>
    <xf numFmtId="0" fontId="12" fillId="6" borderId="147" xfId="9" applyFont="1" applyFill="1" applyBorder="1" applyAlignment="1" applyProtection="1">
      <alignment horizontal="center" vertical="center" wrapText="1"/>
    </xf>
    <xf numFmtId="0" fontId="7" fillId="17" borderId="89" xfId="4" applyFont="1" applyFill="1" applyBorder="1" applyAlignment="1">
      <alignment horizontal="center" vertical="center" wrapText="1"/>
    </xf>
    <xf numFmtId="9" fontId="35" fillId="17" borderId="148" xfId="4" applyNumberFormat="1" applyFont="1" applyFill="1" applyBorder="1" applyAlignment="1">
      <alignment horizontal="center" vertical="center" wrapText="1"/>
    </xf>
    <xf numFmtId="9" fontId="35" fillId="6" borderId="119" xfId="4" applyNumberFormat="1" applyFont="1" applyFill="1" applyBorder="1" applyAlignment="1">
      <alignment horizontal="center" vertical="center" wrapText="1"/>
    </xf>
    <xf numFmtId="0" fontId="38" fillId="16" borderId="89" xfId="9" applyFont="1" applyFill="1" applyBorder="1" applyAlignment="1" applyProtection="1">
      <alignment horizontal="center" vertical="center" wrapText="1"/>
    </xf>
    <xf numFmtId="0" fontId="38" fillId="6" borderId="89" xfId="9" applyFont="1" applyFill="1" applyBorder="1" applyAlignment="1" applyProtection="1">
      <alignment horizontal="center" vertical="center" wrapText="1"/>
    </xf>
    <xf numFmtId="0" fontId="7" fillId="19" borderId="121" xfId="4" applyFill="1" applyBorder="1" applyAlignment="1">
      <alignment horizontal="center" vertical="center" wrapText="1"/>
    </xf>
    <xf numFmtId="0" fontId="12" fillId="6" borderId="111" xfId="9" applyFont="1" applyFill="1" applyBorder="1" applyAlignment="1" applyProtection="1">
      <alignment vertical="center" wrapText="1"/>
    </xf>
    <xf numFmtId="10" fontId="7" fillId="17" borderId="123" xfId="4" applyNumberFormat="1" applyFont="1" applyFill="1" applyBorder="1" applyAlignment="1">
      <alignment horizontal="center" vertical="center"/>
    </xf>
    <xf numFmtId="0" fontId="7" fillId="17" borderId="123" xfId="4" applyFont="1" applyFill="1" applyBorder="1" applyAlignment="1">
      <alignment horizontal="justify" wrapText="1"/>
    </xf>
    <xf numFmtId="9" fontId="38" fillId="16" borderId="89" xfId="9" applyNumberFormat="1" applyFont="1" applyFill="1" applyBorder="1" applyAlignment="1" applyProtection="1">
      <alignment horizontal="center" vertical="center" wrapText="1"/>
    </xf>
    <xf numFmtId="9" fontId="38" fillId="6" borderId="89" xfId="9" applyNumberFormat="1" applyFont="1" applyFill="1" applyBorder="1" applyAlignment="1" applyProtection="1">
      <alignment horizontal="center" vertical="center" wrapText="1"/>
    </xf>
    <xf numFmtId="10" fontId="7" fillId="17" borderId="123" xfId="4" applyNumberFormat="1" applyFill="1" applyBorder="1" applyAlignment="1">
      <alignment horizontal="center" vertical="center"/>
    </xf>
    <xf numFmtId="0" fontId="7" fillId="17" borderId="123" xfId="4" applyFont="1" applyFill="1" applyBorder="1" applyAlignment="1">
      <alignment horizontal="center" wrapText="1"/>
    </xf>
    <xf numFmtId="9" fontId="30" fillId="0" borderId="119" xfId="11" applyNumberFormat="1" applyFont="1" applyFill="1" applyBorder="1" applyAlignment="1" applyProtection="1">
      <alignment horizontal="center" vertical="center" wrapText="1"/>
      <protection locked="0"/>
    </xf>
    <xf numFmtId="0" fontId="7" fillId="6" borderId="123" xfId="4" applyFont="1" applyFill="1" applyBorder="1" applyAlignment="1">
      <alignment horizontal="center" wrapText="1"/>
    </xf>
    <xf numFmtId="0" fontId="12" fillId="6" borderId="113" xfId="9" applyFont="1" applyFill="1" applyBorder="1" applyAlignment="1" applyProtection="1">
      <alignment vertical="center" wrapText="1"/>
    </xf>
    <xf numFmtId="10" fontId="38" fillId="16" borderId="89" xfId="9" applyNumberFormat="1" applyFont="1" applyFill="1" applyBorder="1" applyAlignment="1" applyProtection="1">
      <alignment horizontal="center" vertical="center" wrapText="1"/>
    </xf>
    <xf numFmtId="10" fontId="38" fillId="6" borderId="89" xfId="9" applyNumberFormat="1" applyFont="1" applyFill="1" applyBorder="1" applyAlignment="1" applyProtection="1">
      <alignment horizontal="center" vertical="center" wrapText="1"/>
    </xf>
    <xf numFmtId="10" fontId="30" fillId="17" borderId="128" xfId="4" applyNumberFormat="1" applyFont="1" applyFill="1" applyBorder="1" applyAlignment="1" applyProtection="1">
      <alignment horizontal="center" vertical="center" wrapText="1"/>
      <protection locked="0"/>
    </xf>
    <xf numFmtId="0" fontId="12" fillId="17" borderId="89" xfId="9" applyFont="1" applyFill="1" applyBorder="1" applyAlignment="1" applyProtection="1">
      <alignment horizontal="center" vertical="center" wrapText="1"/>
    </xf>
    <xf numFmtId="10" fontId="30" fillId="0" borderId="119" xfId="11" applyNumberFormat="1" applyFont="1" applyFill="1" applyBorder="1" applyAlignment="1" applyProtection="1">
      <alignment horizontal="center" vertical="center" wrapText="1"/>
      <protection locked="0"/>
    </xf>
    <xf numFmtId="9" fontId="30" fillId="17" borderId="149" xfId="11" applyFont="1" applyFill="1" applyBorder="1" applyAlignment="1" applyProtection="1">
      <alignment horizontal="center" vertical="center" wrapText="1"/>
      <protection locked="0"/>
    </xf>
    <xf numFmtId="0" fontId="7" fillId="16" borderId="89" xfId="4" applyFill="1" applyBorder="1"/>
    <xf numFmtId="9" fontId="7" fillId="0" borderId="119" xfId="11" applyBorder="1" applyAlignment="1" applyProtection="1">
      <alignment horizontal="center" vertical="center" wrapText="1"/>
      <protection locked="0"/>
    </xf>
    <xf numFmtId="2" fontId="7" fillId="0" borderId="121" xfId="4" applyNumberFormat="1" applyBorder="1" applyAlignment="1">
      <alignment horizontal="center" vertical="center" wrapText="1"/>
    </xf>
    <xf numFmtId="10" fontId="31" fillId="0" borderId="119" xfId="11" applyNumberFormat="1" applyFont="1" applyFill="1" applyBorder="1" applyAlignment="1" applyProtection="1">
      <alignment horizontal="center" vertical="center" wrapText="1"/>
      <protection locked="0"/>
    </xf>
    <xf numFmtId="0" fontId="7" fillId="20" borderId="112" xfId="4" applyFill="1" applyBorder="1" applyAlignment="1">
      <alignment horizontal="center" vertical="center" wrapText="1"/>
    </xf>
    <xf numFmtId="0" fontId="12" fillId="6" borderId="111" xfId="9" applyFont="1" applyFill="1" applyBorder="1" applyAlignment="1" applyProtection="1">
      <alignment horizontal="left" vertical="center" wrapText="1"/>
    </xf>
    <xf numFmtId="2" fontId="7" fillId="20" borderId="121" xfId="4" applyNumberFormat="1" applyFill="1" applyBorder="1" applyAlignment="1">
      <alignment horizontal="center" vertical="center" wrapText="1"/>
    </xf>
    <xf numFmtId="0" fontId="12" fillId="6" borderId="111" xfId="4" applyFont="1" applyFill="1" applyBorder="1" applyAlignment="1" applyProtection="1">
      <alignment horizontal="left" vertical="center" wrapText="1"/>
    </xf>
    <xf numFmtId="1" fontId="39" fillId="16" borderId="89" xfId="11" applyNumberFormat="1" applyFont="1" applyFill="1" applyBorder="1" applyAlignment="1" applyProtection="1">
      <alignment horizontal="center" vertical="center"/>
    </xf>
    <xf numFmtId="1" fontId="39" fillId="6" borderId="89" xfId="11" applyNumberFormat="1" applyFont="1" applyFill="1" applyBorder="1" applyAlignment="1" applyProtection="1">
      <alignment horizontal="center" vertical="center"/>
    </xf>
    <xf numFmtId="10" fontId="12" fillId="6" borderId="96" xfId="4" applyNumberFormat="1" applyFont="1" applyFill="1" applyBorder="1" applyAlignment="1" applyProtection="1">
      <alignment horizontal="center" vertical="center" wrapText="1"/>
    </xf>
    <xf numFmtId="10" fontId="12" fillId="6" borderId="89" xfId="4" applyNumberFormat="1" applyFont="1" applyFill="1" applyBorder="1" applyAlignment="1" applyProtection="1">
      <alignment horizontal="center" vertical="center" wrapText="1"/>
    </xf>
    <xf numFmtId="9" fontId="12" fillId="6" borderId="147" xfId="11" applyFont="1" applyFill="1" applyBorder="1" applyAlignment="1" applyProtection="1">
      <alignment horizontal="center" vertical="center"/>
    </xf>
    <xf numFmtId="0" fontId="38" fillId="6" borderId="150" xfId="9" applyFont="1" applyFill="1" applyBorder="1" applyAlignment="1" applyProtection="1">
      <alignment vertical="center" wrapText="1"/>
    </xf>
    <xf numFmtId="10" fontId="12" fillId="0" borderId="133" xfId="9" applyNumberFormat="1" applyFont="1" applyFill="1" applyBorder="1" applyAlignment="1" applyProtection="1">
      <alignment horizontal="center" vertical="center" wrapText="1"/>
    </xf>
    <xf numFmtId="0" fontId="29" fillId="17" borderId="119" xfId="4" applyFont="1" applyFill="1" applyBorder="1" applyAlignment="1" applyProtection="1">
      <alignment horizontal="center" vertical="center" wrapText="1"/>
      <protection locked="0"/>
    </xf>
    <xf numFmtId="0" fontId="30" fillId="21" borderId="119" xfId="4" applyFont="1" applyFill="1" applyBorder="1" applyAlignment="1" applyProtection="1">
      <alignment horizontal="center" vertical="center" wrapText="1"/>
      <protection locked="0"/>
    </xf>
    <xf numFmtId="9" fontId="35" fillId="21" borderId="119" xfId="4" applyNumberFormat="1" applyFont="1" applyFill="1" applyBorder="1" applyAlignment="1">
      <alignment horizontal="center" vertical="center" wrapText="1"/>
    </xf>
    <xf numFmtId="0" fontId="40" fillId="6" borderId="150" xfId="9" applyFont="1" applyFill="1" applyBorder="1" applyAlignment="1" applyProtection="1">
      <alignment horizontal="center" vertical="center" wrapText="1"/>
    </xf>
    <xf numFmtId="10" fontId="12" fillId="0" borderId="97" xfId="9" applyNumberFormat="1" applyFont="1" applyFill="1" applyBorder="1" applyAlignment="1" applyProtection="1">
      <alignment horizontal="center" vertical="center" wrapText="1"/>
    </xf>
    <xf numFmtId="10" fontId="12" fillId="0" borderId="90" xfId="9" applyNumberFormat="1" applyFont="1" applyFill="1" applyBorder="1" applyAlignment="1" applyProtection="1">
      <alignment horizontal="center" vertical="center" wrapText="1"/>
    </xf>
    <xf numFmtId="0" fontId="12" fillId="6" borderId="151" xfId="9" applyFont="1" applyFill="1" applyBorder="1" applyAlignment="1" applyProtection="1">
      <alignment horizontal="center" vertical="center" wrapText="1"/>
    </xf>
    <xf numFmtId="0" fontId="30" fillId="17" borderId="123" xfId="9" applyFont="1" applyFill="1" applyBorder="1" applyAlignment="1" applyProtection="1">
      <alignment horizontal="center" vertical="center" wrapText="1"/>
      <protection locked="0"/>
    </xf>
    <xf numFmtId="10" fontId="10" fillId="6" borderId="152" xfId="4" applyNumberFormat="1" applyFont="1" applyFill="1" applyBorder="1" applyAlignment="1" applyProtection="1">
      <alignment horizontal="center" vertical="center" wrapText="1"/>
    </xf>
    <xf numFmtId="10" fontId="10" fillId="6" borderId="153" xfId="4" applyNumberFormat="1" applyFont="1" applyFill="1" applyBorder="1" applyAlignment="1" applyProtection="1">
      <alignment horizontal="center" vertical="center" wrapText="1"/>
    </xf>
    <xf numFmtId="10" fontId="10" fillId="6" borderId="141" xfId="4" applyNumberFormat="1" applyFont="1" applyFill="1" applyBorder="1" applyAlignment="1" applyProtection="1">
      <alignment horizontal="center" vertical="center" wrapText="1"/>
    </xf>
    <xf numFmtId="10" fontId="10" fillId="6" borderId="154" xfId="4" applyNumberFormat="1" applyFont="1" applyFill="1" applyBorder="1" applyAlignment="1" applyProtection="1">
      <alignment horizontal="center" vertical="center" wrapText="1"/>
    </xf>
    <xf numFmtId="0" fontId="7" fillId="0" borderId="155" xfId="4" applyBorder="1"/>
    <xf numFmtId="0" fontId="30" fillId="15" borderId="113" xfId="9" applyFont="1" applyFill="1" applyBorder="1" applyAlignment="1" applyProtection="1">
      <alignment horizontal="center" vertical="center" wrapText="1"/>
    </xf>
    <xf numFmtId="10" fontId="30" fillId="6" borderId="156" xfId="9" applyNumberFormat="1" applyFont="1" applyFill="1" applyBorder="1" applyAlignment="1" applyProtection="1">
      <alignment horizontal="center" vertical="center" wrapText="1"/>
    </xf>
    <xf numFmtId="167" fontId="30" fillId="6" borderId="102" xfId="9" applyNumberFormat="1" applyFont="1" applyFill="1" applyBorder="1" applyAlignment="1" applyProtection="1">
      <alignment horizontal="center" vertical="center" wrapText="1"/>
    </xf>
    <xf numFmtId="9" fontId="30" fillId="6" borderId="157" xfId="9" applyNumberFormat="1" applyFont="1" applyFill="1" applyBorder="1" applyAlignment="1" applyProtection="1">
      <alignment horizontal="center" vertical="center" wrapText="1"/>
    </xf>
    <xf numFmtId="9" fontId="30" fillId="6" borderId="158" xfId="9" applyNumberFormat="1" applyFont="1" applyFill="1" applyBorder="1" applyAlignment="1" applyProtection="1">
      <alignment horizontal="center" vertical="center" wrapText="1"/>
    </xf>
    <xf numFmtId="9" fontId="30" fillId="6" borderId="158" xfId="11" applyFont="1" applyFill="1" applyBorder="1" applyAlignment="1" applyProtection="1">
      <alignment horizontal="center" vertical="center" wrapText="1"/>
    </xf>
    <xf numFmtId="0" fontId="30" fillId="6" borderId="158" xfId="9" applyNumberFormat="1" applyFont="1" applyFill="1" applyBorder="1" applyAlignment="1" applyProtection="1">
      <alignment horizontal="center" vertical="center" wrapText="1"/>
    </xf>
    <xf numFmtId="0" fontId="30" fillId="6" borderId="158" xfId="9" applyNumberFormat="1" applyFont="1" applyFill="1" applyBorder="1" applyAlignment="1" applyProtection="1">
      <alignment horizontal="left" vertical="center" wrapText="1" indent="1"/>
    </xf>
    <xf numFmtId="0" fontId="30" fillId="6" borderId="159" xfId="9" applyNumberFormat="1" applyFont="1" applyFill="1" applyBorder="1" applyAlignment="1" applyProtection="1">
      <alignment horizontal="left" vertical="center" wrapText="1" indent="1"/>
    </xf>
    <xf numFmtId="1" fontId="29" fillId="6" borderId="159" xfId="9" applyNumberFormat="1" applyFont="1" applyFill="1" applyBorder="1" applyAlignment="1" applyProtection="1">
      <alignment horizontal="center" vertical="center" wrapText="1"/>
    </xf>
    <xf numFmtId="10" fontId="29" fillId="6" borderId="160" xfId="11" applyNumberFormat="1" applyFont="1" applyFill="1" applyBorder="1" applyAlignment="1" applyProtection="1">
      <alignment horizontal="center" vertical="center" wrapText="1"/>
    </xf>
    <xf numFmtId="0" fontId="30" fillId="6" borderId="158" xfId="9" applyFont="1" applyFill="1" applyBorder="1" applyAlignment="1" applyProtection="1">
      <alignment horizontal="justify" vertical="center" wrapText="1"/>
    </xf>
    <xf numFmtId="0" fontId="30" fillId="6" borderId="158" xfId="9" applyFont="1" applyFill="1" applyBorder="1" applyAlignment="1" applyProtection="1">
      <alignment horizontal="center" vertical="center" wrapText="1"/>
    </xf>
    <xf numFmtId="0" fontId="30" fillId="6" borderId="159" xfId="9" applyNumberFormat="1" applyFont="1" applyFill="1" applyBorder="1" applyAlignment="1" applyProtection="1">
      <alignment horizontal="center" vertical="center" wrapText="1"/>
    </xf>
    <xf numFmtId="0" fontId="12" fillId="6" borderId="113" xfId="9" applyFont="1" applyFill="1" applyBorder="1" applyAlignment="1" applyProtection="1">
      <alignment horizontal="left" vertical="center" wrapText="1"/>
    </xf>
    <xf numFmtId="167" fontId="36" fillId="6" borderId="161" xfId="11" applyNumberFormat="1" applyFont="1" applyFill="1" applyBorder="1" applyAlignment="1" applyProtection="1">
      <alignment horizontal="center" vertical="center" wrapText="1"/>
    </xf>
    <xf numFmtId="9" fontId="38" fillId="16" borderId="95" xfId="11" applyFont="1" applyFill="1" applyBorder="1" applyAlignment="1" applyProtection="1">
      <alignment horizontal="center" vertical="center" wrapText="1"/>
    </xf>
    <xf numFmtId="9" fontId="38" fillId="6" borderId="95" xfId="11" applyFont="1" applyFill="1" applyBorder="1" applyAlignment="1" applyProtection="1">
      <alignment horizontal="center" vertical="center" wrapText="1"/>
    </xf>
    <xf numFmtId="0" fontId="12" fillId="6" borderId="162" xfId="9" applyFont="1" applyFill="1" applyBorder="1" applyAlignment="1" applyProtection="1">
      <alignment horizontal="center" vertical="center" wrapText="1"/>
    </xf>
    <xf numFmtId="9" fontId="30" fillId="17" borderId="139" xfId="11" applyFont="1" applyFill="1" applyBorder="1" applyAlignment="1" applyProtection="1">
      <alignment horizontal="center" vertical="center" wrapText="1"/>
      <protection locked="0"/>
    </xf>
    <xf numFmtId="10" fontId="30" fillId="17" borderId="139" xfId="4" applyNumberFormat="1" applyFont="1" applyFill="1" applyBorder="1" applyAlignment="1" applyProtection="1">
      <alignment horizontal="center" vertical="center" wrapText="1"/>
      <protection locked="0"/>
    </xf>
    <xf numFmtId="9" fontId="30" fillId="0" borderId="139" xfId="11" applyFont="1" applyFill="1" applyBorder="1" applyAlignment="1" applyProtection="1">
      <alignment horizontal="center" vertical="center" wrapText="1"/>
      <protection locked="0"/>
    </xf>
    <xf numFmtId="9" fontId="30" fillId="0" borderId="139" xfId="4" applyNumberFormat="1" applyFont="1" applyBorder="1" applyAlignment="1" applyProtection="1">
      <alignment horizontal="center" vertical="center" wrapText="1"/>
      <protection locked="0"/>
    </xf>
    <xf numFmtId="9" fontId="29" fillId="17" borderId="139" xfId="11" applyFont="1" applyFill="1" applyBorder="1" applyAlignment="1" applyProtection="1">
      <alignment horizontal="center" vertical="center" wrapText="1"/>
      <protection locked="0"/>
    </xf>
    <xf numFmtId="9" fontId="30" fillId="17" borderId="163" xfId="11" applyFont="1" applyFill="1" applyBorder="1" applyAlignment="1" applyProtection="1">
      <alignment horizontal="center" vertical="center" wrapText="1"/>
    </xf>
    <xf numFmtId="9" fontId="41" fillId="0" borderId="139" xfId="4" applyNumberFormat="1" applyFont="1" applyBorder="1" applyAlignment="1">
      <alignment horizontal="center" vertical="center" wrapText="1"/>
    </xf>
    <xf numFmtId="9" fontId="38" fillId="16" borderId="89" xfId="11" applyFont="1" applyFill="1" applyBorder="1" applyAlignment="1" applyProtection="1">
      <alignment horizontal="center" vertical="center" wrapText="1"/>
    </xf>
    <xf numFmtId="9" fontId="38" fillId="6" borderId="89" xfId="11" applyFont="1" applyFill="1" applyBorder="1" applyAlignment="1" applyProtection="1">
      <alignment horizontal="center" vertical="center" wrapText="1"/>
    </xf>
    <xf numFmtId="0" fontId="12" fillId="6" borderId="123" xfId="9" applyFont="1" applyFill="1" applyBorder="1" applyAlignment="1" applyProtection="1">
      <alignment horizontal="center" vertical="center" wrapText="1"/>
    </xf>
    <xf numFmtId="9" fontId="41" fillId="0" borderId="119" xfId="4" applyNumberFormat="1" applyFont="1" applyBorder="1" applyAlignment="1">
      <alignment horizontal="center" vertical="center" wrapText="1"/>
    </xf>
    <xf numFmtId="0" fontId="12" fillId="0" borderId="111" xfId="9" applyFont="1" applyFill="1" applyBorder="1" applyAlignment="1" applyProtection="1">
      <alignment horizontal="justify" vertical="center" wrapText="1"/>
    </xf>
    <xf numFmtId="167" fontId="36" fillId="0" borderId="122" xfId="11" applyNumberFormat="1" applyFont="1" applyFill="1" applyBorder="1" applyAlignment="1" applyProtection="1">
      <alignment horizontal="center" vertical="center" wrapText="1"/>
    </xf>
    <xf numFmtId="0" fontId="12" fillId="0" borderId="96" xfId="9" applyFont="1" applyFill="1" applyBorder="1" applyAlignment="1" applyProtection="1">
      <alignment horizontal="center" vertical="center" wrapText="1"/>
    </xf>
    <xf numFmtId="0" fontId="12" fillId="0" borderId="89" xfId="9" applyFont="1" applyFill="1" applyBorder="1" applyAlignment="1" applyProtection="1">
      <alignment horizontal="center" vertical="center" wrapText="1"/>
    </xf>
    <xf numFmtId="1" fontId="38" fillId="16" borderId="89" xfId="11" applyNumberFormat="1" applyFont="1" applyFill="1" applyBorder="1" applyAlignment="1" applyProtection="1">
      <alignment horizontal="center" vertical="center" wrapText="1"/>
    </xf>
    <xf numFmtId="1" fontId="38" fillId="0" borderId="89" xfId="11" applyNumberFormat="1" applyFont="1" applyFill="1" applyBorder="1" applyAlignment="1" applyProtection="1">
      <alignment horizontal="center" vertical="center" wrapText="1"/>
    </xf>
    <xf numFmtId="10" fontId="12" fillId="0" borderId="123" xfId="9" applyNumberFormat="1" applyFont="1" applyFill="1" applyBorder="1" applyAlignment="1" applyProtection="1">
      <alignment horizontal="center" vertical="center" wrapText="1"/>
    </xf>
    <xf numFmtId="0" fontId="30" fillId="17" borderId="116" xfId="9" applyNumberFormat="1" applyFont="1" applyFill="1" applyBorder="1" applyAlignment="1" applyProtection="1">
      <alignment horizontal="center" vertical="center" wrapText="1"/>
    </xf>
    <xf numFmtId="0" fontId="7" fillId="0" borderId="0" xfId="4" applyFill="1"/>
    <xf numFmtId="1" fontId="12" fillId="0" borderId="96" xfId="9" applyNumberFormat="1" applyFont="1" applyFill="1" applyBorder="1" applyAlignment="1" applyProtection="1">
      <alignment horizontal="justify" vertical="center" wrapText="1"/>
    </xf>
    <xf numFmtId="0" fontId="12" fillId="6" borderId="111" xfId="9" applyFont="1" applyFill="1" applyBorder="1" applyAlignment="1" applyProtection="1">
      <alignment horizontal="justify" vertical="center" wrapText="1"/>
    </xf>
    <xf numFmtId="1" fontId="38" fillId="6" borderId="89" xfId="11" applyNumberFormat="1" applyFont="1" applyFill="1" applyBorder="1" applyAlignment="1" applyProtection="1">
      <alignment horizontal="center" vertical="center" wrapText="1"/>
    </xf>
    <xf numFmtId="1" fontId="12" fillId="6" borderId="96" xfId="9" applyNumberFormat="1" applyFont="1" applyFill="1" applyBorder="1" applyAlignment="1" applyProtection="1">
      <alignment horizontal="justify" vertical="center" wrapText="1"/>
    </xf>
    <xf numFmtId="10" fontId="12" fillId="6" borderId="123" xfId="9" applyNumberFormat="1" applyFont="1" applyFill="1" applyBorder="1" applyAlignment="1" applyProtection="1">
      <alignment horizontal="center" vertical="center" wrapText="1"/>
    </xf>
    <xf numFmtId="0" fontId="7" fillId="20" borderId="121" xfId="4" applyFill="1" applyBorder="1" applyAlignment="1">
      <alignment horizontal="center" vertical="center" wrapText="1"/>
    </xf>
    <xf numFmtId="1" fontId="12" fillId="6" borderId="89" xfId="9" applyNumberFormat="1" applyFont="1" applyFill="1" applyBorder="1" applyAlignment="1" applyProtection="1">
      <alignment horizontal="center" vertical="center" wrapText="1"/>
    </xf>
    <xf numFmtId="0" fontId="12" fillId="6" borderId="125" xfId="9" applyFont="1" applyFill="1" applyBorder="1" applyAlignment="1" applyProtection="1">
      <alignment horizontal="justify" vertical="center" wrapText="1"/>
    </xf>
    <xf numFmtId="0" fontId="30" fillId="15" borderId="146" xfId="9" applyFont="1" applyFill="1" applyBorder="1" applyAlignment="1" applyProtection="1">
      <alignment horizontal="center" vertical="center" wrapText="1"/>
    </xf>
    <xf numFmtId="10" fontId="30" fillId="6" borderId="150" xfId="9" applyNumberFormat="1" applyFont="1" applyFill="1" applyBorder="1" applyAlignment="1" applyProtection="1">
      <alignment horizontal="center" vertical="center" wrapText="1"/>
    </xf>
    <xf numFmtId="10" fontId="29" fillId="6" borderId="134" xfId="11" applyNumberFormat="1" applyFont="1" applyFill="1" applyBorder="1" applyAlignment="1" applyProtection="1">
      <alignment horizontal="center" vertical="center" wrapText="1"/>
    </xf>
    <xf numFmtId="0" fontId="30" fillId="6" borderId="107" xfId="9" applyFont="1" applyFill="1" applyBorder="1" applyAlignment="1" applyProtection="1">
      <alignment horizontal="justify" vertical="center" wrapText="1"/>
    </xf>
    <xf numFmtId="0" fontId="30" fillId="6" borderId="107" xfId="9" applyFont="1" applyFill="1" applyBorder="1" applyAlignment="1" applyProtection="1">
      <alignment horizontal="center" vertical="center" wrapText="1"/>
    </xf>
    <xf numFmtId="10" fontId="12" fillId="6" borderId="87" xfId="9" applyNumberFormat="1" applyFont="1" applyFill="1" applyBorder="1" applyAlignment="1" applyProtection="1">
      <alignment horizontal="center" vertical="center" wrapText="1"/>
    </xf>
    <xf numFmtId="0" fontId="12" fillId="6" borderId="113" xfId="9" applyFont="1" applyFill="1" applyBorder="1" applyAlignment="1" applyProtection="1">
      <alignment horizontal="justify" vertical="center" wrapText="1"/>
    </xf>
    <xf numFmtId="9" fontId="38" fillId="16" borderId="116" xfId="11" applyFont="1" applyFill="1" applyBorder="1" applyAlignment="1" applyProtection="1">
      <alignment horizontal="center" vertical="center" wrapText="1"/>
    </xf>
    <xf numFmtId="9" fontId="38" fillId="6" borderId="116" xfId="11" applyFont="1" applyFill="1" applyBorder="1" applyAlignment="1" applyProtection="1">
      <alignment horizontal="center" vertical="center" wrapText="1"/>
    </xf>
    <xf numFmtId="0" fontId="12" fillId="6" borderId="115" xfId="9" applyFont="1" applyFill="1" applyBorder="1" applyAlignment="1" applyProtection="1">
      <alignment vertical="center" wrapText="1"/>
    </xf>
    <xf numFmtId="0" fontId="12" fillId="6" borderId="116" xfId="9" applyFont="1" applyFill="1" applyBorder="1" applyAlignment="1" applyProtection="1">
      <alignment vertical="center" wrapText="1"/>
    </xf>
    <xf numFmtId="0" fontId="12" fillId="6" borderId="116" xfId="9" applyFont="1" applyFill="1" applyBorder="1" applyAlignment="1" applyProtection="1">
      <alignment vertical="center" wrapText="1"/>
      <protection locked="0"/>
    </xf>
    <xf numFmtId="10" fontId="12" fillId="6" borderId="118" xfId="9" applyNumberFormat="1" applyFont="1" applyFill="1" applyBorder="1" applyAlignment="1" applyProtection="1">
      <alignment horizontal="center" vertical="center" wrapText="1"/>
    </xf>
    <xf numFmtId="10" fontId="30" fillId="0" borderId="139" xfId="4" applyNumberFormat="1" applyFont="1" applyBorder="1" applyAlignment="1" applyProtection="1">
      <alignment horizontal="center" vertical="center" wrapText="1"/>
      <protection locked="0"/>
    </xf>
    <xf numFmtId="9" fontId="30" fillId="17" borderId="139" xfId="4" applyNumberFormat="1" applyFont="1" applyFill="1" applyBorder="1" applyAlignment="1" applyProtection="1">
      <alignment horizontal="center" vertical="center" wrapText="1"/>
      <protection locked="0"/>
    </xf>
    <xf numFmtId="0" fontId="12" fillId="6" borderId="96" xfId="9" applyFont="1" applyFill="1" applyBorder="1" applyAlignment="1" applyProtection="1">
      <alignment vertical="center" wrapText="1"/>
    </xf>
    <xf numFmtId="0" fontId="12" fillId="6" borderId="89" xfId="9" applyFont="1" applyFill="1" applyBorder="1" applyAlignment="1" applyProtection="1">
      <alignment vertical="center" wrapText="1"/>
    </xf>
    <xf numFmtId="0" fontId="12" fillId="6" borderId="89" xfId="9" applyFont="1" applyFill="1" applyBorder="1" applyAlignment="1" applyProtection="1">
      <alignment vertical="center" wrapText="1"/>
      <protection locked="0"/>
    </xf>
    <xf numFmtId="10" fontId="12" fillId="6" borderId="96" xfId="9" applyNumberFormat="1" applyFont="1" applyFill="1" applyBorder="1" applyAlignment="1" applyProtection="1">
      <alignment horizontal="justify" vertical="center" wrapText="1"/>
    </xf>
    <xf numFmtId="10" fontId="12" fillId="6" borderId="89" xfId="9" applyNumberFormat="1" applyFont="1" applyFill="1" applyBorder="1" applyAlignment="1" applyProtection="1">
      <alignment horizontal="center" vertical="center" wrapText="1"/>
    </xf>
    <xf numFmtId="9" fontId="42" fillId="17" borderId="119" xfId="4" applyNumberFormat="1" applyFont="1" applyFill="1" applyBorder="1" applyAlignment="1">
      <alignment horizontal="center" vertical="center" wrapText="1"/>
    </xf>
    <xf numFmtId="0" fontId="12" fillId="6" borderId="125" xfId="9" applyFont="1" applyFill="1" applyBorder="1" applyAlignment="1" applyProtection="1">
      <alignment horizontal="left" vertical="center" wrapText="1"/>
    </xf>
    <xf numFmtId="10" fontId="12" fillId="6" borderId="96" xfId="9" applyNumberFormat="1" applyFont="1" applyFill="1" applyBorder="1" applyAlignment="1" applyProtection="1">
      <alignment horizontal="center" vertical="center" wrapText="1"/>
    </xf>
    <xf numFmtId="0" fontId="29" fillId="6" borderId="113" xfId="9" applyFont="1" applyFill="1" applyBorder="1" applyAlignment="1" applyProtection="1">
      <alignment horizontal="justify" vertical="center" wrapText="1"/>
    </xf>
    <xf numFmtId="3" fontId="33" fillId="16" borderId="116" xfId="9" applyNumberFormat="1" applyFont="1" applyFill="1" applyBorder="1" applyAlignment="1" applyProtection="1">
      <alignment horizontal="center" vertical="center" wrapText="1"/>
    </xf>
    <xf numFmtId="3" fontId="33" fillId="6" borderId="116" xfId="9" applyNumberFormat="1" applyFont="1" applyFill="1" applyBorder="1" applyAlignment="1" applyProtection="1">
      <alignment horizontal="center" vertical="center" wrapText="1"/>
    </xf>
    <xf numFmtId="1" fontId="29" fillId="6" borderId="115" xfId="9" applyNumberFormat="1" applyFont="1" applyFill="1" applyBorder="1" applyAlignment="1" applyProtection="1">
      <alignment horizontal="center" vertical="center" wrapText="1"/>
    </xf>
    <xf numFmtId="1" fontId="29" fillId="6" borderId="116" xfId="9" applyNumberFormat="1" applyFont="1" applyFill="1" applyBorder="1" applyAlignment="1" applyProtection="1">
      <alignment horizontal="center" vertical="center" wrapText="1"/>
    </xf>
    <xf numFmtId="0" fontId="29" fillId="6" borderId="111" xfId="9" applyFont="1" applyFill="1" applyBorder="1" applyAlignment="1" applyProtection="1">
      <alignment horizontal="justify" vertical="center" wrapText="1"/>
    </xf>
    <xf numFmtId="3" fontId="33" fillId="16" borderId="89" xfId="9" applyNumberFormat="1" applyFont="1" applyFill="1" applyBorder="1" applyAlignment="1" applyProtection="1">
      <alignment horizontal="center" vertical="center" wrapText="1"/>
    </xf>
    <xf numFmtId="3" fontId="33" fillId="6" borderId="89" xfId="9" applyNumberFormat="1" applyFont="1" applyFill="1" applyBorder="1" applyAlignment="1" applyProtection="1">
      <alignment horizontal="center" vertical="center" wrapText="1"/>
    </xf>
    <xf numFmtId="1" fontId="29" fillId="6" borderId="96" xfId="9" applyNumberFormat="1" applyFont="1" applyFill="1" applyBorder="1" applyAlignment="1" applyProtection="1">
      <alignment horizontal="center" vertical="center" wrapText="1"/>
    </xf>
    <xf numFmtId="0" fontId="29" fillId="6" borderId="146" xfId="9" applyFont="1" applyFill="1" applyBorder="1" applyAlignment="1" applyProtection="1">
      <alignment vertical="center" wrapText="1"/>
    </xf>
    <xf numFmtId="9" fontId="33" fillId="16" borderId="89" xfId="11" applyFont="1" applyFill="1" applyBorder="1" applyAlignment="1" applyProtection="1">
      <alignment horizontal="center" vertical="center" wrapText="1"/>
    </xf>
    <xf numFmtId="9" fontId="33" fillId="6" borderId="89" xfId="11" applyFont="1" applyFill="1" applyBorder="1" applyAlignment="1" applyProtection="1">
      <alignment horizontal="center" vertical="center" wrapText="1"/>
    </xf>
    <xf numFmtId="10" fontId="29" fillId="6" borderId="96" xfId="9" applyNumberFormat="1" applyFont="1" applyFill="1" applyBorder="1" applyAlignment="1" applyProtection="1">
      <alignment horizontal="center" vertical="center" wrapText="1"/>
    </xf>
    <xf numFmtId="10" fontId="29" fillId="6" borderId="89" xfId="9" applyNumberFormat="1" applyFont="1" applyFill="1" applyBorder="1" applyAlignment="1" applyProtection="1">
      <alignment horizontal="center" vertical="center" wrapText="1"/>
    </xf>
    <xf numFmtId="0" fontId="7" fillId="0" borderId="164" xfId="4" applyBorder="1" applyAlignment="1">
      <alignment horizontal="center" vertical="center" wrapText="1"/>
    </xf>
    <xf numFmtId="0" fontId="29" fillId="6" borderId="156" xfId="4" applyFont="1" applyFill="1" applyBorder="1" applyAlignment="1" applyProtection="1">
      <alignment horizontal="left" vertical="center" wrapText="1"/>
    </xf>
    <xf numFmtId="0" fontId="7" fillId="0" borderId="0" xfId="4" applyBorder="1" applyAlignment="1">
      <alignment horizontal="center" vertical="center" wrapText="1"/>
    </xf>
    <xf numFmtId="0" fontId="7" fillId="20" borderId="0" xfId="4" applyFill="1"/>
    <xf numFmtId="0" fontId="7" fillId="19" borderId="0" xfId="4" applyFill="1"/>
    <xf numFmtId="0" fontId="29" fillId="6" borderId="174" xfId="9" applyFont="1" applyFill="1" applyBorder="1" applyAlignment="1" applyProtection="1">
      <alignment horizontal="center"/>
    </xf>
    <xf numFmtId="0" fontId="29" fillId="6" borderId="175" xfId="9" applyFont="1" applyFill="1" applyBorder="1" applyAlignment="1" applyProtection="1">
      <alignment horizontal="center" vertical="center" wrapText="1"/>
    </xf>
    <xf numFmtId="0" fontId="30" fillId="6" borderId="171" xfId="9" applyFont="1" applyFill="1" applyBorder="1" applyAlignment="1" applyProtection="1">
      <alignment horizontal="center" wrapText="1"/>
    </xf>
    <xf numFmtId="0" fontId="31" fillId="6" borderId="171" xfId="9" applyFont="1" applyFill="1" applyBorder="1" applyAlignment="1" applyProtection="1">
      <alignment horizontal="center"/>
    </xf>
    <xf numFmtId="0" fontId="31" fillId="6" borderId="176" xfId="9" applyFont="1" applyFill="1" applyBorder="1" applyAlignment="1" applyProtection="1">
      <alignment horizontal="center" wrapText="1"/>
    </xf>
    <xf numFmtId="0" fontId="28" fillId="0" borderId="0" xfId="4" applyFont="1"/>
    <xf numFmtId="0" fontId="31" fillId="37" borderId="173" xfId="9" applyFont="1" applyFill="1" applyBorder="1" applyAlignment="1" applyProtection="1">
      <alignment horizontal="center" vertical="center" wrapText="1"/>
    </xf>
    <xf numFmtId="0" fontId="56" fillId="37" borderId="108" xfId="4" applyFont="1" applyFill="1" applyBorder="1" applyAlignment="1" applyProtection="1">
      <alignment horizontal="center" vertical="center" wrapText="1"/>
      <protection locked="0"/>
    </xf>
    <xf numFmtId="0" fontId="56" fillId="37" borderId="109" xfId="4" applyFont="1" applyFill="1" applyBorder="1" applyAlignment="1" applyProtection="1">
      <alignment horizontal="center" vertical="center" wrapText="1"/>
      <protection locked="0"/>
    </xf>
    <xf numFmtId="0" fontId="56" fillId="37" borderId="110" xfId="4" applyFont="1" applyFill="1" applyBorder="1" applyAlignment="1" applyProtection="1">
      <alignment horizontal="center" vertical="center" wrapText="1"/>
      <protection locked="0"/>
    </xf>
    <xf numFmtId="0" fontId="56" fillId="37" borderId="99" xfId="4" applyFont="1" applyFill="1" applyBorder="1" applyAlignment="1" applyProtection="1">
      <alignment horizontal="center" vertical="center" wrapText="1"/>
      <protection locked="0"/>
    </xf>
    <xf numFmtId="0" fontId="57" fillId="6" borderId="173" xfId="9" applyFont="1" applyFill="1" applyBorder="1" applyAlignment="1" applyProtection="1">
      <alignment horizontal="center" vertical="center" wrapText="1"/>
    </xf>
    <xf numFmtId="0" fontId="8" fillId="6" borderId="173" xfId="9" applyFont="1" applyFill="1" applyBorder="1" applyAlignment="1" applyProtection="1">
      <alignment horizontal="center" vertical="center" wrapText="1"/>
    </xf>
    <xf numFmtId="9" fontId="59" fillId="6" borderId="173" xfId="9" applyNumberFormat="1" applyFont="1" applyFill="1" applyBorder="1" applyAlignment="1" applyProtection="1">
      <alignment horizontal="center" vertical="center" wrapText="1"/>
    </xf>
    <xf numFmtId="0" fontId="58" fillId="38" borderId="173" xfId="9" applyNumberFormat="1" applyFont="1" applyFill="1" applyBorder="1" applyAlignment="1" applyProtection="1">
      <alignment horizontal="center" vertical="center" wrapText="1"/>
    </xf>
    <xf numFmtId="0" fontId="57" fillId="38" borderId="173" xfId="9" applyNumberFormat="1" applyFont="1" applyFill="1" applyBorder="1" applyAlignment="1" applyProtection="1">
      <alignment horizontal="center" vertical="center" wrapText="1"/>
    </xf>
    <xf numFmtId="10" fontId="7" fillId="0" borderId="173" xfId="4" applyNumberFormat="1" applyFont="1" applyFill="1" applyBorder="1" applyAlignment="1" applyProtection="1">
      <alignment horizontal="center" vertical="center" wrapText="1"/>
      <protection locked="0"/>
    </xf>
    <xf numFmtId="0" fontId="58" fillId="6" borderId="173" xfId="9" applyNumberFormat="1" applyFont="1" applyFill="1" applyBorder="1" applyAlignment="1" applyProtection="1">
      <alignment horizontal="center" vertical="center" wrapText="1"/>
    </xf>
    <xf numFmtId="0" fontId="57" fillId="6" borderId="173" xfId="9" applyNumberFormat="1" applyFont="1" applyFill="1" applyBorder="1" applyAlignment="1" applyProtection="1">
      <alignment horizontal="center" vertical="center" wrapText="1"/>
    </xf>
    <xf numFmtId="9" fontId="7" fillId="0" borderId="173" xfId="4" applyNumberFormat="1" applyFont="1" applyFill="1" applyBorder="1" applyAlignment="1" applyProtection="1">
      <alignment horizontal="center" vertical="center" wrapText="1"/>
      <protection locked="0"/>
    </xf>
    <xf numFmtId="9" fontId="57" fillId="38" borderId="173" xfId="82" applyFont="1" applyFill="1" applyBorder="1" applyAlignment="1" applyProtection="1">
      <alignment horizontal="center" vertical="center" wrapText="1"/>
    </xf>
    <xf numFmtId="1" fontId="57" fillId="6" borderId="173" xfId="9" applyNumberFormat="1" applyFont="1" applyFill="1" applyBorder="1" applyAlignment="1" applyProtection="1">
      <alignment horizontal="center" vertical="center" wrapText="1"/>
    </xf>
    <xf numFmtId="1" fontId="60" fillId="38" borderId="173" xfId="9" applyNumberFormat="1" applyFont="1" applyFill="1" applyBorder="1" applyAlignment="1" applyProtection="1">
      <alignment horizontal="center" vertical="center" wrapText="1"/>
    </xf>
    <xf numFmtId="9" fontId="60" fillId="38" borderId="173" xfId="82" applyFont="1" applyFill="1" applyBorder="1" applyAlignment="1" applyProtection="1">
      <alignment horizontal="center" vertical="center" wrapText="1"/>
    </xf>
    <xf numFmtId="170" fontId="57" fillId="6" borderId="173" xfId="3" applyNumberFormat="1" applyFont="1" applyFill="1" applyBorder="1" applyAlignment="1" applyProtection="1">
      <alignment horizontal="center" vertical="center" wrapText="1"/>
    </xf>
    <xf numFmtId="170" fontId="57" fillId="6" borderId="173" xfId="9" applyNumberFormat="1" applyFont="1" applyFill="1" applyBorder="1" applyAlignment="1" applyProtection="1">
      <alignment horizontal="center" vertical="center" wrapText="1"/>
    </xf>
    <xf numFmtId="10" fontId="57" fillId="6" borderId="173" xfId="9" applyNumberFormat="1" applyFont="1" applyFill="1" applyBorder="1" applyAlignment="1" applyProtection="1">
      <alignment horizontal="center" vertical="center" wrapText="1"/>
    </xf>
    <xf numFmtId="10" fontId="57" fillId="6" borderId="178" xfId="9" applyNumberFormat="1" applyFont="1" applyFill="1" applyBorder="1" applyAlignment="1" applyProtection="1">
      <alignment horizontal="center" vertical="center" wrapText="1"/>
    </xf>
    <xf numFmtId="0" fontId="57" fillId="17" borderId="173" xfId="4" applyFont="1" applyFill="1" applyBorder="1" applyAlignment="1" applyProtection="1">
      <alignment horizontal="center" vertical="center" wrapText="1"/>
      <protection locked="0"/>
    </xf>
    <xf numFmtId="9" fontId="8" fillId="17" borderId="173" xfId="4" applyNumberFormat="1" applyFont="1" applyFill="1" applyBorder="1" applyAlignment="1">
      <alignment horizontal="center" vertical="center" wrapText="1"/>
    </xf>
    <xf numFmtId="0" fontId="57" fillId="0" borderId="173" xfId="4" applyFont="1" applyBorder="1" applyAlignment="1" applyProtection="1">
      <alignment horizontal="center" vertical="center" wrapText="1"/>
      <protection locked="0"/>
    </xf>
    <xf numFmtId="0" fontId="8" fillId="0" borderId="173" xfId="4" applyFont="1" applyBorder="1" applyAlignment="1">
      <alignment horizontal="center" vertical="center" wrapText="1"/>
    </xf>
    <xf numFmtId="0" fontId="57" fillId="0" borderId="173" xfId="4" applyNumberFormat="1" applyFont="1" applyFill="1" applyBorder="1" applyAlignment="1" applyProtection="1">
      <alignment horizontal="center" vertical="center" wrapText="1"/>
      <protection locked="0"/>
    </xf>
    <xf numFmtId="9" fontId="8" fillId="0" borderId="173" xfId="4" applyNumberFormat="1" applyFont="1" applyFill="1" applyBorder="1" applyAlignment="1">
      <alignment horizontal="center" vertical="center" wrapText="1"/>
    </xf>
    <xf numFmtId="9" fontId="57" fillId="6" borderId="173" xfId="9" applyNumberFormat="1" applyFont="1" applyFill="1" applyBorder="1" applyAlignment="1" applyProtection="1">
      <alignment horizontal="center" vertical="center" wrapText="1"/>
    </xf>
    <xf numFmtId="10" fontId="57" fillId="6" borderId="179" xfId="9" applyNumberFormat="1" applyFont="1" applyFill="1" applyBorder="1" applyAlignment="1" applyProtection="1">
      <alignment horizontal="center" vertical="center" wrapText="1"/>
    </xf>
    <xf numFmtId="9" fontId="57" fillId="0" borderId="173" xfId="4" applyNumberFormat="1" applyFont="1" applyFill="1" applyBorder="1" applyAlignment="1" applyProtection="1">
      <alignment horizontal="center" vertical="center" wrapText="1"/>
      <protection locked="0"/>
    </xf>
    <xf numFmtId="10" fontId="57" fillId="6" borderId="180" xfId="9" applyNumberFormat="1" applyFont="1" applyFill="1" applyBorder="1" applyAlignment="1" applyProtection="1">
      <alignment horizontal="center" vertical="center" wrapText="1"/>
    </xf>
    <xf numFmtId="0" fontId="31" fillId="15" borderId="173" xfId="9" applyFont="1" applyFill="1" applyBorder="1" applyAlignment="1" applyProtection="1">
      <alignment horizontal="center" vertical="center" wrapText="1"/>
    </xf>
    <xf numFmtId="0" fontId="57" fillId="0" borderId="173" xfId="9" applyFont="1" applyBorder="1" applyAlignment="1">
      <alignment horizontal="center" vertical="center" wrapText="1"/>
    </xf>
    <xf numFmtId="9" fontId="62" fillId="6" borderId="173" xfId="82" applyNumberFormat="1" applyFont="1" applyFill="1" applyBorder="1" applyAlignment="1" applyProtection="1">
      <alignment horizontal="center" vertical="center" wrapText="1"/>
    </xf>
    <xf numFmtId="0" fontId="58" fillId="38" borderId="173" xfId="9" applyFont="1" applyFill="1" applyBorder="1" applyAlignment="1" applyProtection="1">
      <alignment horizontal="center" vertical="center" wrapText="1"/>
    </xf>
    <xf numFmtId="10" fontId="7" fillId="39" borderId="173" xfId="4" applyNumberFormat="1" applyFont="1" applyFill="1" applyBorder="1" applyAlignment="1" applyProtection="1">
      <alignment horizontal="center" vertical="center" wrapText="1"/>
      <protection locked="0"/>
    </xf>
    <xf numFmtId="0" fontId="58" fillId="6" borderId="173" xfId="9" applyFont="1" applyFill="1" applyBorder="1" applyAlignment="1" applyProtection="1">
      <alignment horizontal="center" vertical="center" wrapText="1"/>
    </xf>
    <xf numFmtId="0" fontId="8" fillId="6" borderId="178" xfId="9" applyFont="1" applyFill="1" applyBorder="1" applyAlignment="1" applyProtection="1">
      <alignment horizontal="center" vertical="center" wrapText="1"/>
    </xf>
    <xf numFmtId="0" fontId="57" fillId="6" borderId="178" xfId="9" applyFont="1" applyFill="1" applyBorder="1" applyAlignment="1" applyProtection="1">
      <alignment horizontal="center" vertical="center" wrapText="1"/>
    </xf>
    <xf numFmtId="0" fontId="8" fillId="17" borderId="173" xfId="4" applyFont="1" applyFill="1" applyBorder="1" applyAlignment="1">
      <alignment horizontal="center" vertical="center" wrapText="1"/>
    </xf>
    <xf numFmtId="9" fontId="8" fillId="0" borderId="173" xfId="4" applyNumberFormat="1" applyFont="1" applyBorder="1" applyAlignment="1">
      <alignment horizontal="center" vertical="center" wrapText="1"/>
    </xf>
    <xf numFmtId="9" fontId="58" fillId="38" borderId="173" xfId="9" applyNumberFormat="1" applyFont="1" applyFill="1" applyBorder="1" applyAlignment="1" applyProtection="1">
      <alignment horizontal="center" vertical="center" wrapText="1"/>
    </xf>
    <xf numFmtId="9" fontId="58" fillId="6" borderId="173" xfId="9" applyNumberFormat="1" applyFont="1" applyFill="1" applyBorder="1" applyAlignment="1" applyProtection="1">
      <alignment horizontal="center" vertical="center" wrapText="1"/>
    </xf>
    <xf numFmtId="9" fontId="57" fillId="6" borderId="173" xfId="82" applyFont="1" applyFill="1" applyBorder="1" applyAlignment="1" applyProtection="1">
      <alignment horizontal="center" vertical="center" wrapText="1"/>
    </xf>
    <xf numFmtId="9" fontId="64" fillId="38" borderId="173" xfId="82" applyFont="1" applyFill="1" applyBorder="1" applyAlignment="1" applyProtection="1">
      <alignment horizontal="center" vertical="center" wrapText="1"/>
    </xf>
    <xf numFmtId="0" fontId="57" fillId="6" borderId="173" xfId="9" applyFont="1" applyFill="1" applyBorder="1" applyAlignment="1">
      <alignment horizontal="center" vertical="center" wrapText="1"/>
    </xf>
    <xf numFmtId="10" fontId="8" fillId="6" borderId="173" xfId="9" applyNumberFormat="1" applyFont="1" applyFill="1" applyBorder="1" applyAlignment="1" applyProtection="1">
      <alignment horizontal="center" vertical="center" wrapText="1"/>
    </xf>
    <xf numFmtId="10" fontId="8" fillId="6" borderId="179" xfId="9" applyNumberFormat="1" applyFont="1" applyFill="1" applyBorder="1" applyAlignment="1" applyProtection="1">
      <alignment horizontal="center" vertical="center" wrapText="1"/>
    </xf>
    <xf numFmtId="9" fontId="57" fillId="17" borderId="173" xfId="4" applyNumberFormat="1" applyFont="1" applyFill="1" applyBorder="1" applyAlignment="1" applyProtection="1">
      <alignment horizontal="center" vertical="center" wrapText="1"/>
      <protection locked="0"/>
    </xf>
    <xf numFmtId="9" fontId="57" fillId="17" borderId="173" xfId="82" applyNumberFormat="1" applyFont="1" applyFill="1" applyBorder="1" applyAlignment="1" applyProtection="1">
      <alignment horizontal="center" vertical="center" wrapText="1"/>
      <protection locked="0"/>
    </xf>
    <xf numFmtId="9" fontId="57" fillId="0" borderId="173" xfId="4" applyNumberFormat="1" applyFont="1" applyBorder="1" applyAlignment="1" applyProtection="1">
      <alignment horizontal="center" vertical="center" wrapText="1"/>
      <protection locked="0"/>
    </xf>
    <xf numFmtId="9" fontId="65" fillId="0" borderId="128" xfId="82" applyFont="1" applyFill="1" applyBorder="1" applyAlignment="1" applyProtection="1">
      <alignment horizontal="center" vertical="center" wrapText="1"/>
      <protection locked="0"/>
    </xf>
    <xf numFmtId="9" fontId="7" fillId="0" borderId="128" xfId="4" applyNumberFormat="1" applyFont="1" applyBorder="1" applyAlignment="1">
      <alignment horizontal="left" vertical="center" wrapText="1"/>
    </xf>
    <xf numFmtId="9" fontId="7" fillId="0" borderId="128" xfId="4" applyNumberFormat="1" applyFont="1" applyBorder="1" applyAlignment="1">
      <alignment horizontal="center" vertical="center" wrapText="1"/>
    </xf>
    <xf numFmtId="9" fontId="60" fillId="38" borderId="173" xfId="82" applyNumberFormat="1" applyFont="1" applyFill="1" applyBorder="1" applyAlignment="1" applyProtection="1">
      <alignment horizontal="center" vertical="center" wrapText="1"/>
    </xf>
    <xf numFmtId="167" fontId="57" fillId="17" borderId="173" xfId="82" applyNumberFormat="1" applyFont="1" applyFill="1" applyBorder="1" applyAlignment="1" applyProtection="1">
      <alignment horizontal="center" vertical="center" wrapText="1"/>
      <protection locked="0"/>
    </xf>
    <xf numFmtId="10" fontId="57" fillId="0" borderId="173" xfId="4" applyNumberFormat="1" applyFont="1" applyBorder="1" applyAlignment="1" applyProtection="1">
      <alignment horizontal="center" vertical="center" wrapText="1"/>
      <protection locked="0"/>
    </xf>
    <xf numFmtId="9" fontId="57" fillId="17" borderId="173" xfId="82" applyFont="1" applyFill="1" applyBorder="1" applyAlignment="1" applyProtection="1">
      <alignment horizontal="center" vertical="center" wrapText="1"/>
      <protection locked="0"/>
    </xf>
    <xf numFmtId="9" fontId="57" fillId="0" borderId="181" xfId="4" applyNumberFormat="1" applyFont="1" applyBorder="1" applyAlignment="1" applyProtection="1">
      <alignment horizontal="center" vertical="center" wrapText="1"/>
      <protection locked="0"/>
    </xf>
    <xf numFmtId="10" fontId="65" fillId="0" borderId="171" xfId="82" applyNumberFormat="1" applyFont="1" applyFill="1" applyBorder="1" applyAlignment="1" applyProtection="1">
      <alignment horizontal="center" vertical="center" wrapText="1"/>
      <protection locked="0"/>
    </xf>
    <xf numFmtId="9" fontId="7" fillId="0" borderId="171" xfId="4" applyNumberFormat="1" applyFont="1" applyFill="1" applyBorder="1" applyAlignment="1">
      <alignment horizontal="left" vertical="center" wrapText="1"/>
    </xf>
    <xf numFmtId="9" fontId="7" fillId="0" borderId="171" xfId="4" applyNumberFormat="1" applyFont="1" applyFill="1" applyBorder="1" applyAlignment="1">
      <alignment horizontal="center" vertical="center" wrapText="1"/>
    </xf>
    <xf numFmtId="10" fontId="57" fillId="38" borderId="173" xfId="82" applyNumberFormat="1" applyFont="1" applyFill="1" applyBorder="1" applyAlignment="1" applyProtection="1">
      <alignment horizontal="center" vertical="center" wrapText="1"/>
    </xf>
    <xf numFmtId="10" fontId="57" fillId="6" borderId="173" xfId="82" applyNumberFormat="1" applyFont="1" applyFill="1" applyBorder="1" applyAlignment="1" applyProtection="1">
      <alignment horizontal="center" vertical="center" wrapText="1"/>
    </xf>
    <xf numFmtId="0" fontId="8" fillId="0" borderId="173" xfId="4" applyFont="1" applyFill="1" applyBorder="1" applyAlignment="1">
      <alignment horizontal="center" vertical="center" wrapText="1"/>
    </xf>
    <xf numFmtId="10" fontId="57" fillId="17" borderId="173" xfId="82" applyNumberFormat="1" applyFont="1" applyFill="1" applyBorder="1" applyAlignment="1" applyProtection="1">
      <alignment horizontal="center" vertical="center" wrapText="1"/>
      <protection locked="0"/>
    </xf>
    <xf numFmtId="9" fontId="65" fillId="0" borderId="171" xfId="82" applyFont="1" applyFill="1" applyBorder="1" applyAlignment="1" applyProtection="1">
      <alignment horizontal="center" vertical="center" wrapText="1"/>
      <protection locked="0"/>
    </xf>
    <xf numFmtId="0" fontId="57" fillId="0" borderId="173" xfId="9" applyFont="1" applyFill="1" applyBorder="1" applyAlignment="1" applyProtection="1">
      <alignment horizontal="center" vertical="center" wrapText="1"/>
    </xf>
    <xf numFmtId="10" fontId="0" fillId="0" borderId="171" xfId="82" applyNumberFormat="1" applyFont="1" applyFill="1" applyBorder="1" applyAlignment="1" applyProtection="1">
      <alignment horizontal="center" vertical="center" wrapText="1"/>
      <protection locked="0"/>
    </xf>
    <xf numFmtId="9" fontId="7" fillId="0" borderId="171" xfId="4" applyNumberFormat="1" applyFont="1" applyBorder="1" applyAlignment="1">
      <alignment horizontal="center" vertical="center" wrapText="1"/>
    </xf>
    <xf numFmtId="9" fontId="0" fillId="0" borderId="171" xfId="82" applyNumberFormat="1" applyFont="1" applyFill="1" applyBorder="1" applyAlignment="1" applyProtection="1">
      <alignment horizontal="center" vertical="center" wrapText="1"/>
      <protection locked="0"/>
    </xf>
    <xf numFmtId="9" fontId="8" fillId="6" borderId="173" xfId="4" applyNumberFormat="1" applyFont="1" applyFill="1" applyBorder="1" applyAlignment="1" applyProtection="1">
      <alignment horizontal="center" vertical="center" wrapText="1"/>
    </xf>
    <xf numFmtId="0" fontId="7" fillId="17" borderId="173" xfId="4" applyFont="1" applyFill="1" applyBorder="1" applyAlignment="1">
      <alignment horizontal="center" vertical="center" wrapText="1"/>
    </xf>
    <xf numFmtId="0" fontId="7" fillId="0" borderId="173" xfId="4" applyFont="1" applyFill="1" applyBorder="1" applyAlignment="1">
      <alignment horizontal="center" vertical="center" wrapText="1"/>
    </xf>
    <xf numFmtId="9" fontId="8" fillId="40" borderId="173" xfId="4" applyNumberFormat="1" applyFont="1" applyFill="1" applyBorder="1" applyAlignment="1">
      <alignment horizontal="center" vertical="center" wrapText="1"/>
    </xf>
    <xf numFmtId="9" fontId="8" fillId="0" borderId="182" xfId="82" applyNumberFormat="1" applyFont="1" applyFill="1" applyBorder="1" applyAlignment="1" applyProtection="1">
      <alignment horizontal="center" vertical="center" wrapText="1"/>
      <protection locked="0"/>
    </xf>
    <xf numFmtId="9" fontId="8" fillId="0" borderId="182" xfId="4" applyNumberFormat="1" applyFont="1" applyFill="1" applyBorder="1" applyAlignment="1">
      <alignment horizontal="center" vertical="center" wrapText="1"/>
    </xf>
    <xf numFmtId="0" fontId="7" fillId="0" borderId="182" xfId="4" applyFont="1" applyFill="1" applyBorder="1" applyAlignment="1">
      <alignment horizontal="center" vertical="center" wrapText="1"/>
    </xf>
    <xf numFmtId="0" fontId="65" fillId="6" borderId="173" xfId="9" applyFont="1" applyFill="1" applyBorder="1" applyAlignment="1" applyProtection="1">
      <alignment horizontal="center" vertical="center" wrapText="1"/>
    </xf>
    <xf numFmtId="9" fontId="8" fillId="0" borderId="173" xfId="82" applyNumberFormat="1" applyFont="1" applyFill="1" applyBorder="1" applyAlignment="1" applyProtection="1">
      <alignment horizontal="center" vertical="center" wrapText="1"/>
      <protection locked="0"/>
    </xf>
    <xf numFmtId="49" fontId="57" fillId="0" borderId="173" xfId="9" applyNumberFormat="1" applyFont="1" applyFill="1" applyBorder="1" applyAlignment="1" applyProtection="1">
      <alignment horizontal="center" vertical="center" wrapText="1"/>
    </xf>
    <xf numFmtId="0" fontId="57" fillId="0" borderId="173" xfId="4" applyFont="1" applyFill="1" applyBorder="1" applyAlignment="1" applyProtection="1">
      <alignment horizontal="center" vertical="center" wrapText="1"/>
    </xf>
    <xf numFmtId="9" fontId="62" fillId="0" borderId="173" xfId="82" applyNumberFormat="1" applyFont="1" applyFill="1" applyBorder="1" applyAlignment="1" applyProtection="1">
      <alignment horizontal="center" vertical="center" wrapText="1"/>
    </xf>
    <xf numFmtId="9" fontId="8" fillId="0" borderId="173" xfId="4" applyNumberFormat="1" applyFont="1" applyFill="1" applyBorder="1" applyAlignment="1" applyProtection="1">
      <alignment horizontal="center" vertical="center" wrapText="1"/>
    </xf>
    <xf numFmtId="10" fontId="57" fillId="0" borderId="173" xfId="4" applyNumberFormat="1" applyFont="1" applyFill="1" applyBorder="1" applyAlignment="1" applyProtection="1">
      <alignment horizontal="center" vertical="center" wrapText="1"/>
    </xf>
    <xf numFmtId="10" fontId="8" fillId="0" borderId="173" xfId="4" applyNumberFormat="1" applyFont="1" applyFill="1" applyBorder="1" applyAlignment="1" applyProtection="1">
      <alignment horizontal="center" vertical="center" wrapText="1"/>
    </xf>
    <xf numFmtId="10" fontId="57" fillId="0" borderId="180" xfId="4" applyNumberFormat="1" applyFont="1" applyFill="1" applyBorder="1" applyAlignment="1" applyProtection="1">
      <alignment horizontal="center" vertical="center" wrapText="1"/>
    </xf>
    <xf numFmtId="9" fontId="65" fillId="0" borderId="119" xfId="4" applyNumberFormat="1" applyFont="1" applyBorder="1" applyAlignment="1" applyProtection="1">
      <alignment horizontal="center" vertical="center" wrapText="1"/>
      <protection locked="0"/>
    </xf>
    <xf numFmtId="9" fontId="7" fillId="0" borderId="119" xfId="4" applyNumberFormat="1" applyFont="1" applyFill="1" applyBorder="1" applyAlignment="1">
      <alignment horizontal="center" vertical="center" wrapText="1"/>
    </xf>
    <xf numFmtId="0" fontId="57" fillId="37" borderId="173" xfId="9" applyFont="1" applyFill="1" applyBorder="1" applyAlignment="1" applyProtection="1">
      <alignment horizontal="center" vertical="center" wrapText="1"/>
    </xf>
    <xf numFmtId="10" fontId="62" fillId="6" borderId="173" xfId="82" applyNumberFormat="1" applyFont="1" applyFill="1" applyBorder="1" applyAlignment="1" applyProtection="1">
      <alignment horizontal="center" vertical="center" wrapText="1"/>
    </xf>
    <xf numFmtId="9" fontId="57" fillId="38" borderId="173" xfId="9" applyNumberFormat="1" applyFont="1" applyFill="1" applyBorder="1" applyAlignment="1" applyProtection="1">
      <alignment horizontal="center" vertical="center" wrapText="1"/>
    </xf>
    <xf numFmtId="9" fontId="60" fillId="38" borderId="173" xfId="9" applyNumberFormat="1" applyFont="1" applyFill="1" applyBorder="1" applyAlignment="1" applyProtection="1">
      <alignment horizontal="center" vertical="center" wrapText="1"/>
    </xf>
    <xf numFmtId="9" fontId="64" fillId="38" borderId="173" xfId="9" applyNumberFormat="1" applyFont="1" applyFill="1" applyBorder="1" applyAlignment="1" applyProtection="1">
      <alignment horizontal="center" vertical="center" wrapText="1"/>
    </xf>
    <xf numFmtId="0" fontId="8" fillId="6" borderId="175" xfId="9" applyFont="1" applyFill="1" applyBorder="1" applyAlignment="1" applyProtection="1">
      <alignment horizontal="center" vertical="center" wrapText="1"/>
    </xf>
    <xf numFmtId="0" fontId="64" fillId="6" borderId="175" xfId="9" applyFont="1" applyFill="1" applyBorder="1" applyAlignment="1" applyProtection="1">
      <alignment horizontal="center" vertical="center" wrapText="1"/>
    </xf>
    <xf numFmtId="9" fontId="57" fillId="17" borderId="139" xfId="4" applyNumberFormat="1" applyFont="1" applyFill="1" applyBorder="1" applyAlignment="1" applyProtection="1">
      <alignment horizontal="center" vertical="center" wrapText="1"/>
      <protection locked="0"/>
    </xf>
    <xf numFmtId="0" fontId="57" fillId="0" borderId="139" xfId="4" applyFont="1" applyFill="1" applyBorder="1" applyAlignment="1" applyProtection="1">
      <alignment horizontal="center" vertical="center" wrapText="1"/>
      <protection locked="0"/>
    </xf>
    <xf numFmtId="9" fontId="60" fillId="19" borderId="173" xfId="82" applyFont="1" applyFill="1" applyBorder="1" applyAlignment="1" applyProtection="1">
      <alignment horizontal="center" vertical="center" wrapText="1"/>
    </xf>
    <xf numFmtId="10" fontId="8" fillId="0" borderId="173" xfId="9" applyNumberFormat="1" applyFont="1" applyFill="1" applyBorder="1" applyAlignment="1" applyProtection="1">
      <alignment horizontal="center" vertical="center" wrapText="1"/>
    </xf>
    <xf numFmtId="10" fontId="57" fillId="0" borderId="173" xfId="9" applyNumberFormat="1" applyFont="1" applyFill="1" applyBorder="1" applyAlignment="1" applyProtection="1">
      <alignment horizontal="center" vertical="center" wrapText="1"/>
    </xf>
    <xf numFmtId="0" fontId="64" fillId="6" borderId="183" xfId="9" applyFont="1" applyFill="1" applyBorder="1" applyAlignment="1" applyProtection="1">
      <alignment horizontal="center" vertical="center" wrapText="1"/>
    </xf>
    <xf numFmtId="9" fontId="7" fillId="17" borderId="173" xfId="4" applyNumberFormat="1" applyFont="1" applyFill="1" applyBorder="1" applyAlignment="1">
      <alignment horizontal="center" vertical="center" wrapText="1"/>
    </xf>
    <xf numFmtId="9" fontId="7" fillId="0" borderId="173" xfId="4" applyNumberFormat="1" applyFont="1" applyFill="1" applyBorder="1" applyAlignment="1">
      <alignment horizontal="center" vertical="center" wrapText="1"/>
    </xf>
    <xf numFmtId="9" fontId="57" fillId="17" borderId="119" xfId="82" applyFont="1" applyFill="1" applyBorder="1" applyAlignment="1" applyProtection="1">
      <alignment horizontal="center" vertical="center" wrapText="1"/>
      <protection locked="0"/>
    </xf>
    <xf numFmtId="9" fontId="8" fillId="17" borderId="139" xfId="4" applyNumberFormat="1" applyFont="1" applyFill="1" applyBorder="1" applyAlignment="1">
      <alignment horizontal="center" vertical="center" wrapText="1"/>
    </xf>
    <xf numFmtId="9" fontId="8" fillId="17" borderId="119" xfId="4" applyNumberFormat="1" applyFont="1" applyFill="1" applyBorder="1" applyAlignment="1">
      <alignment horizontal="center" vertical="center" wrapText="1"/>
    </xf>
    <xf numFmtId="9" fontId="57" fillId="0" borderId="173" xfId="82" applyFont="1" applyFill="1" applyBorder="1" applyAlignment="1" applyProtection="1">
      <alignment horizontal="center" vertical="center" wrapText="1"/>
      <protection locked="0"/>
    </xf>
    <xf numFmtId="9" fontId="8" fillId="0" borderId="173" xfId="4" applyNumberFormat="1" applyFont="1" applyFill="1" applyBorder="1" applyAlignment="1">
      <alignment horizontal="left" vertical="top" wrapText="1"/>
    </xf>
    <xf numFmtId="9" fontId="7" fillId="39" borderId="173" xfId="4" applyNumberFormat="1" applyFont="1" applyFill="1" applyBorder="1" applyAlignment="1" applyProtection="1">
      <alignment horizontal="center" vertical="center" wrapText="1"/>
      <protection locked="0"/>
    </xf>
    <xf numFmtId="9" fontId="8" fillId="23" borderId="119" xfId="4" applyNumberFormat="1" applyFont="1" applyFill="1" applyBorder="1" applyAlignment="1">
      <alignment horizontal="center" vertical="center" wrapText="1"/>
    </xf>
    <xf numFmtId="0" fontId="7" fillId="0" borderId="139" xfId="4" applyFont="1" applyFill="1" applyBorder="1" applyAlignment="1" applyProtection="1">
      <alignment horizontal="center" vertical="center" wrapText="1"/>
      <protection locked="0"/>
    </xf>
    <xf numFmtId="9" fontId="57" fillId="17" borderId="119" xfId="4" applyNumberFormat="1" applyFont="1" applyFill="1" applyBorder="1" applyAlignment="1" applyProtection="1">
      <alignment horizontal="center" vertical="center" wrapText="1"/>
      <protection locked="0"/>
    </xf>
    <xf numFmtId="0" fontId="67" fillId="17" borderId="119" xfId="4" applyFont="1" applyFill="1" applyBorder="1" applyAlignment="1" applyProtection="1">
      <alignment horizontal="center" vertical="center" wrapText="1"/>
      <protection locked="0"/>
    </xf>
    <xf numFmtId="9" fontId="8" fillId="0" borderId="119" xfId="4" applyNumberFormat="1" applyFont="1" applyFill="1" applyBorder="1" applyAlignment="1">
      <alignment horizontal="center" vertical="center" wrapText="1"/>
    </xf>
    <xf numFmtId="0" fontId="57" fillId="6" borderId="183" xfId="9" applyFont="1" applyFill="1" applyBorder="1" applyAlignment="1" applyProtection="1">
      <alignment horizontal="center" vertical="center" wrapText="1"/>
    </xf>
    <xf numFmtId="9" fontId="8" fillId="40" borderId="119" xfId="4" applyNumberFormat="1" applyFont="1" applyFill="1" applyBorder="1" applyAlignment="1">
      <alignment horizontal="center" vertical="center" wrapText="1"/>
    </xf>
    <xf numFmtId="9" fontId="7" fillId="17" borderId="119" xfId="4" applyNumberFormat="1" applyFont="1" applyFill="1" applyBorder="1" applyAlignment="1">
      <alignment horizontal="center" vertical="center" wrapText="1"/>
    </xf>
    <xf numFmtId="0" fontId="57" fillId="38" borderId="173" xfId="82" applyNumberFormat="1" applyFont="1" applyFill="1" applyBorder="1" applyAlignment="1" applyProtection="1">
      <alignment horizontal="center" vertical="center" wrapText="1"/>
    </xf>
    <xf numFmtId="0" fontId="57" fillId="6" borderId="173" xfId="82" applyNumberFormat="1" applyFont="1" applyFill="1" applyBorder="1" applyAlignment="1" applyProtection="1">
      <alignment horizontal="center" vertical="center" wrapText="1"/>
    </xf>
    <xf numFmtId="1" fontId="57" fillId="6" borderId="173" xfId="82" applyNumberFormat="1" applyFont="1" applyFill="1" applyBorder="1" applyAlignment="1" applyProtection="1">
      <alignment horizontal="center" vertical="center" wrapText="1"/>
    </xf>
    <xf numFmtId="0" fontId="60" fillId="38" borderId="173" xfId="82" applyNumberFormat="1" applyFont="1" applyFill="1" applyBorder="1" applyAlignment="1" applyProtection="1">
      <alignment horizontal="center" vertical="center" wrapText="1"/>
    </xf>
    <xf numFmtId="0" fontId="8" fillId="6" borderId="183" xfId="9" applyFont="1" applyFill="1" applyBorder="1" applyAlignment="1" applyProtection="1">
      <alignment horizontal="center" vertical="center" wrapText="1"/>
    </xf>
    <xf numFmtId="0" fontId="57" fillId="17" borderId="173" xfId="4" applyNumberFormat="1" applyFont="1" applyFill="1" applyBorder="1" applyAlignment="1" applyProtection="1">
      <alignment horizontal="center" vertical="center" wrapText="1"/>
      <protection locked="0"/>
    </xf>
    <xf numFmtId="0" fontId="57" fillId="0" borderId="173" xfId="4" applyNumberFormat="1" applyFont="1" applyBorder="1" applyAlignment="1" applyProtection="1">
      <alignment horizontal="center" vertical="center" wrapText="1"/>
      <protection locked="0"/>
    </xf>
    <xf numFmtId="0" fontId="57" fillId="17" borderId="119" xfId="82" applyNumberFormat="1" applyFont="1" applyFill="1" applyBorder="1" applyAlignment="1" applyProtection="1">
      <alignment horizontal="center" vertical="center" wrapText="1"/>
      <protection locked="0"/>
    </xf>
    <xf numFmtId="0" fontId="57" fillId="0" borderId="173" xfId="82" applyNumberFormat="1" applyFont="1" applyFill="1" applyBorder="1" applyAlignment="1" applyProtection="1">
      <alignment horizontal="center" vertical="center" wrapText="1"/>
      <protection locked="0"/>
    </xf>
    <xf numFmtId="49" fontId="8" fillId="0" borderId="173" xfId="4" applyNumberFormat="1" applyFont="1" applyBorder="1" applyAlignment="1">
      <alignment horizontal="center" vertical="center" wrapText="1"/>
    </xf>
    <xf numFmtId="0" fontId="8" fillId="17" borderId="173" xfId="4" applyNumberFormat="1" applyFont="1" applyFill="1" applyBorder="1" applyAlignment="1">
      <alignment horizontal="center" vertical="center" wrapText="1"/>
    </xf>
    <xf numFmtId="0" fontId="69" fillId="0" borderId="173" xfId="4" applyFont="1" applyFill="1" applyBorder="1" applyAlignment="1">
      <alignment horizontal="center" vertical="center" wrapText="1"/>
    </xf>
    <xf numFmtId="0" fontId="8" fillId="17" borderId="119" xfId="4" applyFont="1" applyFill="1" applyBorder="1" applyAlignment="1">
      <alignment horizontal="center" vertical="center" wrapText="1"/>
    </xf>
    <xf numFmtId="9" fontId="57" fillId="38" borderId="173" xfId="82" applyNumberFormat="1" applyFont="1" applyFill="1" applyBorder="1" applyAlignment="1" applyProtection="1">
      <alignment horizontal="center" vertical="center" wrapText="1"/>
    </xf>
    <xf numFmtId="175" fontId="57" fillId="0" borderId="119" xfId="4" applyNumberFormat="1" applyFont="1" applyBorder="1" applyAlignment="1" applyProtection="1">
      <alignment horizontal="center" vertical="center" wrapText="1"/>
      <protection locked="0"/>
    </xf>
    <xf numFmtId="9" fontId="8" fillId="0" borderId="120" xfId="4" applyNumberFormat="1" applyFont="1" applyBorder="1" applyAlignment="1">
      <alignment horizontal="center" vertical="center" wrapText="1"/>
    </xf>
    <xf numFmtId="0" fontId="8" fillId="0" borderId="119" xfId="4" applyFont="1" applyFill="1" applyBorder="1" applyAlignment="1">
      <alignment horizontal="center" vertical="center" wrapText="1"/>
    </xf>
    <xf numFmtId="9" fontId="7" fillId="0" borderId="0" xfId="4" applyNumberFormat="1" applyAlignment="1">
      <alignment horizontal="center" vertical="center"/>
    </xf>
    <xf numFmtId="9" fontId="0" fillId="0" borderId="173" xfId="82" applyFont="1" applyFill="1" applyBorder="1" applyAlignment="1" applyProtection="1">
      <alignment horizontal="center" vertical="center" wrapText="1"/>
      <protection locked="0"/>
    </xf>
    <xf numFmtId="49" fontId="8" fillId="0" borderId="173" xfId="4" applyNumberFormat="1" applyFont="1" applyFill="1" applyBorder="1" applyAlignment="1">
      <alignment horizontal="center" vertical="center" wrapText="1"/>
    </xf>
    <xf numFmtId="10" fontId="57" fillId="17" borderId="173" xfId="4" applyNumberFormat="1" applyFont="1" applyFill="1" applyBorder="1" applyAlignment="1" applyProtection="1">
      <alignment horizontal="center" vertical="center" wrapText="1"/>
      <protection locked="0"/>
    </xf>
    <xf numFmtId="2" fontId="8" fillId="0" borderId="173" xfId="4" applyNumberFormat="1" applyFont="1" applyBorder="1" applyAlignment="1">
      <alignment horizontal="center" vertical="center" wrapText="1"/>
    </xf>
    <xf numFmtId="0" fontId="64" fillId="38" borderId="173" xfId="82" applyNumberFormat="1" applyFont="1" applyFill="1" applyBorder="1" applyAlignment="1" applyProtection="1">
      <alignment horizontal="center" vertical="center" wrapText="1"/>
    </xf>
    <xf numFmtId="10" fontId="60" fillId="38" borderId="173" xfId="82" applyNumberFormat="1" applyFont="1" applyFill="1" applyBorder="1" applyAlignment="1" applyProtection="1">
      <alignment horizontal="center" vertical="center" wrapText="1"/>
    </xf>
    <xf numFmtId="0" fontId="57" fillId="17" borderId="119" xfId="4" applyFont="1" applyFill="1" applyBorder="1" applyAlignment="1" applyProtection="1">
      <alignment horizontal="center" vertical="center" wrapText="1"/>
      <protection locked="0"/>
    </xf>
    <xf numFmtId="9" fontId="8" fillId="0" borderId="119" xfId="4" applyNumberFormat="1" applyFont="1" applyBorder="1" applyAlignment="1">
      <alignment horizontal="center" vertical="center" wrapText="1"/>
    </xf>
    <xf numFmtId="10" fontId="57" fillId="0" borderId="173" xfId="82" applyNumberFormat="1" applyFont="1" applyFill="1" applyBorder="1" applyAlignment="1" applyProtection="1">
      <alignment horizontal="center" vertical="center" wrapText="1"/>
      <protection locked="0"/>
    </xf>
    <xf numFmtId="0" fontId="71" fillId="6" borderId="183" xfId="9" applyFont="1" applyFill="1" applyBorder="1" applyAlignment="1" applyProtection="1">
      <alignment horizontal="center" vertical="center" wrapText="1"/>
    </xf>
    <xf numFmtId="9" fontId="65" fillId="17" borderId="173" xfId="4" applyNumberFormat="1" applyFont="1" applyFill="1" applyBorder="1" applyAlignment="1">
      <alignment horizontal="center" vertical="center" wrapText="1"/>
    </xf>
    <xf numFmtId="0" fontId="7" fillId="37" borderId="173" xfId="4" applyFill="1" applyBorder="1"/>
    <xf numFmtId="0" fontId="58" fillId="38" borderId="173" xfId="82" applyNumberFormat="1" applyFont="1" applyFill="1" applyBorder="1" applyAlignment="1" applyProtection="1">
      <alignment horizontal="center" vertical="center" wrapText="1"/>
    </xf>
    <xf numFmtId="0" fontId="58" fillId="6" borderId="173" xfId="82" applyNumberFormat="1" applyFont="1" applyFill="1" applyBorder="1" applyAlignment="1" applyProtection="1">
      <alignment horizontal="center" vertical="center" wrapText="1"/>
    </xf>
    <xf numFmtId="1" fontId="60" fillId="38" borderId="173" xfId="82" applyNumberFormat="1" applyFont="1" applyFill="1" applyBorder="1" applyAlignment="1" applyProtection="1">
      <alignment horizontal="center" vertical="center" wrapText="1"/>
    </xf>
    <xf numFmtId="0" fontId="8" fillId="6" borderId="184" xfId="9" applyFont="1" applyFill="1" applyBorder="1" applyAlignment="1" applyProtection="1">
      <alignment horizontal="center" vertical="center" wrapText="1"/>
    </xf>
    <xf numFmtId="0" fontId="8" fillId="17" borderId="173" xfId="4" applyNumberFormat="1" applyFont="1" applyFill="1" applyBorder="1" applyAlignment="1" applyProtection="1">
      <alignment horizontal="center" vertical="center" wrapText="1"/>
      <protection locked="0"/>
    </xf>
    <xf numFmtId="9" fontId="35" fillId="17" borderId="173" xfId="4" applyNumberFormat="1" applyFont="1" applyFill="1" applyBorder="1" applyAlignment="1">
      <alignment horizontal="center" vertical="center" wrapText="1"/>
    </xf>
    <xf numFmtId="9" fontId="22" fillId="17" borderId="173" xfId="4" applyNumberFormat="1" applyFont="1" applyFill="1" applyBorder="1" applyAlignment="1">
      <alignment horizontal="center" vertical="center" wrapText="1"/>
    </xf>
    <xf numFmtId="0" fontId="57" fillId="17" borderId="139" xfId="4" applyFont="1" applyFill="1" applyBorder="1" applyAlignment="1" applyProtection="1">
      <alignment horizontal="center" vertical="center" wrapText="1"/>
      <protection locked="0"/>
    </xf>
    <xf numFmtId="9" fontId="22" fillId="17" borderId="139" xfId="4" applyNumberFormat="1" applyFont="1" applyFill="1" applyBorder="1" applyAlignment="1">
      <alignment horizontal="center" vertical="center" wrapText="1"/>
    </xf>
    <xf numFmtId="9" fontId="22" fillId="0" borderId="139" xfId="4" applyNumberFormat="1" applyFont="1" applyFill="1" applyBorder="1" applyAlignment="1">
      <alignment horizontal="center" vertical="center" wrapText="1"/>
    </xf>
    <xf numFmtId="0" fontId="8" fillId="6" borderId="179" xfId="9" applyFont="1" applyFill="1" applyBorder="1" applyAlignment="1" applyProtection="1">
      <alignment horizontal="center" vertical="center" wrapText="1"/>
    </xf>
    <xf numFmtId="9" fontId="22" fillId="17" borderId="119" xfId="4" applyNumberFormat="1" applyFont="1" applyFill="1" applyBorder="1" applyAlignment="1">
      <alignment horizontal="center" vertical="center" wrapText="1"/>
    </xf>
    <xf numFmtId="0" fontId="57" fillId="6" borderId="173" xfId="4" applyNumberFormat="1" applyFont="1" applyFill="1" applyBorder="1" applyAlignment="1" applyProtection="1">
      <alignment horizontal="center" vertical="center" wrapText="1"/>
      <protection locked="0"/>
    </xf>
    <xf numFmtId="0" fontId="57" fillId="6" borderId="173" xfId="4" applyFont="1" applyFill="1" applyBorder="1" applyAlignment="1" applyProtection="1">
      <alignment horizontal="center" vertical="center" wrapText="1"/>
      <protection locked="0"/>
    </xf>
    <xf numFmtId="9" fontId="8" fillId="6" borderId="173" xfId="4" applyNumberFormat="1" applyFont="1" applyFill="1" applyBorder="1" applyAlignment="1">
      <alignment horizontal="justify" vertical="center" wrapText="1"/>
    </xf>
    <xf numFmtId="9" fontId="22" fillId="0" borderId="119" xfId="4" applyNumberFormat="1" applyFont="1" applyFill="1" applyBorder="1" applyAlignment="1">
      <alignment horizontal="center" vertical="center" wrapText="1"/>
    </xf>
    <xf numFmtId="0" fontId="7" fillId="6" borderId="0" xfId="4" applyFill="1"/>
    <xf numFmtId="0" fontId="8" fillId="6" borderId="173" xfId="4" applyFont="1" applyFill="1" applyBorder="1" applyAlignment="1">
      <alignment horizontal="center" vertical="center" wrapText="1"/>
    </xf>
    <xf numFmtId="9" fontId="58" fillId="41" borderId="173" xfId="82" applyNumberFormat="1" applyFont="1" applyFill="1" applyBorder="1" applyAlignment="1" applyProtection="1">
      <alignment horizontal="center" vertical="center" wrapText="1"/>
    </xf>
    <xf numFmtId="9" fontId="57" fillId="41" borderId="173" xfId="9" applyNumberFormat="1" applyFont="1" applyFill="1" applyBorder="1" applyAlignment="1" applyProtection="1">
      <alignment horizontal="center" vertical="center" wrapText="1"/>
    </xf>
    <xf numFmtId="9" fontId="58" fillId="6" borderId="173" xfId="82" applyNumberFormat="1" applyFont="1" applyFill="1" applyBorder="1" applyAlignment="1" applyProtection="1">
      <alignment horizontal="center" vertical="center" wrapText="1"/>
    </xf>
    <xf numFmtId="1" fontId="8" fillId="6" borderId="173" xfId="9" applyNumberFormat="1" applyFont="1" applyFill="1" applyBorder="1" applyAlignment="1" applyProtection="1">
      <alignment horizontal="center" vertical="center" wrapText="1"/>
    </xf>
    <xf numFmtId="0" fontId="1" fillId="6" borderId="0" xfId="9" applyFill="1"/>
    <xf numFmtId="9" fontId="8" fillId="17" borderId="173" xfId="4" applyNumberFormat="1" applyFont="1" applyFill="1" applyBorder="1" applyAlignment="1" applyProtection="1">
      <alignment horizontal="center" vertical="center" wrapText="1"/>
      <protection locked="0"/>
    </xf>
    <xf numFmtId="9" fontId="57" fillId="6" borderId="173" xfId="4" applyNumberFormat="1" applyFont="1" applyFill="1" applyBorder="1" applyAlignment="1" applyProtection="1">
      <alignment horizontal="center" vertical="center" wrapText="1"/>
      <protection locked="0"/>
    </xf>
    <xf numFmtId="10" fontId="57" fillId="6" borderId="173" xfId="4" applyNumberFormat="1" applyFont="1" applyFill="1" applyBorder="1" applyAlignment="1" applyProtection="1">
      <alignment horizontal="center" vertical="center" wrapText="1"/>
      <protection locked="0"/>
    </xf>
    <xf numFmtId="0" fontId="7" fillId="17" borderId="173" xfId="4" applyFont="1" applyFill="1" applyBorder="1" applyAlignment="1" applyProtection="1">
      <alignment horizontal="center" vertical="center" wrapText="1"/>
      <protection locked="0"/>
    </xf>
    <xf numFmtId="9" fontId="22" fillId="6" borderId="173" xfId="4" applyNumberFormat="1" applyFont="1" applyFill="1" applyBorder="1" applyAlignment="1">
      <alignment horizontal="center" vertical="center" wrapText="1"/>
    </xf>
    <xf numFmtId="167" fontId="57" fillId="17" borderId="119" xfId="4" applyNumberFormat="1" applyFont="1" applyFill="1" applyBorder="1" applyAlignment="1" applyProtection="1">
      <alignment horizontal="center" vertical="center" wrapText="1"/>
      <protection locked="0"/>
    </xf>
    <xf numFmtId="0" fontId="7" fillId="0" borderId="119" xfId="4" applyFont="1" applyBorder="1" applyAlignment="1" applyProtection="1">
      <alignment horizontal="center" vertical="center" wrapText="1"/>
      <protection locked="0"/>
    </xf>
    <xf numFmtId="10" fontId="35" fillId="0" borderId="179" xfId="9" applyNumberFormat="1" applyFont="1" applyFill="1" applyBorder="1" applyAlignment="1" applyProtection="1">
      <alignment horizontal="center" vertical="center" wrapText="1"/>
    </xf>
    <xf numFmtId="9" fontId="8" fillId="6" borderId="173" xfId="4" applyNumberFormat="1" applyFont="1" applyFill="1" applyBorder="1" applyAlignment="1">
      <alignment horizontal="center" vertical="center" wrapText="1"/>
    </xf>
    <xf numFmtId="9" fontId="35" fillId="6" borderId="173" xfId="4" applyNumberFormat="1" applyFont="1" applyFill="1" applyBorder="1" applyAlignment="1">
      <alignment horizontal="center" vertical="center" wrapText="1"/>
    </xf>
    <xf numFmtId="0" fontId="7" fillId="42" borderId="0" xfId="4" applyFill="1"/>
    <xf numFmtId="10" fontId="62" fillId="0" borderId="173" xfId="82" applyNumberFormat="1" applyFont="1" applyFill="1" applyBorder="1" applyAlignment="1" applyProtection="1">
      <alignment horizontal="center" vertical="center" wrapText="1"/>
    </xf>
    <xf numFmtId="0" fontId="8" fillId="0" borderId="173" xfId="9" applyFont="1" applyFill="1" applyBorder="1" applyAlignment="1" applyProtection="1">
      <alignment horizontal="center" vertical="center" wrapText="1"/>
    </xf>
    <xf numFmtId="1" fontId="58" fillId="38" borderId="173" xfId="82" applyNumberFormat="1" applyFont="1" applyFill="1" applyBorder="1" applyAlignment="1" applyProtection="1">
      <alignment horizontal="center" vertical="center" wrapText="1"/>
    </xf>
    <xf numFmtId="1" fontId="58" fillId="0" borderId="173" xfId="82" applyNumberFormat="1" applyFont="1" applyFill="1" applyBorder="1" applyAlignment="1" applyProtection="1">
      <alignment horizontal="center" vertical="center" wrapText="1"/>
    </xf>
    <xf numFmtId="0" fontId="64" fillId="38" borderId="173" xfId="9" applyNumberFormat="1" applyFont="1" applyFill="1" applyBorder="1" applyAlignment="1" applyProtection="1">
      <alignment horizontal="center" vertical="center" wrapText="1"/>
    </xf>
    <xf numFmtId="10" fontId="8" fillId="0" borderId="179" xfId="9" applyNumberFormat="1" applyFont="1" applyFill="1" applyBorder="1" applyAlignment="1" applyProtection="1">
      <alignment horizontal="center" vertical="center" wrapText="1"/>
    </xf>
    <xf numFmtId="1" fontId="8" fillId="0" borderId="173" xfId="9" applyNumberFormat="1" applyFont="1" applyFill="1" applyBorder="1" applyAlignment="1" applyProtection="1">
      <alignment horizontal="center" vertical="center" wrapText="1"/>
    </xf>
    <xf numFmtId="0" fontId="8" fillId="0" borderId="173" xfId="9" applyFont="1" applyBorder="1" applyAlignment="1">
      <alignment horizontal="center" vertical="center" wrapText="1"/>
    </xf>
    <xf numFmtId="9" fontId="69" fillId="17" borderId="119" xfId="4" applyNumberFormat="1" applyFont="1" applyFill="1" applyBorder="1" applyAlignment="1">
      <alignment horizontal="center" vertical="center" wrapText="1"/>
    </xf>
    <xf numFmtId="2" fontId="8" fillId="0" borderId="173" xfId="4" applyNumberFormat="1" applyFont="1" applyFill="1" applyBorder="1" applyAlignment="1">
      <alignment horizontal="center" vertical="center" wrapText="1"/>
    </xf>
    <xf numFmtId="0" fontId="57" fillId="6" borderId="185" xfId="9" applyFont="1" applyFill="1" applyBorder="1" applyAlignment="1" applyProtection="1">
      <alignment horizontal="center" vertical="center" wrapText="1"/>
    </xf>
    <xf numFmtId="9" fontId="58" fillId="38" borderId="173" xfId="82" applyNumberFormat="1" applyFont="1" applyFill="1" applyBorder="1" applyAlignment="1" applyProtection="1">
      <alignment horizontal="center" vertical="center" wrapText="1"/>
    </xf>
    <xf numFmtId="1" fontId="57" fillId="6" borderId="186" xfId="9" applyNumberFormat="1" applyFont="1" applyFill="1" applyBorder="1" applyAlignment="1" applyProtection="1">
      <alignment horizontal="center" vertical="center" wrapText="1"/>
    </xf>
    <xf numFmtId="9" fontId="58" fillId="38" borderId="173" xfId="82" applyFont="1" applyFill="1" applyBorder="1" applyAlignment="1" applyProtection="1">
      <alignment horizontal="center" vertical="center" wrapText="1"/>
    </xf>
    <xf numFmtId="9" fontId="58" fillId="6" borderId="173" xfId="82" applyFont="1" applyFill="1" applyBorder="1" applyAlignment="1" applyProtection="1">
      <alignment horizontal="center" vertical="center" wrapText="1"/>
    </xf>
    <xf numFmtId="10" fontId="64" fillId="38" borderId="173" xfId="9" applyNumberFormat="1" applyFont="1" applyFill="1" applyBorder="1" applyAlignment="1" applyProtection="1">
      <alignment horizontal="center" vertical="center" wrapText="1"/>
    </xf>
    <xf numFmtId="0" fontId="8" fillId="6" borderId="173" xfId="9" applyFont="1" applyFill="1" applyBorder="1" applyAlignment="1" applyProtection="1">
      <alignment vertical="center" wrapText="1"/>
      <protection locked="0"/>
    </xf>
    <xf numFmtId="10" fontId="8" fillId="6" borderId="178" xfId="9" applyNumberFormat="1" applyFont="1" applyFill="1" applyBorder="1" applyAlignment="1" applyProtection="1">
      <alignment horizontal="center" vertical="center" wrapText="1"/>
    </xf>
    <xf numFmtId="9" fontId="57" fillId="0" borderId="173" xfId="4" applyNumberFormat="1" applyFont="1" applyFill="1" applyBorder="1" applyAlignment="1">
      <alignment horizontal="center" vertical="center" wrapText="1"/>
    </xf>
    <xf numFmtId="0" fontId="8" fillId="6" borderId="173" xfId="9" applyFont="1" applyFill="1" applyBorder="1" applyAlignment="1" applyProtection="1">
      <alignment horizontal="center" vertical="center" wrapText="1"/>
      <protection locked="0"/>
    </xf>
    <xf numFmtId="1" fontId="58" fillId="6" borderId="173" xfId="82" applyNumberFormat="1" applyFont="1" applyFill="1" applyBorder="1" applyAlignment="1" applyProtection="1">
      <alignment horizontal="center" vertical="center" wrapText="1"/>
    </xf>
    <xf numFmtId="3" fontId="58" fillId="38" borderId="173" xfId="9" applyNumberFormat="1" applyFont="1" applyFill="1" applyBorder="1" applyAlignment="1" applyProtection="1">
      <alignment horizontal="center" vertical="center" wrapText="1"/>
    </xf>
    <xf numFmtId="3" fontId="58" fillId="6" borderId="173" xfId="9" applyNumberFormat="1" applyFont="1" applyFill="1" applyBorder="1" applyAlignment="1" applyProtection="1">
      <alignment horizontal="center" vertical="center" wrapText="1"/>
    </xf>
    <xf numFmtId="0" fontId="57" fillId="0" borderId="173" xfId="4" applyFont="1" applyFill="1" applyBorder="1" applyAlignment="1" applyProtection="1">
      <alignment horizontal="center" vertical="center" wrapText="1"/>
      <protection locked="0"/>
    </xf>
    <xf numFmtId="49" fontId="57" fillId="0" borderId="173" xfId="4" applyNumberFormat="1" applyFont="1" applyFill="1" applyBorder="1" applyAlignment="1" applyProtection="1">
      <alignment horizontal="center" vertical="center" wrapText="1"/>
      <protection locked="0"/>
    </xf>
    <xf numFmtId="10" fontId="7" fillId="0" borderId="0" xfId="4" applyNumberFormat="1"/>
    <xf numFmtId="0" fontId="30" fillId="6" borderId="171" xfId="9" applyFont="1" applyFill="1" applyBorder="1" applyAlignment="1" applyProtection="1">
      <alignment horizontal="center" wrapText="1"/>
    </xf>
    <xf numFmtId="0" fontId="31" fillId="6" borderId="171" xfId="9" applyFont="1" applyFill="1" applyBorder="1" applyAlignment="1" applyProtection="1">
      <alignment horizontal="center"/>
    </xf>
    <xf numFmtId="0" fontId="31" fillId="6" borderId="176" xfId="9" applyFont="1" applyFill="1" applyBorder="1" applyAlignment="1" applyProtection="1">
      <alignment horizontal="center" wrapText="1"/>
    </xf>
    <xf numFmtId="0" fontId="31" fillId="14" borderId="192" xfId="9" applyFont="1" applyFill="1" applyBorder="1" applyAlignment="1" applyProtection="1">
      <alignment horizontal="center" vertical="center" wrapText="1"/>
    </xf>
    <xf numFmtId="0" fontId="31" fillId="14" borderId="189" xfId="9" applyFont="1" applyFill="1" applyBorder="1" applyAlignment="1" applyProtection="1">
      <alignment horizontal="center" vertical="center" wrapText="1"/>
    </xf>
    <xf numFmtId="0" fontId="56" fillId="14" borderId="108" xfId="4" applyFont="1" applyFill="1" applyBorder="1" applyAlignment="1" applyProtection="1">
      <alignment horizontal="center" vertical="center" wrapText="1"/>
      <protection locked="0"/>
    </xf>
    <xf numFmtId="0" fontId="56" fillId="14" borderId="109" xfId="4" applyFont="1" applyFill="1" applyBorder="1" applyAlignment="1" applyProtection="1">
      <alignment horizontal="center" vertical="center" wrapText="1"/>
      <protection locked="0"/>
    </xf>
    <xf numFmtId="0" fontId="56" fillId="14" borderId="110" xfId="4" applyFont="1" applyFill="1" applyBorder="1" applyAlignment="1" applyProtection="1">
      <alignment horizontal="center" vertical="center" wrapText="1"/>
      <protection locked="0"/>
    </xf>
    <xf numFmtId="0" fontId="56" fillId="14" borderId="99" xfId="4" applyFont="1" applyFill="1" applyBorder="1" applyAlignment="1" applyProtection="1">
      <alignment horizontal="center" vertical="center" wrapText="1"/>
      <protection locked="0"/>
    </xf>
    <xf numFmtId="0" fontId="65" fillId="6" borderId="173" xfId="9" applyFont="1" applyFill="1" applyBorder="1" applyAlignment="1" applyProtection="1">
      <alignment horizontal="center" vertical="center" wrapText="1"/>
    </xf>
    <xf numFmtId="0" fontId="65" fillId="6" borderId="194" xfId="9" applyFont="1" applyFill="1" applyBorder="1" applyAlignment="1" applyProtection="1">
      <alignment horizontal="center" vertical="center" wrapText="1"/>
    </xf>
    <xf numFmtId="0" fontId="0" fillId="6" borderId="195" xfId="9" applyFont="1" applyFill="1" applyBorder="1" applyAlignment="1" applyProtection="1">
      <alignment horizontal="center" vertical="center" wrapText="1"/>
    </xf>
    <xf numFmtId="9" fontId="59" fillId="6" borderId="196" xfId="93" applyNumberFormat="1" applyFont="1" applyFill="1" applyBorder="1" applyAlignment="1" applyProtection="1">
      <alignment horizontal="center" vertical="center" wrapText="1"/>
    </xf>
    <xf numFmtId="0" fontId="0" fillId="6" borderId="197" xfId="9" applyFont="1" applyFill="1" applyBorder="1" applyAlignment="1" applyProtection="1">
      <alignment horizontal="center" vertical="center" wrapText="1"/>
    </xf>
    <xf numFmtId="0" fontId="0" fillId="6" borderId="198" xfId="9" applyFont="1" applyFill="1" applyBorder="1" applyAlignment="1" applyProtection="1">
      <alignment horizontal="center" vertical="center" wrapText="1"/>
    </xf>
    <xf numFmtId="0" fontId="70" fillId="16" borderId="198" xfId="9" applyNumberFormat="1" applyFont="1" applyFill="1" applyBorder="1" applyAlignment="1" applyProtection="1">
      <alignment horizontal="center" vertical="center" wrapText="1"/>
    </xf>
    <xf numFmtId="0" fontId="0" fillId="16" borderId="198" xfId="9" applyNumberFormat="1" applyFont="1" applyFill="1" applyBorder="1" applyAlignment="1" applyProtection="1">
      <alignment horizontal="center" vertical="center" wrapText="1"/>
    </xf>
    <xf numFmtId="9" fontId="65" fillId="16" borderId="198" xfId="82" applyFont="1" applyFill="1" applyBorder="1" applyAlignment="1" applyProtection="1">
      <alignment horizontal="center" vertical="center" wrapText="1"/>
    </xf>
    <xf numFmtId="0" fontId="70" fillId="6" borderId="198" xfId="9" applyNumberFormat="1" applyFont="1" applyFill="1" applyBorder="1" applyAlignment="1" applyProtection="1">
      <alignment horizontal="center" vertical="center" wrapText="1"/>
    </xf>
    <xf numFmtId="0" fontId="0" fillId="6" borderId="198" xfId="9" applyNumberFormat="1" applyFont="1" applyFill="1" applyBorder="1" applyAlignment="1" applyProtection="1">
      <alignment horizontal="center" vertical="center" wrapText="1"/>
    </xf>
    <xf numFmtId="9" fontId="65" fillId="6" borderId="198" xfId="82" applyFont="1" applyFill="1" applyBorder="1" applyAlignment="1" applyProtection="1">
      <alignment horizontal="center" vertical="center" wrapText="1"/>
    </xf>
    <xf numFmtId="1" fontId="28" fillId="16" borderId="199" xfId="9" applyNumberFormat="1" applyFont="1" applyFill="1" applyBorder="1" applyAlignment="1" applyProtection="1">
      <alignment horizontal="center" vertical="center" wrapText="1"/>
    </xf>
    <xf numFmtId="1" fontId="28" fillId="16" borderId="171" xfId="9" applyNumberFormat="1" applyFont="1" applyFill="1" applyBorder="1" applyAlignment="1" applyProtection="1">
      <alignment horizontal="center" vertical="center" wrapText="1"/>
    </xf>
    <xf numFmtId="9" fontId="28" fillId="16" borderId="171" xfId="82" applyFont="1" applyFill="1" applyBorder="1" applyAlignment="1" applyProtection="1">
      <alignment horizontal="center" vertical="center" wrapText="1"/>
    </xf>
    <xf numFmtId="176" fontId="65" fillId="6" borderId="198" xfId="9" applyNumberFormat="1" applyFont="1" applyFill="1" applyBorder="1" applyAlignment="1" applyProtection="1">
      <alignment horizontal="center" vertical="center" wrapText="1"/>
    </xf>
    <xf numFmtId="10" fontId="65" fillId="6" borderId="198" xfId="9" applyNumberFormat="1" applyFont="1" applyFill="1" applyBorder="1" applyAlignment="1" applyProtection="1">
      <alignment horizontal="center" vertical="center" wrapText="1"/>
    </xf>
    <xf numFmtId="10" fontId="65" fillId="6" borderId="178" xfId="9" applyNumberFormat="1" applyFont="1" applyFill="1" applyBorder="1" applyAlignment="1" applyProtection="1">
      <alignment horizontal="center" vertical="center" wrapText="1"/>
    </xf>
    <xf numFmtId="10" fontId="57" fillId="6" borderId="196" xfId="93" applyNumberFormat="1" applyFont="1" applyFill="1" applyBorder="1" applyAlignment="1" applyProtection="1">
      <alignment horizontal="center" vertical="center" wrapText="1"/>
    </xf>
    <xf numFmtId="0" fontId="7" fillId="21" borderId="119" xfId="4" applyFont="1" applyFill="1" applyBorder="1" applyAlignment="1" applyProtection="1">
      <alignment horizontal="center" vertical="center" wrapText="1"/>
      <protection locked="0"/>
    </xf>
    <xf numFmtId="9" fontId="7" fillId="21" borderId="119" xfId="4" applyNumberFormat="1" applyFont="1" applyFill="1" applyBorder="1" applyAlignment="1">
      <alignment horizontal="center" vertical="center" wrapText="1"/>
    </xf>
    <xf numFmtId="0" fontId="7" fillId="0" borderId="119" xfId="4" applyFont="1" applyBorder="1" applyAlignment="1">
      <alignment horizontal="center" vertical="center" wrapText="1"/>
    </xf>
    <xf numFmtId="0" fontId="7" fillId="0" borderId="120" xfId="4" applyFont="1" applyBorder="1" applyAlignment="1">
      <alignment horizontal="center" vertical="center" wrapText="1"/>
    </xf>
    <xf numFmtId="0" fontId="7" fillId="21" borderId="173" xfId="4" applyFont="1" applyFill="1" applyBorder="1" applyAlignment="1" applyProtection="1">
      <alignment horizontal="center" vertical="center" wrapText="1"/>
      <protection locked="0"/>
    </xf>
    <xf numFmtId="9" fontId="7" fillId="21" borderId="173" xfId="4" applyNumberFormat="1" applyFont="1" applyFill="1" applyBorder="1" applyAlignment="1">
      <alignment horizontal="center" vertical="center" wrapText="1"/>
    </xf>
    <xf numFmtId="0" fontId="65" fillId="6" borderId="200" xfId="9" applyFont="1" applyFill="1" applyBorder="1" applyAlignment="1" applyProtection="1">
      <alignment horizontal="center" vertical="center" wrapText="1"/>
    </xf>
    <xf numFmtId="0" fontId="0" fillId="6" borderId="185" xfId="9" applyFont="1" applyFill="1" applyBorder="1" applyAlignment="1" applyProtection="1">
      <alignment horizontal="center" vertical="center" wrapText="1"/>
    </xf>
    <xf numFmtId="0" fontId="0" fillId="6" borderId="186" xfId="9" applyFont="1" applyFill="1" applyBorder="1" applyAlignment="1" applyProtection="1">
      <alignment horizontal="center" vertical="center" wrapText="1"/>
    </xf>
    <xf numFmtId="0" fontId="0" fillId="6" borderId="171" xfId="9" applyFont="1" applyFill="1" applyBorder="1" applyAlignment="1" applyProtection="1">
      <alignment horizontal="center" vertical="center" wrapText="1"/>
    </xf>
    <xf numFmtId="0" fontId="70" fillId="16" borderId="171" xfId="9" applyNumberFormat="1" applyFont="1" applyFill="1" applyBorder="1" applyAlignment="1" applyProtection="1">
      <alignment horizontal="center" vertical="center" wrapText="1"/>
    </xf>
    <xf numFmtId="0" fontId="70" fillId="6" borderId="171" xfId="9" applyNumberFormat="1" applyFont="1" applyFill="1" applyBorder="1" applyAlignment="1" applyProtection="1">
      <alignment horizontal="center" vertical="center" wrapText="1"/>
    </xf>
    <xf numFmtId="176" fontId="65" fillId="6" borderId="171" xfId="9" applyNumberFormat="1" applyFont="1" applyFill="1" applyBorder="1" applyAlignment="1" applyProtection="1">
      <alignment horizontal="center" vertical="center" wrapText="1"/>
    </xf>
    <xf numFmtId="10" fontId="65" fillId="6" borderId="179" xfId="9" applyNumberFormat="1" applyFont="1" applyFill="1" applyBorder="1" applyAlignment="1" applyProtection="1">
      <alignment horizontal="center" vertical="center" wrapText="1"/>
    </xf>
    <xf numFmtId="0" fontId="65" fillId="6" borderId="201" xfId="9" applyFont="1" applyFill="1" applyBorder="1" applyAlignment="1" applyProtection="1">
      <alignment horizontal="center" vertical="center" wrapText="1"/>
    </xf>
    <xf numFmtId="0" fontId="0" fillId="6" borderId="202" xfId="9" applyFont="1" applyFill="1" applyBorder="1" applyAlignment="1" applyProtection="1">
      <alignment horizontal="center" vertical="center" wrapText="1"/>
    </xf>
    <xf numFmtId="0" fontId="0" fillId="6" borderId="203" xfId="9" applyFont="1" applyFill="1" applyBorder="1" applyAlignment="1" applyProtection="1">
      <alignment horizontal="center" vertical="center" wrapText="1"/>
    </xf>
    <xf numFmtId="0" fontId="0" fillId="6" borderId="176" xfId="9" applyFont="1" applyFill="1" applyBorder="1" applyAlignment="1" applyProtection="1">
      <alignment horizontal="center" vertical="center" wrapText="1"/>
    </xf>
    <xf numFmtId="0" fontId="70" fillId="16" borderId="176" xfId="9" applyNumberFormat="1" applyFont="1" applyFill="1" applyBorder="1" applyAlignment="1" applyProtection="1">
      <alignment horizontal="center" vertical="center" wrapText="1"/>
    </xf>
    <xf numFmtId="0" fontId="70" fillId="6" borderId="176" xfId="9" applyNumberFormat="1" applyFont="1" applyFill="1" applyBorder="1" applyAlignment="1" applyProtection="1">
      <alignment horizontal="center" vertical="center" wrapText="1"/>
    </xf>
    <xf numFmtId="10" fontId="65" fillId="6" borderId="203" xfId="9" applyNumberFormat="1" applyFont="1" applyFill="1" applyBorder="1" applyAlignment="1" applyProtection="1">
      <alignment horizontal="center" vertical="center" wrapText="1"/>
    </xf>
    <xf numFmtId="10" fontId="65" fillId="6" borderId="176" xfId="9" applyNumberFormat="1" applyFont="1" applyFill="1" applyBorder="1" applyAlignment="1" applyProtection="1">
      <alignment horizontal="center" vertical="center" wrapText="1"/>
    </xf>
    <xf numFmtId="10" fontId="65" fillId="6" borderId="180" xfId="9" applyNumberFormat="1" applyFont="1" applyFill="1" applyBorder="1" applyAlignment="1" applyProtection="1">
      <alignment horizontal="center" vertical="center" wrapText="1"/>
    </xf>
    <xf numFmtId="9" fontId="7" fillId="21" borderId="128" xfId="4" applyNumberFormat="1" applyFont="1" applyFill="1" applyBorder="1" applyAlignment="1">
      <alignment horizontal="left" vertical="center" wrapText="1"/>
    </xf>
    <xf numFmtId="9" fontId="7" fillId="21" borderId="128" xfId="4" applyNumberFormat="1" applyFont="1" applyFill="1" applyBorder="1" applyAlignment="1">
      <alignment horizontal="center" vertical="center" wrapText="1"/>
    </xf>
    <xf numFmtId="0" fontId="7" fillId="6" borderId="128" xfId="4" applyFont="1" applyFill="1" applyBorder="1" applyAlignment="1">
      <alignment horizontal="center" vertical="center" wrapText="1"/>
    </xf>
    <xf numFmtId="0" fontId="7" fillId="0" borderId="129" xfId="4" applyFont="1" applyBorder="1" applyAlignment="1">
      <alignment horizontal="center" vertical="center" wrapText="1"/>
    </xf>
    <xf numFmtId="9" fontId="35" fillId="21" borderId="182" xfId="4" applyNumberFormat="1" applyFont="1" applyFill="1" applyBorder="1" applyAlignment="1">
      <alignment horizontal="left" vertical="center" wrapText="1"/>
    </xf>
    <xf numFmtId="9" fontId="7" fillId="21" borderId="204" xfId="4" applyNumberFormat="1" applyFont="1" applyFill="1" applyBorder="1" applyAlignment="1">
      <alignment horizontal="center" vertical="center" wrapText="1"/>
    </xf>
    <xf numFmtId="0" fontId="31" fillId="15" borderId="206" xfId="9" applyFont="1" applyFill="1" applyBorder="1" applyAlignment="1" applyProtection="1">
      <alignment horizontal="center" vertical="center" wrapText="1"/>
    </xf>
    <xf numFmtId="0" fontId="57" fillId="0" borderId="185" xfId="9" applyFont="1" applyFill="1" applyBorder="1" applyAlignment="1" applyProtection="1">
      <alignment horizontal="center" vertical="center" wrapText="1"/>
    </xf>
    <xf numFmtId="9" fontId="62" fillId="6" borderId="196" xfId="82" applyFont="1" applyFill="1" applyBorder="1" applyAlignment="1" applyProtection="1">
      <alignment horizontal="center" vertical="center" wrapText="1"/>
    </xf>
    <xf numFmtId="9" fontId="70" fillId="16" borderId="198" xfId="9" applyNumberFormat="1" applyFont="1" applyFill="1" applyBorder="1" applyAlignment="1" applyProtection="1">
      <alignment horizontal="center" vertical="center" wrapText="1"/>
    </xf>
    <xf numFmtId="10" fontId="0" fillId="16" borderId="198" xfId="9" applyNumberFormat="1" applyFont="1" applyFill="1" applyBorder="1" applyAlignment="1" applyProtection="1">
      <alignment horizontal="center" vertical="center" wrapText="1"/>
    </xf>
    <xf numFmtId="9" fontId="70" fillId="6" borderId="198" xfId="9" applyNumberFormat="1" applyFont="1" applyFill="1" applyBorder="1" applyAlignment="1" applyProtection="1">
      <alignment horizontal="center" vertical="center" wrapText="1"/>
    </xf>
    <xf numFmtId="10" fontId="0" fillId="6" borderId="198" xfId="9" applyNumberFormat="1" applyFont="1" applyFill="1" applyBorder="1" applyAlignment="1" applyProtection="1">
      <alignment horizontal="center" vertical="center" wrapText="1"/>
    </xf>
    <xf numFmtId="9" fontId="28" fillId="16" borderId="199" xfId="9" applyNumberFormat="1" applyFont="1" applyFill="1" applyBorder="1" applyAlignment="1" applyProtection="1">
      <alignment horizontal="center" vertical="center" wrapText="1"/>
    </xf>
    <xf numFmtId="0" fontId="65" fillId="0" borderId="119" xfId="9" applyFont="1" applyBorder="1" applyAlignment="1">
      <alignment horizontal="center" vertical="center" wrapText="1"/>
    </xf>
    <xf numFmtId="0" fontId="65" fillId="6" borderId="198" xfId="9" applyFont="1" applyFill="1" applyBorder="1" applyAlignment="1" applyProtection="1">
      <alignment horizontal="center" vertical="center" wrapText="1"/>
    </xf>
    <xf numFmtId="0" fontId="0" fillId="6" borderId="178" xfId="9" applyFont="1" applyFill="1" applyBorder="1" applyAlignment="1" applyProtection="1">
      <alignment horizontal="center" vertical="center" wrapText="1"/>
    </xf>
    <xf numFmtId="0" fontId="65" fillId="6" borderId="178" xfId="9" applyFont="1" applyFill="1" applyBorder="1" applyAlignment="1" applyProtection="1">
      <alignment horizontal="center" vertical="center" wrapText="1"/>
    </xf>
    <xf numFmtId="10" fontId="7" fillId="21" borderId="119" xfId="4" applyNumberFormat="1" applyFont="1" applyFill="1" applyBorder="1" applyAlignment="1" applyProtection="1">
      <alignment horizontal="center" vertical="center" wrapText="1"/>
      <protection locked="0"/>
    </xf>
    <xf numFmtId="9" fontId="7" fillId="21" borderId="119" xfId="4" applyNumberFormat="1" applyFont="1" applyFill="1" applyBorder="1" applyAlignment="1" applyProtection="1">
      <alignment horizontal="center" vertical="center" wrapText="1"/>
      <protection locked="0"/>
    </xf>
    <xf numFmtId="0" fontId="7" fillId="21" borderId="139" xfId="4" applyFont="1" applyFill="1" applyBorder="1" applyAlignment="1">
      <alignment horizontal="center" vertical="center" wrapText="1"/>
    </xf>
    <xf numFmtId="10" fontId="7" fillId="0" borderId="119" xfId="4" applyNumberFormat="1" applyFont="1" applyBorder="1" applyAlignment="1" applyProtection="1">
      <alignment horizontal="center" vertical="center" wrapText="1"/>
      <protection locked="0"/>
    </xf>
    <xf numFmtId="9" fontId="7" fillId="6" borderId="139" xfId="4" applyNumberFormat="1" applyFont="1" applyFill="1" applyBorder="1" applyAlignment="1">
      <alignment horizontal="center" vertical="center" wrapText="1"/>
    </xf>
    <xf numFmtId="0" fontId="7" fillId="6" borderId="139" xfId="4" applyFont="1" applyFill="1" applyBorder="1" applyAlignment="1">
      <alignment horizontal="center" vertical="center" wrapText="1"/>
    </xf>
    <xf numFmtId="10" fontId="7" fillId="21" borderId="173" xfId="4" applyNumberFormat="1" applyFont="1" applyFill="1" applyBorder="1" applyAlignment="1" applyProtection="1">
      <alignment horizontal="center" vertical="center" wrapText="1"/>
      <protection locked="0"/>
    </xf>
    <xf numFmtId="9" fontId="7" fillId="21" borderId="182" xfId="4" applyNumberFormat="1" applyFont="1" applyFill="1" applyBorder="1" applyAlignment="1">
      <alignment horizontal="center" vertical="center" wrapText="1"/>
    </xf>
    <xf numFmtId="0" fontId="65" fillId="6" borderId="185" xfId="9" applyFont="1" applyFill="1" applyBorder="1" applyAlignment="1" applyProtection="1">
      <alignment horizontal="center" vertical="center" wrapText="1"/>
    </xf>
    <xf numFmtId="9" fontId="70" fillId="16" borderId="171" xfId="9" applyNumberFormat="1" applyFont="1" applyFill="1" applyBorder="1" applyAlignment="1" applyProtection="1">
      <alignment horizontal="center" vertical="center" wrapText="1"/>
    </xf>
    <xf numFmtId="9" fontId="0" fillId="16" borderId="198" xfId="82" applyFont="1" applyFill="1" applyBorder="1" applyAlignment="1" applyProtection="1">
      <alignment horizontal="center" vertical="center" wrapText="1"/>
    </xf>
    <xf numFmtId="9" fontId="75" fillId="6" borderId="171" xfId="9" applyNumberFormat="1" applyFont="1" applyFill="1" applyBorder="1" applyAlignment="1" applyProtection="1">
      <alignment horizontal="center" vertical="center" wrapText="1"/>
    </xf>
    <xf numFmtId="9" fontId="0" fillId="6" borderId="198" xfId="82" applyFont="1" applyFill="1" applyBorder="1" applyAlignment="1" applyProtection="1">
      <alignment horizontal="center" vertical="center" wrapText="1"/>
    </xf>
    <xf numFmtId="9" fontId="70" fillId="6" borderId="171" xfId="9" applyNumberFormat="1" applyFont="1" applyFill="1" applyBorder="1" applyAlignment="1" applyProtection="1">
      <alignment horizontal="center" vertical="center" wrapText="1"/>
    </xf>
    <xf numFmtId="9" fontId="28" fillId="16" borderId="199" xfId="82" applyFont="1" applyFill="1" applyBorder="1" applyAlignment="1" applyProtection="1">
      <alignment horizontal="center" vertical="center" wrapText="1"/>
    </xf>
    <xf numFmtId="9" fontId="28" fillId="16" borderId="171" xfId="82" applyNumberFormat="1" applyFont="1" applyFill="1" applyBorder="1" applyAlignment="1" applyProtection="1">
      <alignment horizontal="center" vertical="center" wrapText="1"/>
    </xf>
    <xf numFmtId="9" fontId="76" fillId="16" borderId="198" xfId="82" applyFont="1" applyFill="1" applyBorder="1" applyAlignment="1" applyProtection="1">
      <alignment horizontal="center" vertical="center" wrapText="1"/>
    </xf>
    <xf numFmtId="0" fontId="65" fillId="6" borderId="186" xfId="9" applyFont="1" applyFill="1" applyBorder="1" applyAlignment="1" applyProtection="1">
      <alignment horizontal="center" vertical="center" wrapText="1"/>
    </xf>
    <xf numFmtId="0" fontId="77" fillId="6" borderId="171" xfId="9" applyFont="1" applyFill="1" applyBorder="1" applyAlignment="1" applyProtection="1">
      <alignment horizontal="center" vertical="center" wrapText="1"/>
    </xf>
    <xf numFmtId="0" fontId="65" fillId="6" borderId="171" xfId="9" applyFont="1" applyFill="1" applyBorder="1" applyAlignment="1" applyProtection="1">
      <alignment horizontal="center" vertical="center" wrapText="1"/>
    </xf>
    <xf numFmtId="10" fontId="0" fillId="6" borderId="179" xfId="9" applyNumberFormat="1" applyFont="1" applyFill="1" applyBorder="1" applyAlignment="1" applyProtection="1">
      <alignment horizontal="center" vertical="center" wrapText="1"/>
    </xf>
    <xf numFmtId="3" fontId="57" fillId="6" borderId="196" xfId="93" applyNumberFormat="1" applyFont="1" applyFill="1" applyBorder="1" applyAlignment="1" applyProtection="1">
      <alignment horizontal="center" vertical="center" wrapText="1"/>
    </xf>
    <xf numFmtId="0" fontId="7" fillId="21" borderId="119" xfId="4" applyFont="1" applyFill="1" applyBorder="1" applyAlignment="1">
      <alignment horizontal="left" vertical="center" wrapText="1"/>
    </xf>
    <xf numFmtId="0" fontId="7" fillId="21" borderId="119" xfId="4" applyFont="1" applyFill="1" applyBorder="1" applyAlignment="1">
      <alignment horizontal="center" vertical="center" wrapText="1"/>
    </xf>
    <xf numFmtId="9" fontId="7" fillId="0" borderId="119" xfId="4" applyNumberFormat="1" applyFont="1" applyBorder="1" applyAlignment="1" applyProtection="1">
      <alignment horizontal="center" vertical="center" wrapText="1"/>
      <protection locked="0"/>
    </xf>
    <xf numFmtId="0" fontId="7" fillId="6" borderId="119" xfId="4" applyFont="1" applyFill="1" applyBorder="1" applyAlignment="1">
      <alignment horizontal="left" vertical="center" wrapText="1"/>
    </xf>
    <xf numFmtId="9" fontId="7" fillId="21" borderId="173" xfId="4" applyNumberFormat="1" applyFont="1" applyFill="1" applyBorder="1" applyAlignment="1" applyProtection="1">
      <alignment horizontal="center" vertical="center" wrapText="1"/>
      <protection locked="0"/>
    </xf>
    <xf numFmtId="0" fontId="7" fillId="21" borderId="173" xfId="4" applyFont="1" applyFill="1" applyBorder="1" applyAlignment="1">
      <alignment horizontal="left" vertical="center" wrapText="1"/>
    </xf>
    <xf numFmtId="0" fontId="7" fillId="21" borderId="129" xfId="4" applyFont="1" applyFill="1" applyBorder="1" applyAlignment="1">
      <alignment horizontal="center" vertical="center" wrapText="1"/>
    </xf>
    <xf numFmtId="9" fontId="7" fillId="0" borderId="120" xfId="4" applyNumberFormat="1" applyFont="1" applyBorder="1" applyAlignment="1">
      <alignment horizontal="center" vertical="center" wrapText="1"/>
    </xf>
    <xf numFmtId="9" fontId="7" fillId="21" borderId="173" xfId="4" applyNumberFormat="1" applyFont="1" applyFill="1" applyBorder="1" applyAlignment="1">
      <alignment horizontal="left" vertical="center" wrapText="1"/>
    </xf>
    <xf numFmtId="9" fontId="7" fillId="21" borderId="120" xfId="4" applyNumberFormat="1" applyFont="1" applyFill="1" applyBorder="1" applyAlignment="1">
      <alignment horizontal="center" vertical="center" wrapText="1"/>
    </xf>
    <xf numFmtId="0" fontId="65" fillId="6" borderId="202" xfId="9" applyFont="1" applyFill="1" applyBorder="1" applyAlignment="1" applyProtection="1">
      <alignment horizontal="center" vertical="center" wrapText="1"/>
    </xf>
    <xf numFmtId="0" fontId="77" fillId="6" borderId="186" xfId="9" applyFont="1" applyFill="1" applyBorder="1" applyAlignment="1" applyProtection="1">
      <alignment horizontal="center" vertical="center" wrapText="1"/>
    </xf>
    <xf numFmtId="9" fontId="7" fillId="0" borderId="119" xfId="4" applyNumberFormat="1" applyFont="1" applyBorder="1" applyAlignment="1">
      <alignment horizontal="center" vertical="center" wrapText="1"/>
    </xf>
    <xf numFmtId="0" fontId="65" fillId="21" borderId="119" xfId="4" applyFont="1" applyFill="1" applyBorder="1" applyAlignment="1">
      <alignment horizontal="left" vertical="center" wrapText="1"/>
    </xf>
    <xf numFmtId="9" fontId="65" fillId="0" borderId="119" xfId="4" applyNumberFormat="1" applyFont="1" applyBorder="1" applyAlignment="1">
      <alignment horizontal="center" vertical="center" wrapText="1"/>
    </xf>
    <xf numFmtId="9" fontId="57" fillId="21" borderId="173" xfId="4" applyNumberFormat="1" applyFont="1" applyFill="1" applyBorder="1" applyAlignment="1">
      <alignment horizontal="center" vertical="center" wrapText="1"/>
    </xf>
    <xf numFmtId="9" fontId="7" fillId="6" borderId="203" xfId="4" applyNumberFormat="1" applyFont="1" applyFill="1" applyBorder="1" applyAlignment="1" applyProtection="1">
      <alignment horizontal="center" vertical="center" wrapText="1"/>
    </xf>
    <xf numFmtId="9" fontId="7" fillId="6" borderId="176" xfId="4" applyNumberFormat="1" applyFont="1" applyFill="1" applyBorder="1" applyAlignment="1" applyProtection="1">
      <alignment horizontal="center" vertical="center" wrapText="1"/>
    </xf>
    <xf numFmtId="9" fontId="65" fillId="21" borderId="173" xfId="4" applyNumberFormat="1" applyFont="1" applyFill="1" applyBorder="1" applyAlignment="1">
      <alignment horizontal="center" vertical="center" wrapText="1"/>
    </xf>
    <xf numFmtId="0" fontId="31" fillId="15" borderId="210" xfId="9" applyFont="1" applyFill="1" applyBorder="1" applyAlignment="1" applyProtection="1">
      <alignment horizontal="center" vertical="center" wrapText="1"/>
    </xf>
    <xf numFmtId="0" fontId="65" fillId="14" borderId="207" xfId="9" applyFont="1" applyFill="1" applyBorder="1" applyAlignment="1" applyProtection="1">
      <alignment horizontal="center" vertical="center" wrapText="1"/>
    </xf>
    <xf numFmtId="0" fontId="7" fillId="0" borderId="194" xfId="4" applyFont="1" applyBorder="1" applyAlignment="1">
      <alignment horizontal="center" vertical="center" wrapText="1"/>
    </xf>
    <xf numFmtId="10" fontId="62" fillId="6" borderId="196" xfId="82" applyNumberFormat="1" applyFont="1" applyFill="1" applyBorder="1" applyAlignment="1" applyProtection="1">
      <alignment horizontal="center" vertical="center" wrapText="1"/>
    </xf>
    <xf numFmtId="9" fontId="0" fillId="16" borderId="198" xfId="9" applyNumberFormat="1" applyFont="1" applyFill="1" applyBorder="1" applyAlignment="1" applyProtection="1">
      <alignment horizontal="center" vertical="center" wrapText="1"/>
    </xf>
    <xf numFmtId="9" fontId="0" fillId="6" borderId="198" xfId="9" applyNumberFormat="1" applyFont="1" applyFill="1" applyBorder="1" applyAlignment="1" applyProtection="1">
      <alignment horizontal="center" vertical="center" wrapText="1"/>
    </xf>
    <xf numFmtId="9" fontId="28" fillId="16" borderId="198" xfId="9" applyNumberFormat="1" applyFont="1" applyFill="1" applyBorder="1" applyAlignment="1" applyProtection="1">
      <alignment horizontal="center" vertical="center" wrapText="1"/>
    </xf>
    <xf numFmtId="0" fontId="65" fillId="6" borderId="212" xfId="9" applyFont="1" applyFill="1" applyBorder="1" applyAlignment="1" applyProtection="1">
      <alignment horizontal="center" vertical="center" wrapText="1"/>
    </xf>
    <xf numFmtId="0" fontId="0" fillId="6" borderId="175" xfId="9" applyFont="1" applyFill="1" applyBorder="1" applyAlignment="1" applyProtection="1">
      <alignment horizontal="center" vertical="center" wrapText="1"/>
    </xf>
    <xf numFmtId="0" fontId="57" fillId="0" borderId="213" xfId="93" applyFont="1" applyFill="1" applyBorder="1" applyAlignment="1" applyProtection="1">
      <alignment horizontal="center" vertical="center" wrapText="1"/>
    </xf>
    <xf numFmtId="0" fontId="79" fillId="6" borderId="175" xfId="9" applyFont="1" applyFill="1" applyBorder="1" applyAlignment="1" applyProtection="1">
      <alignment horizontal="center" vertical="center" wrapText="1"/>
    </xf>
    <xf numFmtId="9" fontId="7" fillId="21" borderId="139" xfId="4" applyNumberFormat="1" applyFont="1" applyFill="1" applyBorder="1" applyAlignment="1">
      <alignment horizontal="left" vertical="center" wrapText="1"/>
    </xf>
    <xf numFmtId="9" fontId="7" fillId="21" borderId="139" xfId="4" applyNumberFormat="1" applyFont="1" applyFill="1" applyBorder="1" applyAlignment="1">
      <alignment horizontal="center" vertical="center" wrapText="1"/>
    </xf>
    <xf numFmtId="9" fontId="7" fillId="0" borderId="139" xfId="4" applyNumberFormat="1" applyFont="1" applyFill="1" applyBorder="1" applyAlignment="1">
      <alignment horizontal="left" vertical="center" wrapText="1"/>
    </xf>
    <xf numFmtId="9" fontId="7" fillId="0" borderId="140" xfId="4" applyNumberFormat="1" applyFont="1" applyBorder="1" applyAlignment="1">
      <alignment horizontal="center" vertical="center" wrapText="1"/>
    </xf>
    <xf numFmtId="9" fontId="7" fillId="21" borderId="182" xfId="4" applyNumberFormat="1" applyFont="1" applyFill="1" applyBorder="1" applyAlignment="1">
      <alignment horizontal="left" vertical="center" wrapText="1"/>
    </xf>
    <xf numFmtId="9" fontId="28" fillId="16" borderId="198" xfId="82" applyFont="1" applyFill="1" applyBorder="1" applyAlignment="1" applyProtection="1">
      <alignment horizontal="center" vertical="center" wrapText="1"/>
    </xf>
    <xf numFmtId="10" fontId="0" fillId="0" borderId="173" xfId="9" applyNumberFormat="1" applyFont="1" applyFill="1" applyBorder="1" applyAlignment="1" applyProtection="1">
      <alignment horizontal="center" vertical="center" wrapText="1"/>
    </xf>
    <xf numFmtId="10" fontId="65" fillId="0" borderId="171" xfId="9" applyNumberFormat="1" applyFont="1" applyFill="1" applyBorder="1" applyAlignment="1" applyProtection="1">
      <alignment horizontal="center" vertical="center" wrapText="1"/>
    </xf>
    <xf numFmtId="0" fontId="0" fillId="6" borderId="183" xfId="9" applyFont="1" applyFill="1" applyBorder="1" applyAlignment="1" applyProtection="1">
      <alignment horizontal="center" vertical="center" wrapText="1"/>
    </xf>
    <xf numFmtId="0" fontId="65" fillId="6" borderId="175" xfId="9" applyFont="1" applyFill="1" applyBorder="1" applyAlignment="1" applyProtection="1">
      <alignment horizontal="center" vertical="center" wrapText="1"/>
    </xf>
    <xf numFmtId="0" fontId="79" fillId="6" borderId="183" xfId="9" applyFont="1" applyFill="1" applyBorder="1" applyAlignment="1" applyProtection="1">
      <alignment horizontal="center" vertical="center" wrapText="1"/>
    </xf>
    <xf numFmtId="0" fontId="7" fillId="21" borderId="173" xfId="4" applyFont="1" applyFill="1" applyBorder="1" applyAlignment="1">
      <alignment horizontal="center" vertical="center" wrapText="1"/>
    </xf>
    <xf numFmtId="0" fontId="7" fillId="21" borderId="214" xfId="4" applyFont="1" applyFill="1" applyBorder="1" applyAlignment="1">
      <alignment horizontal="center" vertical="center" wrapText="1"/>
    </xf>
    <xf numFmtId="0" fontId="65" fillId="6" borderId="215" xfId="9" applyFont="1" applyFill="1" applyBorder="1" applyAlignment="1" applyProtection="1">
      <alignment horizontal="center" vertical="center" wrapText="1"/>
    </xf>
    <xf numFmtId="0" fontId="7" fillId="0" borderId="0" xfId="4" applyFont="1" applyBorder="1" applyAlignment="1">
      <alignment horizontal="center" vertical="center" wrapText="1"/>
    </xf>
    <xf numFmtId="0" fontId="7" fillId="21" borderId="0" xfId="4" applyFont="1" applyFill="1" applyBorder="1" applyAlignment="1">
      <alignment horizontal="center" vertical="center" wrapText="1"/>
    </xf>
    <xf numFmtId="0" fontId="65" fillId="6" borderId="183" xfId="9" applyFont="1" applyFill="1" applyBorder="1" applyAlignment="1" applyProtection="1">
      <alignment horizontal="center" vertical="center" wrapText="1"/>
    </xf>
    <xf numFmtId="9" fontId="7" fillId="21" borderId="214" xfId="4" applyNumberFormat="1" applyFont="1" applyFill="1" applyBorder="1" applyAlignment="1">
      <alignment horizontal="center" vertical="center" wrapText="1"/>
    </xf>
    <xf numFmtId="0" fontId="0" fillId="16" borderId="198" xfId="82" applyNumberFormat="1" applyFont="1" applyFill="1" applyBorder="1" applyAlignment="1" applyProtection="1">
      <alignment horizontal="center" vertical="center" wrapText="1"/>
    </xf>
    <xf numFmtId="0" fontId="0" fillId="6" borderId="198" xfId="82" applyNumberFormat="1" applyFont="1" applyFill="1" applyBorder="1" applyAlignment="1" applyProtection="1">
      <alignment horizontal="center" vertical="center" wrapText="1"/>
    </xf>
    <xf numFmtId="0" fontId="28" fillId="16" borderId="199" xfId="82" applyNumberFormat="1" applyFont="1" applyFill="1" applyBorder="1" applyAlignment="1" applyProtection="1">
      <alignment horizontal="center" vertical="center" wrapText="1"/>
    </xf>
    <xf numFmtId="0" fontId="28" fillId="16" borderId="198" xfId="82" applyNumberFormat="1" applyFont="1" applyFill="1" applyBorder="1" applyAlignment="1" applyProtection="1">
      <alignment horizontal="center" vertical="center" wrapText="1"/>
    </xf>
    <xf numFmtId="10" fontId="0" fillId="0" borderId="186" xfId="9" applyNumberFormat="1" applyFont="1" applyFill="1" applyBorder="1" applyAlignment="1" applyProtection="1">
      <alignment horizontal="center" vertical="center" wrapText="1"/>
    </xf>
    <xf numFmtId="10" fontId="0" fillId="0" borderId="171" xfId="9" applyNumberFormat="1" applyFont="1" applyFill="1" applyBorder="1" applyAlignment="1" applyProtection="1">
      <alignment horizontal="center" vertical="center" wrapText="1"/>
    </xf>
    <xf numFmtId="0" fontId="7" fillId="21" borderId="119" xfId="4" applyNumberFormat="1" applyFont="1" applyFill="1" applyBorder="1" applyAlignment="1" applyProtection="1">
      <alignment horizontal="center" vertical="center" wrapText="1"/>
      <protection locked="0"/>
    </xf>
    <xf numFmtId="0" fontId="7" fillId="0" borderId="119" xfId="4" applyNumberFormat="1" applyFont="1" applyBorder="1" applyAlignment="1" applyProtection="1">
      <alignment horizontal="center" vertical="center" wrapText="1"/>
      <protection locked="0"/>
    </xf>
    <xf numFmtId="9" fontId="65" fillId="6" borderId="119" xfId="4" applyNumberFormat="1" applyFont="1" applyFill="1" applyBorder="1" applyAlignment="1">
      <alignment horizontal="center" vertical="center" wrapText="1"/>
    </xf>
    <xf numFmtId="9" fontId="7" fillId="6" borderId="119" xfId="4" applyNumberFormat="1" applyFont="1" applyFill="1" applyBorder="1" applyAlignment="1">
      <alignment horizontal="center" vertical="center" wrapText="1"/>
    </xf>
    <xf numFmtId="0" fontId="7" fillId="21" borderId="173" xfId="4" applyNumberFormat="1" applyFont="1" applyFill="1" applyBorder="1" applyAlignment="1" applyProtection="1">
      <alignment horizontal="center" vertical="center" wrapText="1"/>
      <protection locked="0"/>
    </xf>
    <xf numFmtId="0" fontId="57" fillId="6" borderId="216" xfId="93" applyFont="1" applyFill="1" applyBorder="1" applyAlignment="1" applyProtection="1">
      <alignment horizontal="center" vertical="center" wrapText="1"/>
    </xf>
    <xf numFmtId="0" fontId="64" fillId="6" borderId="216" xfId="93" applyFont="1" applyFill="1" applyBorder="1" applyAlignment="1" applyProtection="1">
      <alignment horizontal="center" vertical="center" wrapText="1"/>
    </xf>
    <xf numFmtId="0" fontId="57" fillId="6" borderId="216" xfId="93" applyFont="1" applyFill="1" applyBorder="1" applyAlignment="1" applyProtection="1">
      <alignment horizontal="left" vertical="center" wrapText="1"/>
    </xf>
    <xf numFmtId="9" fontId="8" fillId="6" borderId="119" xfId="4" applyNumberFormat="1" applyFont="1" applyFill="1" applyBorder="1" applyAlignment="1">
      <alignment horizontal="center" vertical="center" wrapText="1"/>
    </xf>
    <xf numFmtId="0" fontId="65" fillId="0" borderId="119" xfId="4" applyFont="1" applyBorder="1" applyAlignment="1">
      <alignment horizontal="center" vertical="center" wrapText="1"/>
    </xf>
    <xf numFmtId="0" fontId="65" fillId="0" borderId="217" xfId="4" applyFont="1" applyBorder="1" applyAlignment="1">
      <alignment horizontal="center" vertical="center" wrapText="1"/>
    </xf>
    <xf numFmtId="9" fontId="7" fillId="21" borderId="0" xfId="4" applyNumberFormat="1" applyFont="1" applyFill="1" applyBorder="1" applyAlignment="1">
      <alignment horizontal="center" vertical="center" wrapText="1"/>
    </xf>
    <xf numFmtId="10" fontId="65" fillId="6" borderId="186" xfId="9" applyNumberFormat="1" applyFont="1" applyFill="1" applyBorder="1" applyAlignment="1" applyProtection="1">
      <alignment horizontal="center" vertical="center" wrapText="1"/>
    </xf>
    <xf numFmtId="10" fontId="65" fillId="6" borderId="171" xfId="9" applyNumberFormat="1" applyFont="1" applyFill="1" applyBorder="1" applyAlignment="1" applyProtection="1">
      <alignment horizontal="center" vertical="center" wrapText="1"/>
    </xf>
    <xf numFmtId="0" fontId="7" fillId="6" borderId="119" xfId="4" applyFont="1" applyFill="1" applyBorder="1" applyAlignment="1">
      <alignment horizontal="center" vertical="center" wrapText="1"/>
    </xf>
    <xf numFmtId="0" fontId="65" fillId="6" borderId="198" xfId="82" applyNumberFormat="1" applyFont="1" applyFill="1" applyBorder="1" applyAlignment="1" applyProtection="1">
      <alignment horizontal="center" vertical="center" wrapText="1"/>
    </xf>
    <xf numFmtId="0" fontId="8" fillId="6" borderId="119" xfId="4" applyFont="1" applyFill="1" applyBorder="1" applyAlignment="1">
      <alignment horizontal="center" vertical="center" wrapText="1"/>
    </xf>
    <xf numFmtId="0" fontId="65" fillId="6" borderId="119" xfId="4" applyNumberFormat="1" applyFont="1" applyFill="1" applyBorder="1" applyAlignment="1" applyProtection="1">
      <alignment horizontal="center" vertical="center" wrapText="1"/>
      <protection locked="0"/>
    </xf>
    <xf numFmtId="0" fontId="65" fillId="0" borderId="119" xfId="4" applyNumberFormat="1" applyFont="1" applyFill="1" applyBorder="1" applyAlignment="1" applyProtection="1">
      <alignment horizontal="center" vertical="center" wrapText="1"/>
      <protection locked="0"/>
    </xf>
    <xf numFmtId="9" fontId="7" fillId="6" borderId="0" xfId="4" applyNumberFormat="1" applyFont="1" applyFill="1" applyBorder="1" applyAlignment="1">
      <alignment horizontal="center" vertical="center" wrapText="1"/>
    </xf>
    <xf numFmtId="0" fontId="7" fillId="0" borderId="119" xfId="4" applyNumberFormat="1" applyFont="1" applyFill="1" applyBorder="1" applyAlignment="1" applyProtection="1">
      <alignment horizontal="center" vertical="center" wrapText="1"/>
      <protection locked="0"/>
    </xf>
    <xf numFmtId="10" fontId="65" fillId="0" borderId="186" xfId="9" applyNumberFormat="1" applyFont="1" applyFill="1" applyBorder="1" applyAlignment="1" applyProtection="1">
      <alignment horizontal="center" vertical="center" wrapText="1"/>
    </xf>
    <xf numFmtId="9" fontId="7" fillId="21" borderId="148" xfId="4" applyNumberFormat="1" applyFont="1" applyFill="1" applyBorder="1" applyAlignment="1">
      <alignment horizontal="center" vertical="center" wrapText="1"/>
    </xf>
    <xf numFmtId="9" fontId="7" fillId="0" borderId="119" xfId="4" applyNumberFormat="1" applyFont="1" applyFill="1" applyBorder="1" applyAlignment="1" applyProtection="1">
      <alignment horizontal="center" vertical="center" wrapText="1"/>
      <protection locked="0"/>
    </xf>
    <xf numFmtId="9" fontId="28" fillId="16" borderId="198" xfId="82" applyNumberFormat="1" applyFont="1" applyFill="1" applyBorder="1" applyAlignment="1" applyProtection="1">
      <alignment horizontal="center" vertical="center" wrapText="1"/>
    </xf>
    <xf numFmtId="9" fontId="7" fillId="6" borderId="119" xfId="4" applyNumberFormat="1" applyFont="1" applyFill="1" applyBorder="1" applyAlignment="1" applyProtection="1">
      <alignment horizontal="center" vertical="center" wrapText="1"/>
      <protection locked="0"/>
    </xf>
    <xf numFmtId="10" fontId="65" fillId="16" borderId="198" xfId="82" applyNumberFormat="1" applyFont="1" applyFill="1" applyBorder="1" applyAlignment="1" applyProtection="1">
      <alignment horizontal="center" vertical="center" wrapText="1"/>
    </xf>
    <xf numFmtId="10" fontId="65" fillId="6" borderId="198" xfId="82" applyNumberFormat="1" applyFont="1" applyFill="1" applyBorder="1" applyAlignment="1" applyProtection="1">
      <alignment horizontal="center" vertical="center" wrapText="1"/>
    </xf>
    <xf numFmtId="10" fontId="28" fillId="16" borderId="171" xfId="82" applyNumberFormat="1" applyFont="1" applyFill="1" applyBorder="1" applyAlignment="1" applyProtection="1">
      <alignment horizontal="center" vertical="center" wrapText="1"/>
    </xf>
    <xf numFmtId="0" fontId="7" fillId="21" borderId="173" xfId="4" applyNumberFormat="1" applyFont="1" applyFill="1" applyBorder="1" applyAlignment="1" applyProtection="1">
      <alignment horizontal="left" vertical="center" wrapText="1" indent="5"/>
      <protection locked="0"/>
    </xf>
    <xf numFmtId="9" fontId="35" fillId="21" borderId="173" xfId="4" applyNumberFormat="1" applyFont="1" applyFill="1" applyBorder="1" applyAlignment="1">
      <alignment horizontal="center" vertical="center" wrapText="1"/>
    </xf>
    <xf numFmtId="0" fontId="80" fillId="6" borderId="183" xfId="9" applyFont="1" applyFill="1" applyBorder="1" applyAlignment="1" applyProtection="1">
      <alignment horizontal="center" vertical="center" wrapText="1"/>
    </xf>
    <xf numFmtId="0" fontId="7" fillId="14" borderId="218" xfId="4" applyFill="1" applyBorder="1"/>
    <xf numFmtId="0" fontId="31" fillId="15" borderId="195" xfId="9" applyFont="1" applyFill="1" applyBorder="1" applyAlignment="1" applyProtection="1">
      <alignment horizontal="center" vertical="center" wrapText="1"/>
    </xf>
    <xf numFmtId="0" fontId="65" fillId="6" borderId="195" xfId="9" applyFont="1" applyFill="1" applyBorder="1" applyAlignment="1" applyProtection="1">
      <alignment horizontal="center" vertical="center" wrapText="1"/>
    </xf>
    <xf numFmtId="10" fontId="62" fillId="6" borderId="219" xfId="82" applyNumberFormat="1" applyFont="1" applyFill="1" applyBorder="1" applyAlignment="1" applyProtection="1">
      <alignment horizontal="center" vertical="center" wrapText="1"/>
    </xf>
    <xf numFmtId="0" fontId="0" fillId="6" borderId="220" xfId="9" applyFont="1" applyFill="1" applyBorder="1" applyAlignment="1" applyProtection="1">
      <alignment horizontal="center" vertical="center" wrapText="1"/>
    </xf>
    <xf numFmtId="0" fontId="0" fillId="6" borderId="212" xfId="9" applyFont="1" applyFill="1" applyBorder="1" applyAlignment="1" applyProtection="1">
      <alignment horizontal="center" vertical="center" wrapText="1"/>
    </xf>
    <xf numFmtId="0" fontId="70" fillId="16" borderId="212" xfId="82" applyNumberFormat="1" applyFont="1" applyFill="1" applyBorder="1" applyAlignment="1" applyProtection="1">
      <alignment horizontal="center" vertical="center" wrapText="1"/>
    </xf>
    <xf numFmtId="0" fontId="70" fillId="6" borderId="212" xfId="82" applyNumberFormat="1" applyFont="1" applyFill="1" applyBorder="1" applyAlignment="1" applyProtection="1">
      <alignment horizontal="center" vertical="center" wrapText="1"/>
    </xf>
    <xf numFmtId="1" fontId="7" fillId="6" borderId="198" xfId="82" applyNumberFormat="1" applyFill="1" applyBorder="1" applyAlignment="1" applyProtection="1">
      <alignment horizontal="center" vertical="center" wrapText="1"/>
    </xf>
    <xf numFmtId="1" fontId="28" fillId="16" borderId="199" xfId="82" applyNumberFormat="1" applyFont="1" applyFill="1" applyBorder="1" applyAlignment="1" applyProtection="1">
      <alignment horizontal="center" vertical="center" wrapText="1"/>
    </xf>
    <xf numFmtId="0" fontId="0" fillId="6" borderId="184" xfId="9" applyFont="1" applyFill="1" applyBorder="1" applyAlignment="1" applyProtection="1">
      <alignment horizontal="center" vertical="center" wrapText="1"/>
    </xf>
    <xf numFmtId="9" fontId="8" fillId="0" borderId="139" xfId="4" applyNumberFormat="1" applyFont="1" applyBorder="1" applyAlignment="1">
      <alignment horizontal="center" vertical="center" wrapText="1"/>
    </xf>
    <xf numFmtId="0" fontId="57" fillId="6" borderId="219" xfId="93" applyFont="1" applyFill="1" applyBorder="1" applyAlignment="1" applyProtection="1">
      <alignment horizontal="center" vertical="center" wrapText="1"/>
    </xf>
    <xf numFmtId="9" fontId="22" fillId="21" borderId="139" xfId="4" applyNumberFormat="1" applyFont="1" applyFill="1" applyBorder="1" applyAlignment="1">
      <alignment horizontal="center" vertical="center" wrapText="1"/>
    </xf>
    <xf numFmtId="9" fontId="22" fillId="6" borderId="139" xfId="4" applyNumberFormat="1" applyFont="1" applyFill="1" applyBorder="1" applyAlignment="1">
      <alignment horizontal="center" vertical="center" wrapText="1"/>
    </xf>
    <xf numFmtId="0" fontId="7" fillId="21" borderId="182" xfId="4" applyFont="1" applyFill="1" applyBorder="1" applyAlignment="1">
      <alignment horizontal="center" vertical="center" wrapText="1"/>
    </xf>
    <xf numFmtId="9" fontId="22" fillId="21" borderId="182" xfId="4" applyNumberFormat="1" applyFont="1" applyFill="1" applyBorder="1" applyAlignment="1">
      <alignment horizontal="center" vertical="center" wrapText="1"/>
    </xf>
    <xf numFmtId="0" fontId="70" fillId="16" borderId="171" xfId="82" applyNumberFormat="1" applyFont="1" applyFill="1" applyBorder="1" applyAlignment="1" applyProtection="1">
      <alignment horizontal="center" vertical="center" wrapText="1"/>
    </xf>
    <xf numFmtId="0" fontId="70" fillId="6" borderId="171" xfId="82" applyNumberFormat="1" applyFont="1" applyFill="1" applyBorder="1" applyAlignment="1" applyProtection="1">
      <alignment horizontal="center" vertical="center" wrapText="1"/>
    </xf>
    <xf numFmtId="0" fontId="0" fillId="6" borderId="179" xfId="9" applyFont="1" applyFill="1" applyBorder="1" applyAlignment="1" applyProtection="1">
      <alignment horizontal="center" vertical="center" wrapText="1"/>
    </xf>
    <xf numFmtId="0" fontId="57" fillId="6" borderId="196" xfId="93" applyFont="1" applyFill="1" applyBorder="1" applyAlignment="1" applyProtection="1">
      <alignment horizontal="center" vertical="center" wrapText="1"/>
    </xf>
    <xf numFmtId="9" fontId="22" fillId="21" borderId="119" xfId="4" applyNumberFormat="1" applyFont="1" applyFill="1" applyBorder="1" applyAlignment="1">
      <alignment horizontal="center" vertical="center" wrapText="1"/>
    </xf>
    <xf numFmtId="9" fontId="22" fillId="6" borderId="119" xfId="4" applyNumberFormat="1" applyFont="1" applyFill="1" applyBorder="1" applyAlignment="1">
      <alignment horizontal="center" vertical="center" wrapText="1"/>
    </xf>
    <xf numFmtId="9" fontId="22" fillId="21" borderId="173" xfId="4" applyNumberFormat="1" applyFont="1" applyFill="1" applyBorder="1" applyAlignment="1">
      <alignment horizontal="center" vertical="center" wrapText="1"/>
    </xf>
    <xf numFmtId="0" fontId="65" fillId="0" borderId="185" xfId="9" applyFont="1" applyFill="1" applyBorder="1" applyAlignment="1" applyProtection="1">
      <alignment horizontal="center" vertical="center" wrapText="1"/>
    </xf>
    <xf numFmtId="10" fontId="62" fillId="0" borderId="196" xfId="82" applyNumberFormat="1" applyFont="1" applyFill="1" applyBorder="1" applyAlignment="1" applyProtection="1">
      <alignment horizontal="center" vertical="center" wrapText="1"/>
    </xf>
    <xf numFmtId="0" fontId="0" fillId="0" borderId="186" xfId="9" applyFont="1" applyFill="1" applyBorder="1" applyAlignment="1" applyProtection="1">
      <alignment horizontal="center" vertical="center" wrapText="1"/>
    </xf>
    <xf numFmtId="0" fontId="0" fillId="0" borderId="171" xfId="9" applyFont="1" applyFill="1" applyBorder="1" applyAlignment="1" applyProtection="1">
      <alignment horizontal="center" vertical="center" wrapText="1"/>
    </xf>
    <xf numFmtId="9" fontId="70" fillId="16" borderId="171" xfId="82" applyNumberFormat="1" applyFont="1" applyFill="1" applyBorder="1" applyAlignment="1" applyProtection="1">
      <alignment horizontal="center" vertical="center" wrapText="1"/>
    </xf>
    <xf numFmtId="9" fontId="70" fillId="0" borderId="171" xfId="82" applyNumberFormat="1" applyFont="1" applyFill="1" applyBorder="1" applyAlignment="1" applyProtection="1">
      <alignment horizontal="center" vertical="center" wrapText="1"/>
    </xf>
    <xf numFmtId="1" fontId="0" fillId="0" borderId="186" xfId="9" applyNumberFormat="1" applyFont="1" applyFill="1" applyBorder="1" applyAlignment="1" applyProtection="1">
      <alignment horizontal="center" vertical="center" wrapText="1"/>
    </xf>
    <xf numFmtId="0" fontId="65" fillId="0" borderId="171" xfId="9" applyFont="1" applyFill="1" applyBorder="1" applyAlignment="1" applyProtection="1">
      <alignment horizontal="center" vertical="center" wrapText="1"/>
    </xf>
    <xf numFmtId="10" fontId="0" fillId="0" borderId="179" xfId="9" applyNumberFormat="1" applyFont="1" applyFill="1" applyBorder="1" applyAlignment="1" applyProtection="1">
      <alignment horizontal="center" vertical="center" wrapText="1"/>
    </xf>
    <xf numFmtId="10" fontId="35" fillId="21" borderId="179" xfId="9" applyNumberFormat="1" applyFont="1" applyFill="1" applyBorder="1" applyAlignment="1" applyProtection="1">
      <alignment horizontal="center" vertical="center" wrapText="1"/>
    </xf>
    <xf numFmtId="10" fontId="35" fillId="6" borderId="179" xfId="9" applyNumberFormat="1" applyFont="1" applyFill="1" applyBorder="1" applyAlignment="1" applyProtection="1">
      <alignment horizontal="center" vertical="center" wrapText="1"/>
    </xf>
    <xf numFmtId="1" fontId="70" fillId="16" borderId="171" xfId="82" applyNumberFormat="1" applyFont="1" applyFill="1" applyBorder="1" applyAlignment="1" applyProtection="1">
      <alignment horizontal="center" vertical="center" wrapText="1"/>
    </xf>
    <xf numFmtId="1" fontId="70" fillId="0" borderId="171" xfId="82" applyNumberFormat="1" applyFont="1" applyFill="1" applyBorder="1" applyAlignment="1" applyProtection="1">
      <alignment horizontal="center" vertical="center" wrapText="1"/>
    </xf>
    <xf numFmtId="0" fontId="28" fillId="16" borderId="198" xfId="9" applyNumberFormat="1" applyFont="1" applyFill="1" applyBorder="1" applyAlignment="1" applyProtection="1">
      <alignment horizontal="center" vertical="center" wrapText="1"/>
    </xf>
    <xf numFmtId="0" fontId="57" fillId="6" borderId="99" xfId="93" applyFont="1" applyFill="1" applyBorder="1" applyAlignment="1">
      <alignment horizontal="center" vertical="center" wrapText="1"/>
    </xf>
    <xf numFmtId="9" fontId="7" fillId="21" borderId="173" xfId="4" applyNumberFormat="1" applyFont="1" applyFill="1" applyBorder="1" applyAlignment="1">
      <alignment horizontal="justify" vertical="center" wrapText="1"/>
    </xf>
    <xf numFmtId="0" fontId="65" fillId="0" borderId="119" xfId="4" applyFont="1" applyBorder="1" applyAlignment="1" applyProtection="1">
      <alignment horizontal="center" vertical="center" wrapText="1"/>
      <protection locked="0"/>
    </xf>
    <xf numFmtId="9" fontId="70" fillId="6" borderId="171" xfId="82" applyNumberFormat="1" applyFont="1" applyFill="1" applyBorder="1" applyAlignment="1" applyProtection="1">
      <alignment horizontal="center" vertical="center" wrapText="1"/>
    </xf>
    <xf numFmtId="1" fontId="65" fillId="6" borderId="186" xfId="9" applyNumberFormat="1" applyFont="1" applyFill="1" applyBorder="1" applyAlignment="1" applyProtection="1">
      <alignment horizontal="center" vertical="center" wrapText="1"/>
    </xf>
    <xf numFmtId="9" fontId="7" fillId="0" borderId="217" xfId="4" applyNumberFormat="1" applyFont="1" applyBorder="1" applyAlignment="1">
      <alignment horizontal="center" vertical="center" wrapText="1"/>
    </xf>
    <xf numFmtId="10" fontId="65" fillId="21" borderId="0" xfId="4" applyNumberFormat="1" applyFont="1" applyFill="1" applyBorder="1" applyAlignment="1" applyProtection="1">
      <alignment horizontal="center" vertical="center" wrapText="1"/>
      <protection locked="0"/>
    </xf>
    <xf numFmtId="9" fontId="7" fillId="21" borderId="217" xfId="4" applyNumberFormat="1" applyFont="1" applyFill="1" applyBorder="1" applyAlignment="1">
      <alignment horizontal="center" vertical="center" wrapText="1"/>
    </xf>
    <xf numFmtId="0" fontId="31" fillId="15" borderId="215" xfId="9" applyFont="1" applyFill="1" applyBorder="1" applyAlignment="1" applyProtection="1">
      <alignment horizontal="center" vertical="center" wrapText="1"/>
    </xf>
    <xf numFmtId="9" fontId="70" fillId="16" borderId="198" xfId="82" applyFont="1" applyFill="1" applyBorder="1" applyAlignment="1" applyProtection="1">
      <alignment horizontal="center" vertical="center" wrapText="1"/>
    </xf>
    <xf numFmtId="9" fontId="70" fillId="6" borderId="198" xfId="82" applyFont="1" applyFill="1" applyBorder="1" applyAlignment="1" applyProtection="1">
      <alignment horizontal="center" vertical="center" wrapText="1"/>
    </xf>
    <xf numFmtId="0" fontId="0" fillId="6" borderId="198" xfId="9" applyFont="1" applyFill="1" applyBorder="1" applyAlignment="1" applyProtection="1">
      <alignment vertical="center" wrapText="1"/>
      <protection locked="0"/>
    </xf>
    <xf numFmtId="10" fontId="0" fillId="6" borderId="178" xfId="9" applyNumberFormat="1" applyFont="1" applyFill="1" applyBorder="1" applyAlignment="1" applyProtection="1">
      <alignment horizontal="center" vertical="center" wrapText="1"/>
    </xf>
    <xf numFmtId="0" fontId="7" fillId="0" borderId="200" xfId="4" applyFont="1" applyBorder="1" applyAlignment="1">
      <alignment horizontal="center" vertical="center" wrapText="1"/>
    </xf>
    <xf numFmtId="10" fontId="70" fillId="16" borderId="171" xfId="82" applyNumberFormat="1" applyFont="1" applyFill="1" applyBorder="1" applyAlignment="1" applyProtection="1">
      <alignment horizontal="center" vertical="center" wrapText="1"/>
    </xf>
    <xf numFmtId="10" fontId="0" fillId="16" borderId="198" xfId="82" applyNumberFormat="1" applyFont="1" applyFill="1" applyBorder="1" applyAlignment="1" applyProtection="1">
      <alignment horizontal="center" vertical="center" wrapText="1"/>
    </xf>
    <xf numFmtId="10" fontId="70" fillId="6" borderId="171" xfId="82" applyNumberFormat="1" applyFont="1" applyFill="1" applyBorder="1" applyAlignment="1" applyProtection="1">
      <alignment horizontal="center" vertical="center" wrapText="1"/>
    </xf>
    <xf numFmtId="10" fontId="0" fillId="6" borderId="198" xfId="82" applyNumberFormat="1" applyFont="1" applyFill="1" applyBorder="1" applyAlignment="1" applyProtection="1">
      <alignment horizontal="center" vertical="center" wrapText="1"/>
    </xf>
    <xf numFmtId="10" fontId="28" fillId="16" borderId="199" xfId="82" applyNumberFormat="1" applyFont="1" applyFill="1" applyBorder="1" applyAlignment="1" applyProtection="1">
      <alignment horizontal="center" vertical="center" wrapText="1"/>
    </xf>
    <xf numFmtId="10" fontId="28" fillId="16" borderId="198" xfId="82" applyNumberFormat="1" applyFont="1" applyFill="1" applyBorder="1" applyAlignment="1" applyProtection="1">
      <alignment horizontal="center" vertical="center" wrapText="1"/>
    </xf>
    <xf numFmtId="0" fontId="0" fillId="6" borderId="171" xfId="9" applyFont="1" applyFill="1" applyBorder="1" applyAlignment="1" applyProtection="1">
      <alignment horizontal="center" vertical="center" wrapText="1"/>
      <protection locked="0"/>
    </xf>
    <xf numFmtId="10" fontId="81" fillId="6" borderId="207" xfId="82" applyNumberFormat="1" applyFont="1" applyFill="1" applyBorder="1" applyAlignment="1" applyProtection="1">
      <alignment horizontal="center" vertical="center" wrapText="1"/>
    </xf>
    <xf numFmtId="1" fontId="70" fillId="6" borderId="171" xfId="82" applyNumberFormat="1" applyFont="1" applyFill="1" applyBorder="1" applyAlignment="1" applyProtection="1">
      <alignment horizontal="center" vertical="center" wrapText="1"/>
    </xf>
    <xf numFmtId="10" fontId="0" fillId="6" borderId="186" xfId="9" applyNumberFormat="1" applyFont="1" applyFill="1" applyBorder="1" applyAlignment="1" applyProtection="1">
      <alignment horizontal="center" vertical="center" wrapText="1"/>
    </xf>
    <xf numFmtId="0" fontId="65" fillId="0" borderId="0" xfId="9" applyFont="1" applyAlignment="1">
      <alignment horizontal="center" vertical="center" wrapText="1"/>
    </xf>
    <xf numFmtId="10" fontId="0" fillId="6" borderId="171" xfId="9" applyNumberFormat="1" applyFont="1" applyFill="1" applyBorder="1" applyAlignment="1" applyProtection="1">
      <alignment horizontal="center" vertical="center" wrapText="1"/>
    </xf>
    <xf numFmtId="10" fontId="60" fillId="6" borderId="221" xfId="93" applyNumberFormat="1" applyFont="1" applyFill="1" applyBorder="1" applyAlignment="1" applyProtection="1">
      <alignment horizontal="center" vertical="center" wrapText="1"/>
    </xf>
    <xf numFmtId="0" fontId="7" fillId="0" borderId="184" xfId="4" applyFont="1" applyBorder="1" applyAlignment="1">
      <alignment horizontal="center" vertical="center" wrapText="1"/>
    </xf>
    <xf numFmtId="0" fontId="7" fillId="0" borderId="185" xfId="4" applyFont="1" applyBorder="1" applyAlignment="1">
      <alignment horizontal="center" vertical="center" wrapText="1"/>
    </xf>
    <xf numFmtId="0" fontId="8" fillId="6" borderId="222" xfId="93" applyFont="1" applyFill="1" applyBorder="1" applyAlignment="1" applyProtection="1">
      <alignment horizontal="center" vertical="center" wrapText="1"/>
    </xf>
    <xf numFmtId="10" fontId="81" fillId="6" borderId="223" xfId="82" applyNumberFormat="1" applyFont="1" applyFill="1" applyBorder="1" applyAlignment="1" applyProtection="1">
      <alignment horizontal="center" vertical="center" wrapText="1"/>
    </xf>
    <xf numFmtId="10" fontId="70" fillId="16" borderId="198" xfId="9" applyNumberFormat="1" applyFont="1" applyFill="1" applyBorder="1" applyAlignment="1" applyProtection="1">
      <alignment horizontal="center" vertical="center" wrapText="1"/>
    </xf>
    <xf numFmtId="10" fontId="70" fillId="6" borderId="198" xfId="9" applyNumberFormat="1" applyFont="1" applyFill="1" applyBorder="1" applyAlignment="1" applyProtection="1">
      <alignment horizontal="center" vertical="center" wrapText="1"/>
    </xf>
    <xf numFmtId="10" fontId="28" fillId="16" borderId="199" xfId="9" applyNumberFormat="1" applyFont="1" applyFill="1" applyBorder="1" applyAlignment="1" applyProtection="1">
      <alignment horizontal="center" vertical="center" wrapText="1"/>
    </xf>
    <xf numFmtId="10" fontId="28" fillId="16" borderId="198" xfId="9" applyNumberFormat="1" applyFont="1" applyFill="1" applyBorder="1" applyAlignment="1" applyProtection="1">
      <alignment horizontal="center" vertical="center" wrapText="1"/>
    </xf>
    <xf numFmtId="1" fontId="65" fillId="6" borderId="197" xfId="9" applyNumberFormat="1" applyFont="1" applyFill="1" applyBorder="1" applyAlignment="1" applyProtection="1">
      <alignment horizontal="center" vertical="center" wrapText="1"/>
    </xf>
    <xf numFmtId="1" fontId="0" fillId="6" borderId="198" xfId="9" applyNumberFormat="1" applyFont="1" applyFill="1" applyBorder="1" applyAlignment="1" applyProtection="1">
      <alignment horizontal="center" vertical="center" wrapText="1"/>
    </xf>
    <xf numFmtId="0" fontId="65" fillId="6" borderId="178" xfId="9" applyNumberFormat="1" applyFont="1" applyFill="1" applyBorder="1" applyAlignment="1" applyProtection="1">
      <alignment horizontal="center" vertical="center" wrapText="1"/>
    </xf>
    <xf numFmtId="9" fontId="7" fillId="0" borderId="119" xfId="4" applyNumberFormat="1" applyFont="1" applyBorder="1" applyAlignment="1">
      <alignment horizontal="left" vertical="center" wrapText="1"/>
    </xf>
    <xf numFmtId="0" fontId="7" fillId="0" borderId="119" xfId="4" applyFont="1" applyFill="1" applyBorder="1" applyAlignment="1">
      <alignment horizontal="center" vertical="center" wrapText="1"/>
    </xf>
    <xf numFmtId="176" fontId="65" fillId="6" borderId="197" xfId="98" applyNumberFormat="1" applyFont="1" applyFill="1" applyBorder="1" applyAlignment="1" applyProtection="1">
      <alignment horizontal="center" vertical="center" wrapText="1"/>
    </xf>
    <xf numFmtId="0" fontId="7" fillId="6" borderId="173" xfId="4" applyFont="1" applyFill="1" applyBorder="1" applyAlignment="1" applyProtection="1">
      <alignment horizontal="center" vertical="center" wrapText="1"/>
      <protection locked="0"/>
    </xf>
    <xf numFmtId="9" fontId="7" fillId="6" borderId="173" xfId="4" applyNumberFormat="1" applyFont="1" applyFill="1" applyBorder="1" applyAlignment="1">
      <alignment horizontal="left" vertical="top" wrapText="1"/>
    </xf>
    <xf numFmtId="176" fontId="65" fillId="6" borderId="186" xfId="98" applyNumberFormat="1" applyFont="1" applyFill="1" applyBorder="1" applyAlignment="1" applyProtection="1">
      <alignment horizontal="center" vertical="center" wrapText="1"/>
    </xf>
    <xf numFmtId="0" fontId="7" fillId="0" borderId="173" xfId="4" applyFont="1" applyBorder="1" applyAlignment="1" applyProtection="1">
      <alignment horizontal="center" vertical="center" wrapText="1"/>
      <protection locked="0"/>
    </xf>
    <xf numFmtId="9" fontId="7" fillId="0" borderId="173" xfId="4" applyNumberFormat="1" applyFont="1" applyFill="1" applyBorder="1" applyAlignment="1">
      <alignment horizontal="left" vertical="center" wrapText="1"/>
    </xf>
    <xf numFmtId="9" fontId="7" fillId="0" borderId="173" xfId="4" applyNumberFormat="1" applyFont="1" applyFill="1" applyBorder="1" applyAlignment="1">
      <alignment horizontal="left" vertical="top" wrapText="1"/>
    </xf>
    <xf numFmtId="10" fontId="7" fillId="0" borderId="173" xfId="4" applyNumberFormat="1" applyFont="1" applyBorder="1" applyAlignment="1" applyProtection="1">
      <alignment horizontal="center" vertical="center" wrapText="1"/>
      <protection locked="0"/>
    </xf>
    <xf numFmtId="9" fontId="7" fillId="0" borderId="182" xfId="4" applyNumberFormat="1" applyFont="1" applyBorder="1" applyAlignment="1">
      <alignment horizontal="center" vertical="center" wrapText="1"/>
    </xf>
    <xf numFmtId="9" fontId="7" fillId="0" borderId="173" xfId="4" applyNumberFormat="1" applyFont="1" applyFill="1" applyBorder="1" applyAlignment="1">
      <alignment horizontal="center" vertical="top" wrapText="1"/>
    </xf>
    <xf numFmtId="10" fontId="1" fillId="0" borderId="173" xfId="4" applyNumberFormat="1" applyFont="1" applyBorder="1" applyAlignment="1" applyProtection="1">
      <alignment horizontal="center" vertical="center" wrapText="1"/>
      <protection locked="0"/>
    </xf>
    <xf numFmtId="9" fontId="7" fillId="0" borderId="173" xfId="4" applyNumberFormat="1" applyFont="1" applyBorder="1" applyAlignment="1">
      <alignment horizontal="center" vertical="center" wrapText="1"/>
    </xf>
    <xf numFmtId="0" fontId="7" fillId="0" borderId="173" xfId="4" applyNumberFormat="1" applyFont="1" applyBorder="1" applyAlignment="1">
      <alignment horizontal="center" vertical="center" wrapText="1"/>
    </xf>
    <xf numFmtId="9" fontId="0" fillId="0" borderId="173" xfId="82" applyNumberFormat="1" applyFont="1" applyFill="1" applyBorder="1" applyAlignment="1" applyProtection="1">
      <alignment horizontal="center" vertical="center" wrapText="1"/>
      <protection locked="0"/>
    </xf>
    <xf numFmtId="9" fontId="7" fillId="0" borderId="214" xfId="4" applyNumberFormat="1" applyFont="1" applyBorder="1" applyAlignment="1">
      <alignment horizontal="center" vertical="center" wrapText="1"/>
    </xf>
    <xf numFmtId="9" fontId="7" fillId="0" borderId="173" xfId="4" applyNumberFormat="1" applyFont="1" applyBorder="1" applyAlignment="1" applyProtection="1">
      <alignment horizontal="center" vertical="center" wrapText="1"/>
      <protection locked="0"/>
    </xf>
    <xf numFmtId="0" fontId="7" fillId="0" borderId="173" xfId="4" applyNumberFormat="1" applyFont="1" applyBorder="1" applyAlignment="1" applyProtection="1">
      <alignment horizontal="center" vertical="center" wrapText="1"/>
      <protection locked="0"/>
    </xf>
    <xf numFmtId="9" fontId="7" fillId="6" borderId="173" xfId="4" applyNumberFormat="1" applyFont="1" applyFill="1" applyBorder="1" applyAlignment="1">
      <alignment horizontal="center" vertical="center" wrapText="1"/>
    </xf>
    <xf numFmtId="9" fontId="7" fillId="0" borderId="0" xfId="4" applyNumberFormat="1" applyFont="1" applyFill="1" applyBorder="1" applyAlignment="1">
      <alignment horizontal="center" vertical="center" wrapText="1"/>
    </xf>
    <xf numFmtId="9" fontId="7" fillId="6" borderId="173" xfId="4" applyNumberFormat="1" applyFont="1" applyFill="1" applyBorder="1" applyAlignment="1">
      <alignment horizontal="left" vertical="center" wrapText="1"/>
    </xf>
    <xf numFmtId="9" fontId="65" fillId="0" borderId="173" xfId="4" applyNumberFormat="1" applyFont="1" applyFill="1" applyBorder="1" applyAlignment="1">
      <alignment horizontal="left" vertical="center" wrapText="1"/>
    </xf>
    <xf numFmtId="0" fontId="65" fillId="6" borderId="173" xfId="4" applyNumberFormat="1" applyFont="1" applyFill="1" applyBorder="1" applyAlignment="1" applyProtection="1">
      <alignment horizontal="center" vertical="center" wrapText="1"/>
      <protection locked="0"/>
    </xf>
    <xf numFmtId="9" fontId="35" fillId="0" borderId="173" xfId="4" applyNumberFormat="1" applyFont="1" applyFill="1" applyBorder="1" applyAlignment="1">
      <alignment horizontal="left" vertical="center" wrapText="1"/>
    </xf>
    <xf numFmtId="9" fontId="7" fillId="0" borderId="173" xfId="4" applyNumberFormat="1" applyFont="1" applyFill="1" applyBorder="1" applyAlignment="1">
      <alignment horizontal="justify" vertical="center" wrapText="1"/>
    </xf>
    <xf numFmtId="0" fontId="7" fillId="0" borderId="173" xfId="4" applyNumberFormat="1" applyFont="1" applyFill="1" applyBorder="1" applyAlignment="1" applyProtection="1">
      <alignment horizontal="center" vertical="center" wrapText="1"/>
      <protection locked="0"/>
    </xf>
    <xf numFmtId="9" fontId="35" fillId="0" borderId="182" xfId="4" applyNumberFormat="1" applyFont="1" applyFill="1" applyBorder="1" applyAlignment="1">
      <alignment horizontal="center" vertical="center" wrapText="1"/>
    </xf>
    <xf numFmtId="9" fontId="35" fillId="0" borderId="173" xfId="4" applyNumberFormat="1" applyFont="1" applyFill="1" applyBorder="1" applyAlignment="1">
      <alignment horizontal="center" vertical="center" wrapText="1"/>
    </xf>
    <xf numFmtId="0" fontId="65" fillId="0" borderId="173" xfId="4" applyFont="1" applyFill="1" applyBorder="1" applyAlignment="1" applyProtection="1">
      <alignment horizontal="center" vertical="center" wrapText="1"/>
      <protection locked="0"/>
    </xf>
    <xf numFmtId="9" fontId="65" fillId="0" borderId="173" xfId="4" applyNumberFormat="1" applyFont="1" applyFill="1" applyBorder="1" applyAlignment="1">
      <alignment horizontal="center" vertical="center" wrapText="1"/>
    </xf>
    <xf numFmtId="9" fontId="65" fillId="6" borderId="173" xfId="82" applyFont="1" applyFill="1" applyBorder="1" applyAlignment="1" applyProtection="1">
      <alignment horizontal="center" vertical="center" wrapText="1"/>
      <protection locked="0"/>
    </xf>
    <xf numFmtId="9" fontId="65" fillId="6" borderId="173" xfId="4" applyNumberFormat="1" applyFont="1" applyFill="1" applyBorder="1" applyAlignment="1">
      <alignment horizontal="center" vertical="center" wrapText="1"/>
    </xf>
    <xf numFmtId="10" fontId="65" fillId="0" borderId="173" xfId="82" applyNumberFormat="1" applyFont="1" applyFill="1" applyBorder="1" applyAlignment="1" applyProtection="1">
      <alignment horizontal="center" vertical="center" wrapText="1"/>
      <protection locked="0"/>
    </xf>
    <xf numFmtId="0" fontId="65" fillId="0" borderId="173" xfId="4" applyFont="1" applyBorder="1" applyAlignment="1" applyProtection="1">
      <alignment horizontal="center" vertical="center" wrapText="1"/>
      <protection locked="0"/>
    </xf>
    <xf numFmtId="167" fontId="7" fillId="0" borderId="0" xfId="4" applyNumberFormat="1"/>
    <xf numFmtId="0" fontId="5" fillId="0" borderId="0" xfId="4" applyFont="1"/>
    <xf numFmtId="0" fontId="82" fillId="0" borderId="227" xfId="4" applyFont="1" applyBorder="1" applyAlignment="1">
      <alignment horizontal="center" vertical="center"/>
    </xf>
    <xf numFmtId="0" fontId="82" fillId="0" borderId="228" xfId="4" applyFont="1" applyBorder="1" applyAlignment="1">
      <alignment horizontal="center" vertical="center"/>
    </xf>
    <xf numFmtId="0" fontId="82" fillId="0" borderId="229" xfId="4" applyFont="1" applyBorder="1" applyAlignment="1">
      <alignment horizontal="center" vertical="center" wrapText="1"/>
    </xf>
    <xf numFmtId="0" fontId="82" fillId="0" borderId="230" xfId="4" applyFont="1" applyBorder="1" applyAlignment="1">
      <alignment horizontal="center" vertical="center" wrapText="1"/>
    </xf>
    <xf numFmtId="0" fontId="82" fillId="0" borderId="231" xfId="4" applyFont="1" applyBorder="1" applyAlignment="1">
      <alignment horizontal="center" vertical="center" wrapText="1"/>
    </xf>
    <xf numFmtId="0" fontId="82" fillId="0" borderId="232" xfId="4" applyFont="1" applyBorder="1"/>
    <xf numFmtId="0" fontId="82" fillId="0" borderId="233" xfId="4" applyFont="1" applyBorder="1"/>
    <xf numFmtId="167" fontId="82" fillId="0" borderId="234" xfId="4" applyNumberFormat="1" applyFont="1" applyBorder="1"/>
    <xf numFmtId="167" fontId="82" fillId="0" borderId="235" xfId="4" applyNumberFormat="1" applyFont="1" applyBorder="1"/>
    <xf numFmtId="167" fontId="82" fillId="0" borderId="236" xfId="4" applyNumberFormat="1" applyFont="1" applyBorder="1"/>
    <xf numFmtId="9" fontId="82" fillId="0" borderId="237" xfId="4" applyNumberFormat="1" applyFont="1" applyBorder="1"/>
    <xf numFmtId="167" fontId="82" fillId="0" borderId="238" xfId="4" applyNumberFormat="1" applyFont="1" applyBorder="1"/>
    <xf numFmtId="167" fontId="82" fillId="0" borderId="239" xfId="4" applyNumberFormat="1" applyFont="1" applyBorder="1"/>
    <xf numFmtId="0" fontId="82" fillId="0" borderId="240" xfId="4" applyFont="1" applyBorder="1"/>
    <xf numFmtId="0" fontId="82" fillId="0" borderId="241" xfId="4" applyFont="1" applyBorder="1"/>
    <xf numFmtId="167" fontId="82" fillId="0" borderId="242" xfId="4" applyNumberFormat="1" applyFont="1" applyBorder="1"/>
    <xf numFmtId="167" fontId="82" fillId="0" borderId="4" xfId="4" applyNumberFormat="1" applyFont="1" applyBorder="1"/>
    <xf numFmtId="167" fontId="82" fillId="0" borderId="243" xfId="4" applyNumberFormat="1" applyFont="1" applyBorder="1"/>
    <xf numFmtId="9" fontId="82" fillId="0" borderId="242" xfId="4" applyNumberFormat="1" applyFont="1" applyBorder="1"/>
    <xf numFmtId="0" fontId="82" fillId="0" borderId="244" xfId="4" applyFont="1" applyBorder="1"/>
    <xf numFmtId="9" fontId="82" fillId="0" borderId="4" xfId="4" applyNumberFormat="1" applyFont="1" applyBorder="1"/>
    <xf numFmtId="9" fontId="82" fillId="0" borderId="243" xfId="4" applyNumberFormat="1" applyFont="1" applyBorder="1"/>
    <xf numFmtId="0" fontId="82" fillId="0" borderId="245" xfId="4" applyFont="1" applyBorder="1"/>
    <xf numFmtId="167" fontId="82" fillId="0" borderId="246" xfId="4" applyNumberFormat="1" applyFont="1" applyBorder="1"/>
    <xf numFmtId="167" fontId="82" fillId="0" borderId="247" xfId="4" applyNumberFormat="1" applyFont="1" applyBorder="1"/>
    <xf numFmtId="167" fontId="82" fillId="0" borderId="248" xfId="4" applyNumberFormat="1" applyFont="1" applyBorder="1"/>
    <xf numFmtId="167" fontId="82" fillId="0" borderId="249" xfId="4" applyNumberFormat="1" applyFont="1" applyBorder="1"/>
    <xf numFmtId="167" fontId="82" fillId="0" borderId="250" xfId="4" applyNumberFormat="1" applyFont="1" applyBorder="1"/>
    <xf numFmtId="9" fontId="82" fillId="0" borderId="251" xfId="4" applyNumberFormat="1" applyFont="1" applyBorder="1"/>
    <xf numFmtId="0" fontId="82" fillId="0" borderId="227" xfId="4" applyFont="1" applyFill="1" applyBorder="1" applyAlignment="1">
      <alignment horizontal="center" vertical="center"/>
    </xf>
    <xf numFmtId="0" fontId="82" fillId="0" borderId="228" xfId="4" applyFont="1" applyFill="1" applyBorder="1" applyAlignment="1">
      <alignment horizontal="center" vertical="center"/>
    </xf>
    <xf numFmtId="9" fontId="82" fillId="0" borderId="229" xfId="4" applyNumberFormat="1" applyFont="1" applyBorder="1"/>
    <xf numFmtId="9" fontId="82" fillId="0" borderId="230" xfId="4" applyNumberFormat="1" applyFont="1" applyBorder="1"/>
    <xf numFmtId="9" fontId="82" fillId="0" borderId="231" xfId="4" applyNumberFormat="1" applyFont="1" applyBorder="1"/>
    <xf numFmtId="167" fontId="82" fillId="0" borderId="229" xfId="4" applyNumberFormat="1" applyFont="1" applyBorder="1"/>
    <xf numFmtId="167" fontId="82" fillId="0" borderId="230" xfId="4" applyNumberFormat="1" applyFont="1" applyBorder="1"/>
    <xf numFmtId="167" fontId="82" fillId="0" borderId="231" xfId="4" applyNumberFormat="1" applyFont="1" applyBorder="1"/>
    <xf numFmtId="10" fontId="5" fillId="0" borderId="0" xfId="4" applyNumberFormat="1" applyFont="1"/>
    <xf numFmtId="0" fontId="9" fillId="0" borderId="252" xfId="1" applyFont="1" applyBorder="1" applyAlignment="1">
      <alignment horizontal="left" vertical="top"/>
    </xf>
    <xf numFmtId="0" fontId="84" fillId="0" borderId="5" xfId="1" applyFont="1" applyBorder="1" applyAlignment="1">
      <alignment horizontal="center" vertical="center"/>
    </xf>
    <xf numFmtId="0" fontId="84" fillId="0" borderId="252" xfId="1" applyFont="1" applyBorder="1" applyAlignment="1">
      <alignment horizontal="center" vertical="center"/>
    </xf>
    <xf numFmtId="0" fontId="84" fillId="0" borderId="0" xfId="1" applyFont="1" applyAlignment="1">
      <alignment horizontal="center" vertical="center"/>
    </xf>
    <xf numFmtId="0" fontId="0" fillId="6" borderId="208" xfId="9" applyFont="1" applyFill="1" applyBorder="1" applyAlignment="1" applyProtection="1">
      <alignment horizontal="center" vertical="center" wrapText="1"/>
    </xf>
    <xf numFmtId="0" fontId="9" fillId="0" borderId="5" xfId="1" applyFont="1" applyBorder="1" applyAlignment="1">
      <alignment horizontal="left" vertical="center"/>
    </xf>
    <xf numFmtId="0" fontId="9" fillId="0" borderId="5" xfId="1" applyFont="1" applyBorder="1" applyAlignment="1">
      <alignment horizontal="left" vertical="center" wrapText="1"/>
    </xf>
    <xf numFmtId="14" fontId="9" fillId="0" borderId="5" xfId="1" applyNumberFormat="1" applyFont="1" applyBorder="1" applyAlignment="1">
      <alignment horizontal="left" vertical="center"/>
    </xf>
    <xf numFmtId="0" fontId="9" fillId="0" borderId="252" xfId="1" applyFont="1" applyBorder="1" applyAlignment="1">
      <alignment horizontal="left" vertical="center"/>
    </xf>
    <xf numFmtId="0" fontId="0" fillId="6" borderId="254" xfId="9" applyFont="1" applyFill="1" applyBorder="1" applyAlignment="1" applyProtection="1">
      <alignment horizontal="center"/>
    </xf>
    <xf numFmtId="0" fontId="7" fillId="0" borderId="0" xfId="4" applyNumberFormat="1"/>
    <xf numFmtId="0" fontId="0" fillId="6" borderId="213" xfId="9" applyFont="1" applyFill="1" applyBorder="1" applyAlignment="1" applyProtection="1">
      <alignment horizontal="center" vertical="center" wrapText="1"/>
    </xf>
    <xf numFmtId="0" fontId="57" fillId="6" borderId="196" xfId="9" applyFont="1" applyFill="1" applyBorder="1" applyAlignment="1" applyProtection="1">
      <alignment horizontal="center" wrapText="1"/>
    </xf>
    <xf numFmtId="10" fontId="7" fillId="0" borderId="0" xfId="82" applyNumberFormat="1" applyFill="1" applyBorder="1" applyAlignment="1" applyProtection="1"/>
    <xf numFmtId="0" fontId="64" fillId="6" borderId="196" xfId="9" applyFont="1" applyFill="1" applyBorder="1" applyAlignment="1" applyProtection="1">
      <alignment horizontal="center"/>
    </xf>
    <xf numFmtId="0" fontId="64" fillId="6" borderId="196" xfId="9" applyFont="1" applyFill="1" applyBorder="1" applyAlignment="1" applyProtection="1">
      <alignment horizontal="center" wrapText="1"/>
    </xf>
    <xf numFmtId="0" fontId="60" fillId="0" borderId="0" xfId="4" applyFont="1"/>
    <xf numFmtId="0" fontId="64" fillId="14" borderId="196" xfId="9" applyFont="1" applyFill="1" applyBorder="1" applyAlignment="1" applyProtection="1">
      <alignment horizontal="center" vertical="center" wrapText="1"/>
    </xf>
    <xf numFmtId="0" fontId="64" fillId="14" borderId="255" xfId="9" applyFont="1" applyFill="1" applyBorder="1" applyAlignment="1" applyProtection="1">
      <alignment horizontal="center" vertical="center" wrapText="1"/>
    </xf>
    <xf numFmtId="0" fontId="85" fillId="14" borderId="257" xfId="4" applyFont="1" applyFill="1" applyBorder="1" applyAlignment="1" applyProtection="1">
      <alignment horizontal="center" vertical="center" wrapText="1"/>
      <protection locked="0"/>
    </xf>
    <xf numFmtId="0" fontId="57" fillId="6" borderId="208" xfId="9" applyFont="1" applyFill="1" applyBorder="1" applyAlignment="1" applyProtection="1">
      <alignment horizontal="center" vertical="center" wrapText="1"/>
    </xf>
    <xf numFmtId="9" fontId="59" fillId="6" borderId="208" xfId="9" applyNumberFormat="1" applyFont="1" applyFill="1" applyBorder="1" applyAlignment="1" applyProtection="1">
      <alignment horizontal="center" vertical="center" wrapText="1"/>
    </xf>
    <xf numFmtId="0" fontId="58" fillId="16" borderId="208" xfId="9" applyNumberFormat="1" applyFont="1" applyFill="1" applyBorder="1" applyAlignment="1" applyProtection="1">
      <alignment horizontal="center" vertical="center" wrapText="1"/>
    </xf>
    <xf numFmtId="0" fontId="0" fillId="16" borderId="208" xfId="9" applyNumberFormat="1" applyFont="1" applyFill="1" applyBorder="1" applyAlignment="1" applyProtection="1">
      <alignment horizontal="center" vertical="center" wrapText="1"/>
    </xf>
    <xf numFmtId="9" fontId="57" fillId="16" borderId="119" xfId="82" applyFont="1" applyFill="1" applyBorder="1" applyAlignment="1" applyProtection="1">
      <alignment horizontal="center" vertical="center" wrapText="1"/>
    </xf>
    <xf numFmtId="0" fontId="58" fillId="6" borderId="208" xfId="9" applyNumberFormat="1" applyFont="1" applyFill="1" applyBorder="1" applyAlignment="1" applyProtection="1">
      <alignment horizontal="center" vertical="center" wrapText="1"/>
    </xf>
    <xf numFmtId="0" fontId="0" fillId="6" borderId="208" xfId="9" applyNumberFormat="1" applyFont="1" applyFill="1" applyBorder="1" applyAlignment="1" applyProtection="1">
      <alignment horizontal="center" vertical="center" wrapText="1"/>
    </xf>
    <xf numFmtId="9" fontId="57" fillId="6" borderId="208" xfId="82" applyFont="1" applyFill="1" applyBorder="1" applyAlignment="1" applyProtection="1">
      <alignment horizontal="center" vertical="center" wrapText="1"/>
    </xf>
    <xf numFmtId="1" fontId="60" fillId="16" borderId="208" xfId="9" applyNumberFormat="1" applyFont="1" applyFill="1" applyBorder="1" applyAlignment="1" applyProtection="1">
      <alignment horizontal="center" vertical="center" wrapText="1"/>
    </xf>
    <xf numFmtId="9" fontId="60" fillId="16" borderId="119" xfId="82" applyFont="1" applyFill="1" applyBorder="1" applyAlignment="1" applyProtection="1">
      <alignment horizontal="center" vertical="center" wrapText="1"/>
    </xf>
    <xf numFmtId="9" fontId="60" fillId="16" borderId="208" xfId="82" applyFont="1" applyFill="1" applyBorder="1" applyAlignment="1" applyProtection="1">
      <alignment horizontal="center" vertical="center" wrapText="1"/>
    </xf>
    <xf numFmtId="176" fontId="57" fillId="6" borderId="208" xfId="3" applyNumberFormat="1" applyFont="1" applyFill="1" applyBorder="1" applyAlignment="1" applyProtection="1">
      <alignment horizontal="center" vertical="center" wrapText="1"/>
    </xf>
    <xf numFmtId="176" fontId="57" fillId="6" borderId="208" xfId="9" applyNumberFormat="1" applyFont="1" applyFill="1" applyBorder="1" applyAlignment="1" applyProtection="1">
      <alignment horizontal="center" vertical="center" wrapText="1"/>
    </xf>
    <xf numFmtId="10" fontId="57" fillId="6" borderId="208" xfId="9" applyNumberFormat="1" applyFont="1" applyFill="1" applyBorder="1" applyAlignment="1" applyProtection="1">
      <alignment horizontal="center" vertical="center" wrapText="1"/>
    </xf>
    <xf numFmtId="0" fontId="7" fillId="21" borderId="208" xfId="4" applyFont="1" applyFill="1" applyBorder="1" applyAlignment="1" applyProtection="1">
      <alignment horizontal="center" vertical="center" wrapText="1"/>
      <protection locked="0"/>
    </xf>
    <xf numFmtId="9" fontId="7" fillId="21" borderId="208" xfId="4" applyNumberFormat="1" applyFont="1" applyFill="1" applyBorder="1" applyAlignment="1">
      <alignment horizontal="center" vertical="center" wrapText="1"/>
    </xf>
    <xf numFmtId="0" fontId="7" fillId="0" borderId="208" xfId="4" applyFont="1" applyBorder="1" applyAlignment="1" applyProtection="1">
      <alignment horizontal="center" vertical="center" wrapText="1"/>
      <protection locked="0"/>
    </xf>
    <xf numFmtId="0" fontId="7" fillId="0" borderId="208" xfId="4" applyFont="1" applyBorder="1" applyAlignment="1">
      <alignment horizontal="justify" vertical="center" wrapText="1"/>
    </xf>
    <xf numFmtId="0" fontId="7" fillId="0" borderId="208" xfId="4" applyFont="1" applyBorder="1" applyAlignment="1">
      <alignment horizontal="center" vertical="center" wrapText="1"/>
    </xf>
    <xf numFmtId="0" fontId="7" fillId="6" borderId="208" xfId="4" applyFont="1" applyFill="1" applyBorder="1" applyAlignment="1" applyProtection="1">
      <alignment horizontal="center" vertical="center" wrapText="1"/>
      <protection locked="0"/>
    </xf>
    <xf numFmtId="9" fontId="7" fillId="6" borderId="208" xfId="4" applyNumberFormat="1" applyFont="1" applyFill="1" applyBorder="1" applyAlignment="1">
      <alignment horizontal="left" vertical="top" wrapText="1"/>
    </xf>
    <xf numFmtId="9" fontId="7" fillId="0" borderId="208" xfId="4" applyNumberFormat="1" applyFont="1" applyFill="1" applyBorder="1" applyAlignment="1">
      <alignment horizontal="left" vertical="top" wrapText="1"/>
    </xf>
    <xf numFmtId="9" fontId="57" fillId="16" borderId="208" xfId="82" applyFont="1" applyFill="1" applyBorder="1" applyAlignment="1" applyProtection="1">
      <alignment horizontal="center" vertical="center" wrapText="1"/>
    </xf>
    <xf numFmtId="9" fontId="7" fillId="21" borderId="208" xfId="4" applyNumberFormat="1" applyFont="1" applyFill="1" applyBorder="1" applyAlignment="1">
      <alignment horizontal="justify" vertical="center" wrapText="1"/>
    </xf>
    <xf numFmtId="0" fontId="7" fillId="6" borderId="208" xfId="4" applyFont="1" applyFill="1" applyBorder="1" applyAlignment="1">
      <alignment horizontal="justify" vertical="center" wrapText="1"/>
    </xf>
    <xf numFmtId="0" fontId="64" fillId="15" borderId="208" xfId="9" applyFont="1" applyFill="1" applyBorder="1" applyAlignment="1" applyProtection="1">
      <alignment horizontal="center" vertical="center" wrapText="1"/>
    </xf>
    <xf numFmtId="0" fontId="57" fillId="0" borderId="208" xfId="9" applyFont="1" applyFill="1" applyBorder="1" applyAlignment="1" applyProtection="1">
      <alignment horizontal="center" vertical="center" wrapText="1"/>
    </xf>
    <xf numFmtId="9" fontId="62" fillId="0" borderId="208" xfId="82" applyNumberFormat="1" applyFont="1" applyFill="1" applyBorder="1" applyAlignment="1" applyProtection="1">
      <alignment horizontal="center" vertical="center" wrapText="1"/>
    </xf>
    <xf numFmtId="0" fontId="0" fillId="0" borderId="208" xfId="9" applyFont="1" applyFill="1" applyBorder="1" applyAlignment="1" applyProtection="1">
      <alignment horizontal="center" vertical="center" wrapText="1"/>
    </xf>
    <xf numFmtId="9" fontId="58" fillId="16" borderId="208" xfId="9" applyNumberFormat="1" applyFont="1" applyFill="1" applyBorder="1" applyAlignment="1" applyProtection="1">
      <alignment horizontal="center" vertical="center" wrapText="1"/>
    </xf>
    <xf numFmtId="9" fontId="0" fillId="16" borderId="208" xfId="82" applyFont="1" applyFill="1" applyBorder="1" applyAlignment="1" applyProtection="1">
      <alignment horizontal="center" vertical="center" wrapText="1"/>
    </xf>
    <xf numFmtId="9" fontId="58" fillId="0" borderId="208" xfId="9" applyNumberFormat="1" applyFont="1" applyFill="1" applyBorder="1" applyAlignment="1" applyProtection="1">
      <alignment horizontal="center" vertical="center" wrapText="1"/>
    </xf>
    <xf numFmtId="9" fontId="0" fillId="0" borderId="208" xfId="9" applyNumberFormat="1" applyFont="1" applyFill="1" applyBorder="1" applyAlignment="1" applyProtection="1">
      <alignment horizontal="center" vertical="center" wrapText="1"/>
    </xf>
    <xf numFmtId="9" fontId="57" fillId="0" borderId="208" xfId="82" applyFont="1" applyFill="1" applyBorder="1" applyAlignment="1" applyProtection="1">
      <alignment horizontal="center" vertical="center" wrapText="1"/>
    </xf>
    <xf numFmtId="0" fontId="0" fillId="0" borderId="208" xfId="9" applyNumberFormat="1" applyFont="1" applyFill="1" applyBorder="1" applyAlignment="1" applyProtection="1">
      <alignment horizontal="center" vertical="center" wrapText="1"/>
    </xf>
    <xf numFmtId="9" fontId="60" fillId="16" borderId="208" xfId="82" applyNumberFormat="1" applyFont="1" applyFill="1" applyBorder="1" applyAlignment="1" applyProtection="1">
      <alignment horizontal="center" vertical="center" wrapText="1"/>
    </xf>
    <xf numFmtId="9" fontId="60" fillId="0" borderId="208" xfId="82" applyFont="1" applyFill="1" applyBorder="1" applyAlignment="1" applyProtection="1">
      <alignment horizontal="center" vertical="center" wrapText="1"/>
    </xf>
    <xf numFmtId="0" fontId="57" fillId="0" borderId="208" xfId="9" applyFont="1" applyFill="1" applyBorder="1" applyAlignment="1">
      <alignment horizontal="center" vertical="center" wrapText="1"/>
    </xf>
    <xf numFmtId="9" fontId="7" fillId="21" borderId="208" xfId="4" applyNumberFormat="1" applyFont="1" applyFill="1" applyBorder="1" applyAlignment="1" applyProtection="1">
      <alignment horizontal="center" vertical="center" wrapText="1"/>
      <protection locked="0"/>
    </xf>
    <xf numFmtId="0" fontId="7" fillId="21" borderId="208" xfId="4" applyFont="1" applyFill="1" applyBorder="1" applyAlignment="1">
      <alignment horizontal="justify" vertical="center" wrapText="1"/>
    </xf>
    <xf numFmtId="10" fontId="7" fillId="0" borderId="208" xfId="4" applyNumberFormat="1" applyFont="1" applyFill="1" applyBorder="1" applyAlignment="1" applyProtection="1">
      <alignment horizontal="center" vertical="center" wrapText="1"/>
      <protection locked="0"/>
    </xf>
    <xf numFmtId="9" fontId="7" fillId="0" borderId="208" xfId="4" applyNumberFormat="1" applyFont="1" applyFill="1" applyBorder="1" applyAlignment="1" applyProtection="1">
      <alignment horizontal="center" vertical="center" wrapText="1"/>
      <protection locked="0"/>
    </xf>
    <xf numFmtId="9" fontId="7" fillId="0" borderId="208" xfId="4" applyNumberFormat="1" applyFont="1" applyFill="1" applyBorder="1" applyAlignment="1">
      <alignment horizontal="center" vertical="center" wrapText="1"/>
    </xf>
    <xf numFmtId="0" fontId="7" fillId="0" borderId="208" xfId="4" applyFont="1" applyFill="1" applyBorder="1" applyAlignment="1" applyProtection="1">
      <alignment horizontal="center" vertical="center" wrapText="1"/>
      <protection locked="0"/>
    </xf>
    <xf numFmtId="9" fontId="62" fillId="6" borderId="208" xfId="82" applyNumberFormat="1" applyFont="1" applyFill="1" applyBorder="1" applyAlignment="1" applyProtection="1">
      <alignment horizontal="center" vertical="center" wrapText="1"/>
    </xf>
    <xf numFmtId="9" fontId="58" fillId="6" borderId="208" xfId="9" applyNumberFormat="1" applyFont="1" applyFill="1" applyBorder="1" applyAlignment="1" applyProtection="1">
      <alignment horizontal="center" vertical="center" wrapText="1"/>
    </xf>
    <xf numFmtId="9" fontId="0" fillId="6" borderId="208" xfId="82" applyFont="1" applyFill="1" applyBorder="1" applyAlignment="1" applyProtection="1">
      <alignment horizontal="center" vertical="center" wrapText="1"/>
    </xf>
    <xf numFmtId="9" fontId="64" fillId="16" borderId="208" xfId="82" applyFont="1" applyFill="1" applyBorder="1" applyAlignment="1" applyProtection="1">
      <alignment horizontal="center" vertical="center" wrapText="1"/>
    </xf>
    <xf numFmtId="10" fontId="0" fillId="6" borderId="208" xfId="9" applyNumberFormat="1" applyFont="1" applyFill="1" applyBorder="1" applyAlignment="1" applyProtection="1">
      <alignment horizontal="center" vertical="center" wrapText="1"/>
    </xf>
    <xf numFmtId="9" fontId="7" fillId="0" borderId="208" xfId="4" applyNumberFormat="1" applyFont="1" applyBorder="1" applyAlignment="1" applyProtection="1">
      <alignment horizontal="center" vertical="center" wrapText="1"/>
      <protection locked="0"/>
    </xf>
    <xf numFmtId="0" fontId="7" fillId="0" borderId="208" xfId="4" applyFont="1" applyFill="1" applyBorder="1" applyAlignment="1">
      <alignment horizontal="justify" vertical="center" wrapText="1"/>
    </xf>
    <xf numFmtId="10" fontId="7" fillId="0" borderId="208" xfId="4" applyNumberFormat="1" applyFont="1" applyBorder="1" applyAlignment="1" applyProtection="1">
      <alignment horizontal="center" vertical="center" wrapText="1"/>
      <protection locked="0"/>
    </xf>
    <xf numFmtId="9" fontId="7" fillId="0" borderId="208" xfId="4" applyNumberFormat="1" applyFont="1" applyFill="1" applyBorder="1" applyAlignment="1">
      <alignment horizontal="center" vertical="top" wrapText="1"/>
    </xf>
    <xf numFmtId="9" fontId="0" fillId="0" borderId="208" xfId="82" applyFont="1" applyFill="1" applyBorder="1" applyAlignment="1" applyProtection="1">
      <alignment horizontal="center" vertical="center" wrapText="1"/>
    </xf>
    <xf numFmtId="10" fontId="0" fillId="0" borderId="208" xfId="9" applyNumberFormat="1" applyFont="1" applyFill="1" applyBorder="1" applyAlignment="1" applyProtection="1">
      <alignment horizontal="center" vertical="center" wrapText="1"/>
    </xf>
    <xf numFmtId="10" fontId="57" fillId="0" borderId="208" xfId="9" applyNumberFormat="1" applyFont="1" applyFill="1" applyBorder="1" applyAlignment="1" applyProtection="1">
      <alignment horizontal="center" vertical="center" wrapText="1"/>
    </xf>
    <xf numFmtId="10" fontId="74" fillId="0" borderId="208" xfId="4" applyNumberFormat="1" applyFont="1" applyFill="1" applyBorder="1" applyAlignment="1" applyProtection="1">
      <alignment horizontal="center" vertical="center" wrapText="1"/>
      <protection locked="0"/>
    </xf>
    <xf numFmtId="9" fontId="7" fillId="0" borderId="208" xfId="4" applyNumberFormat="1" applyFont="1" applyFill="1" applyBorder="1" applyAlignment="1">
      <alignment horizontal="justify" vertical="center" wrapText="1"/>
    </xf>
    <xf numFmtId="0" fontId="7" fillId="0" borderId="208" xfId="4" applyNumberFormat="1" applyFont="1" applyFill="1" applyBorder="1" applyAlignment="1">
      <alignment horizontal="center" vertical="center" wrapText="1"/>
    </xf>
    <xf numFmtId="9" fontId="7" fillId="6" borderId="208" xfId="4" applyNumberFormat="1" applyFont="1" applyFill="1" applyBorder="1" applyAlignment="1" applyProtection="1">
      <alignment horizontal="center" vertical="center" wrapText="1"/>
    </xf>
    <xf numFmtId="9" fontId="7" fillId="0" borderId="208" xfId="4" applyNumberFormat="1" applyFont="1" applyBorder="1" applyAlignment="1">
      <alignment horizontal="center" vertical="center" wrapText="1"/>
    </xf>
    <xf numFmtId="9" fontId="0" fillId="0" borderId="208" xfId="82" applyNumberFormat="1" applyFont="1" applyFill="1" applyBorder="1" applyAlignment="1" applyProtection="1">
      <alignment horizontal="center" vertical="center" wrapText="1"/>
      <protection locked="0"/>
    </xf>
    <xf numFmtId="0" fontId="57" fillId="14" borderId="208" xfId="9" applyFont="1" applyFill="1" applyBorder="1" applyAlignment="1" applyProtection="1">
      <alignment horizontal="center" vertical="center" wrapText="1"/>
    </xf>
    <xf numFmtId="10" fontId="62" fillId="6" borderId="208" xfId="82" applyNumberFormat="1" applyFont="1" applyFill="1" applyBorder="1" applyAlignment="1" applyProtection="1">
      <alignment horizontal="center" vertical="center" wrapText="1"/>
    </xf>
    <xf numFmtId="9" fontId="0" fillId="16" borderId="208" xfId="9" applyNumberFormat="1" applyFont="1" applyFill="1" applyBorder="1" applyAlignment="1" applyProtection="1">
      <alignment horizontal="center" vertical="center" wrapText="1"/>
    </xf>
    <xf numFmtId="9" fontId="0" fillId="6" borderId="208" xfId="9" applyNumberFormat="1" applyFont="1" applyFill="1" applyBorder="1" applyAlignment="1" applyProtection="1">
      <alignment horizontal="center" vertical="center" wrapText="1"/>
    </xf>
    <xf numFmtId="9" fontId="60" fillId="16" borderId="208" xfId="9" applyNumberFormat="1" applyFont="1" applyFill="1" applyBorder="1" applyAlignment="1" applyProtection="1">
      <alignment horizontal="center" vertical="center" wrapText="1"/>
    </xf>
    <xf numFmtId="9" fontId="7" fillId="0" borderId="208" xfId="4" applyNumberFormat="1" applyFont="1" applyBorder="1" applyAlignment="1">
      <alignment horizontal="justify" vertical="center" wrapText="1"/>
    </xf>
    <xf numFmtId="0" fontId="76" fillId="6" borderId="208" xfId="9" applyFont="1" applyFill="1" applyBorder="1" applyAlignment="1" applyProtection="1">
      <alignment horizontal="center" vertical="center" wrapText="1"/>
    </xf>
    <xf numFmtId="0" fontId="0" fillId="16" borderId="208" xfId="82" applyNumberFormat="1" applyFont="1" applyFill="1" applyBorder="1" applyAlignment="1" applyProtection="1">
      <alignment horizontal="center" vertical="center" wrapText="1"/>
    </xf>
    <xf numFmtId="0" fontId="0" fillId="6" borderId="208" xfId="82" applyNumberFormat="1" applyFont="1" applyFill="1" applyBorder="1" applyAlignment="1" applyProtection="1">
      <alignment horizontal="center" vertical="center" wrapText="1"/>
    </xf>
    <xf numFmtId="0" fontId="60" fillId="16" borderId="208" xfId="82" applyNumberFormat="1" applyFont="1" applyFill="1" applyBorder="1" applyAlignment="1" applyProtection="1">
      <alignment horizontal="center" vertical="center" wrapText="1"/>
    </xf>
    <xf numFmtId="0" fontId="7" fillId="21" borderId="208" xfId="4" applyNumberFormat="1" applyFont="1" applyFill="1" applyBorder="1" applyAlignment="1" applyProtection="1">
      <alignment horizontal="center" vertical="center" wrapText="1"/>
      <protection locked="0"/>
    </xf>
    <xf numFmtId="0" fontId="7" fillId="0" borderId="208" xfId="4" applyNumberFormat="1" applyFont="1" applyBorder="1" applyAlignment="1" applyProtection="1">
      <alignment horizontal="center" vertical="center" wrapText="1"/>
      <protection locked="0"/>
    </xf>
    <xf numFmtId="0" fontId="7" fillId="0" borderId="208" xfId="4" applyFont="1" applyFill="1" applyBorder="1" applyAlignment="1">
      <alignment horizontal="center" vertical="center" wrapText="1"/>
    </xf>
    <xf numFmtId="9" fontId="7" fillId="6" borderId="208" xfId="4" applyNumberFormat="1" applyFont="1" applyFill="1" applyBorder="1" applyAlignment="1">
      <alignment horizontal="justify" vertical="center" wrapText="1"/>
    </xf>
    <xf numFmtId="0" fontId="57" fillId="6" borderId="208" xfId="82" applyNumberFormat="1" applyFont="1" applyFill="1" applyBorder="1" applyAlignment="1" applyProtection="1">
      <alignment horizontal="center" vertical="center" wrapText="1"/>
    </xf>
    <xf numFmtId="0" fontId="57" fillId="6" borderId="208" xfId="4" applyNumberFormat="1" applyFont="1" applyFill="1" applyBorder="1" applyAlignment="1" applyProtection="1">
      <alignment horizontal="center" vertical="center" wrapText="1"/>
      <protection locked="0"/>
    </xf>
    <xf numFmtId="0" fontId="57" fillId="0" borderId="208" xfId="4" applyNumberFormat="1" applyFont="1" applyFill="1" applyBorder="1" applyAlignment="1" applyProtection="1">
      <alignment horizontal="center" vertical="center" wrapText="1"/>
      <protection locked="0"/>
    </xf>
    <xf numFmtId="0" fontId="7" fillId="0" borderId="208" xfId="4" applyNumberFormat="1" applyFont="1" applyFill="1" applyBorder="1" applyAlignment="1" applyProtection="1">
      <alignment horizontal="center" vertical="center" wrapText="1"/>
      <protection locked="0"/>
    </xf>
    <xf numFmtId="9" fontId="57" fillId="0" borderId="208" xfId="4" applyNumberFormat="1" applyFont="1" applyFill="1" applyBorder="1" applyAlignment="1">
      <alignment horizontal="left" vertical="top" wrapText="1"/>
    </xf>
    <xf numFmtId="10" fontId="57" fillId="16" borderId="208" xfId="82" applyNumberFormat="1" applyFont="1" applyFill="1" applyBorder="1" applyAlignment="1" applyProtection="1">
      <alignment horizontal="center" vertical="center" wrapText="1"/>
    </xf>
    <xf numFmtId="10" fontId="57" fillId="6" borderId="208" xfId="82" applyNumberFormat="1" applyFont="1" applyFill="1" applyBorder="1" applyAlignment="1" applyProtection="1">
      <alignment horizontal="center" vertical="center" wrapText="1"/>
    </xf>
    <xf numFmtId="10" fontId="60" fillId="16" borderId="208" xfId="82" applyNumberFormat="1" applyFont="1" applyFill="1" applyBorder="1" applyAlignment="1" applyProtection="1">
      <alignment horizontal="center" vertical="center" wrapText="1"/>
    </xf>
    <xf numFmtId="9" fontId="7" fillId="0" borderId="208" xfId="4" applyNumberFormat="1" applyFont="1" applyFill="1" applyBorder="1" applyAlignment="1">
      <alignment horizontal="justify" vertical="top" wrapText="1"/>
    </xf>
    <xf numFmtId="0" fontId="8" fillId="0" borderId="208" xfId="9" applyFont="1" applyFill="1" applyBorder="1" applyAlignment="1" applyProtection="1">
      <alignment horizontal="center" vertical="center" wrapText="1"/>
    </xf>
    <xf numFmtId="0" fontId="57" fillId="16" borderId="208" xfId="82" applyNumberFormat="1" applyFont="1" applyFill="1" applyBorder="1" applyAlignment="1" applyProtection="1">
      <alignment horizontal="center" vertical="center" wrapText="1"/>
    </xf>
    <xf numFmtId="0" fontId="7" fillId="21" borderId="208" xfId="4" applyNumberFormat="1" applyFont="1" applyFill="1" applyBorder="1" applyAlignment="1">
      <alignment horizontal="justify" vertical="center" wrapText="1"/>
    </xf>
    <xf numFmtId="0" fontId="7" fillId="0" borderId="208" xfId="4" applyNumberFormat="1" applyFont="1" applyBorder="1" applyAlignment="1">
      <alignment horizontal="justify" vertical="center" wrapText="1"/>
    </xf>
    <xf numFmtId="0" fontId="7" fillId="0" borderId="208" xfId="4" applyNumberFormat="1" applyFont="1" applyBorder="1" applyAlignment="1">
      <alignment horizontal="center" vertical="center" wrapText="1"/>
    </xf>
    <xf numFmtId="0" fontId="7" fillId="0" borderId="208" xfId="4" applyNumberFormat="1" applyFont="1" applyFill="1" applyBorder="1" applyAlignment="1">
      <alignment horizontal="justify" vertical="top" wrapText="1"/>
    </xf>
    <xf numFmtId="0" fontId="7" fillId="14" borderId="208" xfId="4" applyFill="1" applyBorder="1"/>
    <xf numFmtId="0" fontId="58" fillId="16" borderId="208" xfId="82" applyNumberFormat="1" applyFont="1" applyFill="1" applyBorder="1" applyAlignment="1" applyProtection="1">
      <alignment horizontal="center" vertical="center" wrapText="1"/>
    </xf>
    <xf numFmtId="0" fontId="58" fillId="6" borderId="208" xfId="82" applyNumberFormat="1" applyFont="1" applyFill="1" applyBorder="1" applyAlignment="1" applyProtection="1">
      <alignment horizontal="center" vertical="center" wrapText="1"/>
    </xf>
    <xf numFmtId="1" fontId="7" fillId="6" borderId="208" xfId="82" applyNumberFormat="1" applyFill="1" applyBorder="1" applyAlignment="1" applyProtection="1">
      <alignment horizontal="center" vertical="center" wrapText="1"/>
    </xf>
    <xf numFmtId="1" fontId="60" fillId="16" borderId="208" xfId="82" applyNumberFormat="1" applyFont="1" applyFill="1" applyBorder="1" applyAlignment="1" applyProtection="1">
      <alignment horizontal="center" vertical="center" wrapText="1"/>
    </xf>
    <xf numFmtId="1" fontId="87" fillId="6" borderId="208" xfId="4" applyNumberFormat="1" applyFont="1" applyFill="1" applyBorder="1" applyAlignment="1">
      <alignment horizontal="center" vertical="center" wrapText="1"/>
    </xf>
    <xf numFmtId="9" fontId="69" fillId="6" borderId="208" xfId="4" applyNumberFormat="1" applyFont="1" applyFill="1" applyBorder="1" applyAlignment="1">
      <alignment horizontal="center" vertical="center" wrapText="1"/>
    </xf>
    <xf numFmtId="9" fontId="7" fillId="17" borderId="208" xfId="4" applyNumberFormat="1" applyFont="1" applyFill="1" applyBorder="1" applyAlignment="1">
      <alignment horizontal="center" vertical="center" wrapText="1"/>
    </xf>
    <xf numFmtId="9" fontId="88" fillId="6" borderId="208" xfId="4" applyNumberFormat="1" applyFont="1" applyFill="1" applyBorder="1" applyAlignment="1">
      <alignment horizontal="center" vertical="center" wrapText="1"/>
    </xf>
    <xf numFmtId="10" fontId="62" fillId="0" borderId="208" xfId="82" applyNumberFormat="1" applyFont="1" applyFill="1" applyBorder="1" applyAlignment="1" applyProtection="1">
      <alignment horizontal="center" vertical="center" wrapText="1"/>
    </xf>
    <xf numFmtId="9" fontId="58" fillId="16" borderId="208" xfId="82" applyNumberFormat="1" applyFont="1" applyFill="1" applyBorder="1" applyAlignment="1" applyProtection="1">
      <alignment horizontal="center" vertical="center" wrapText="1"/>
    </xf>
    <xf numFmtId="9" fontId="58" fillId="0" borderId="208" xfId="82" applyNumberFormat="1" applyFont="1" applyFill="1" applyBorder="1" applyAlignment="1" applyProtection="1">
      <alignment horizontal="center" vertical="center" wrapText="1"/>
    </xf>
    <xf numFmtId="1" fontId="0" fillId="0" borderId="208" xfId="9" applyNumberFormat="1" applyFont="1" applyFill="1" applyBorder="1" applyAlignment="1" applyProtection="1">
      <alignment horizontal="center" vertical="center" wrapText="1"/>
    </xf>
    <xf numFmtId="1" fontId="58" fillId="16" borderId="208" xfId="82" applyNumberFormat="1" applyFont="1" applyFill="1" applyBorder="1" applyAlignment="1" applyProtection="1">
      <alignment horizontal="center" vertical="center" wrapText="1"/>
    </xf>
    <xf numFmtId="1" fontId="58" fillId="0" borderId="208" xfId="82" applyNumberFormat="1" applyFont="1" applyFill="1" applyBorder="1" applyAlignment="1" applyProtection="1">
      <alignment horizontal="center" vertical="center" wrapText="1"/>
    </xf>
    <xf numFmtId="0" fontId="60" fillId="16" borderId="208" xfId="9" applyNumberFormat="1" applyFont="1" applyFill="1" applyBorder="1" applyAlignment="1" applyProtection="1">
      <alignment horizontal="center" vertical="center" wrapText="1"/>
    </xf>
    <xf numFmtId="0" fontId="57" fillId="6" borderId="208" xfId="9" applyFont="1" applyFill="1" applyBorder="1" applyAlignment="1">
      <alignment horizontal="center" vertical="center" wrapText="1"/>
    </xf>
    <xf numFmtId="0" fontId="57" fillId="0" borderId="208" xfId="4" applyFont="1" applyBorder="1" applyAlignment="1" applyProtection="1">
      <alignment horizontal="center" vertical="center" wrapText="1"/>
      <protection locked="0"/>
    </xf>
    <xf numFmtId="9" fontId="58" fillId="6" borderId="208" xfId="82" applyNumberFormat="1" applyFont="1" applyFill="1" applyBorder="1" applyAlignment="1" applyProtection="1">
      <alignment horizontal="center" vertical="center" wrapText="1"/>
    </xf>
    <xf numFmtId="10" fontId="7" fillId="21" borderId="208" xfId="4" applyNumberFormat="1" applyFont="1" applyFill="1" applyBorder="1" applyAlignment="1" applyProtection="1">
      <alignment horizontal="center" vertical="center" wrapText="1"/>
      <protection locked="0"/>
    </xf>
    <xf numFmtId="1" fontId="57" fillId="6" borderId="208" xfId="9" applyNumberFormat="1" applyFont="1" applyFill="1" applyBorder="1" applyAlignment="1" applyProtection="1">
      <alignment horizontal="center" vertical="center" wrapText="1"/>
    </xf>
    <xf numFmtId="0" fontId="57" fillId="0" borderId="208" xfId="4" applyFont="1" applyFill="1" applyBorder="1" applyAlignment="1" applyProtection="1">
      <alignment horizontal="center" vertical="center" wrapText="1"/>
      <protection locked="0"/>
    </xf>
    <xf numFmtId="9" fontId="58" fillId="16" borderId="208" xfId="82" applyFont="1" applyFill="1" applyBorder="1" applyAlignment="1" applyProtection="1">
      <alignment horizontal="center" vertical="center" wrapText="1"/>
    </xf>
    <xf numFmtId="9" fontId="58" fillId="6" borderId="208" xfId="82" applyFont="1" applyFill="1" applyBorder="1" applyAlignment="1" applyProtection="1">
      <alignment horizontal="center" vertical="center" wrapText="1"/>
    </xf>
    <xf numFmtId="0" fontId="0" fillId="6" borderId="208" xfId="9" applyFont="1" applyFill="1" applyBorder="1" applyAlignment="1" applyProtection="1">
      <alignment vertical="center" wrapText="1"/>
      <protection locked="0"/>
    </xf>
    <xf numFmtId="9" fontId="57" fillId="6" borderId="208" xfId="82" applyFont="1" applyFill="1" applyBorder="1" applyAlignment="1" applyProtection="1">
      <alignment horizontal="center" vertical="center" wrapText="1"/>
      <protection locked="0"/>
    </xf>
    <xf numFmtId="9" fontId="57" fillId="0" borderId="208" xfId="4" applyNumberFormat="1" applyFont="1" applyFill="1" applyBorder="1" applyAlignment="1">
      <alignment horizontal="center" vertical="center" wrapText="1"/>
    </xf>
    <xf numFmtId="9" fontId="57" fillId="6" borderId="208" xfId="4" applyNumberFormat="1" applyFont="1" applyFill="1" applyBorder="1" applyAlignment="1">
      <alignment horizontal="center" vertical="center" wrapText="1"/>
    </xf>
    <xf numFmtId="10" fontId="58" fillId="0" borderId="208" xfId="82" applyNumberFormat="1" applyFont="1" applyFill="1" applyBorder="1" applyAlignment="1" applyProtection="1">
      <alignment horizontal="center" vertical="center" wrapText="1"/>
    </xf>
    <xf numFmtId="10" fontId="0" fillId="0" borderId="208" xfId="82" applyNumberFormat="1" applyFont="1" applyFill="1" applyBorder="1" applyAlignment="1" applyProtection="1">
      <alignment horizontal="center" vertical="center" wrapText="1"/>
    </xf>
    <xf numFmtId="10" fontId="57" fillId="0" borderId="208" xfId="82" applyNumberFormat="1" applyFont="1" applyFill="1" applyBorder="1" applyAlignment="1" applyProtection="1">
      <alignment horizontal="center" vertical="center" wrapText="1"/>
    </xf>
    <xf numFmtId="0" fontId="0" fillId="0" borderId="208" xfId="9" applyFont="1" applyFill="1" applyBorder="1" applyAlignment="1" applyProtection="1">
      <alignment horizontal="center" vertical="center" wrapText="1"/>
      <protection locked="0"/>
    </xf>
    <xf numFmtId="10" fontId="57" fillId="0" borderId="208" xfId="82" applyNumberFormat="1" applyFont="1" applyFill="1" applyBorder="1" applyAlignment="1" applyProtection="1">
      <alignment horizontal="center" vertical="center" wrapText="1"/>
      <protection locked="0"/>
    </xf>
    <xf numFmtId="10" fontId="57" fillId="0" borderId="208" xfId="4" applyNumberFormat="1" applyFont="1" applyFill="1" applyBorder="1" applyAlignment="1" applyProtection="1">
      <alignment horizontal="center" vertical="center" wrapText="1"/>
      <protection locked="0"/>
    </xf>
    <xf numFmtId="9" fontId="57" fillId="0" borderId="208" xfId="4" applyNumberFormat="1" applyFont="1" applyFill="1" applyBorder="1" applyAlignment="1">
      <alignment horizontal="justify" vertical="center" wrapText="1"/>
    </xf>
    <xf numFmtId="1" fontId="58" fillId="6" borderId="208" xfId="82" applyNumberFormat="1" applyFont="1" applyFill="1" applyBorder="1" applyAlignment="1" applyProtection="1">
      <alignment horizontal="center" vertical="center" wrapText="1"/>
    </xf>
    <xf numFmtId="0" fontId="57" fillId="0" borderId="208" xfId="9" applyFont="1" applyBorder="1" applyAlignment="1">
      <alignment horizontal="center" vertical="center" wrapText="1"/>
    </xf>
    <xf numFmtId="0" fontId="8" fillId="6" borderId="208" xfId="9" applyFont="1" applyFill="1" applyBorder="1" applyAlignment="1" applyProtection="1">
      <alignment horizontal="center" vertical="center" wrapText="1"/>
    </xf>
    <xf numFmtId="10" fontId="58" fillId="16" borderId="208" xfId="9" applyNumberFormat="1" applyFont="1" applyFill="1" applyBorder="1" applyAlignment="1" applyProtection="1">
      <alignment horizontal="center" vertical="center" wrapText="1"/>
    </xf>
    <xf numFmtId="10" fontId="0" fillId="16" borderId="208" xfId="9" applyNumberFormat="1" applyFont="1" applyFill="1" applyBorder="1" applyAlignment="1" applyProtection="1">
      <alignment horizontal="center" vertical="center" wrapText="1"/>
    </xf>
    <xf numFmtId="10" fontId="58" fillId="6" borderId="208" xfId="9" applyNumberFormat="1" applyFont="1" applyFill="1" applyBorder="1" applyAlignment="1" applyProtection="1">
      <alignment horizontal="center" vertical="center" wrapText="1"/>
    </xf>
    <xf numFmtId="1" fontId="8" fillId="6" borderId="208" xfId="9" applyNumberFormat="1" applyFont="1" applyFill="1" applyBorder="1" applyAlignment="1" applyProtection="1">
      <alignment horizontal="center" vertical="center" wrapText="1"/>
    </xf>
    <xf numFmtId="10" fontId="8" fillId="6" borderId="208" xfId="9" applyNumberFormat="1" applyFont="1" applyFill="1" applyBorder="1" applyAlignment="1" applyProtection="1">
      <alignment horizontal="center" vertical="center" wrapText="1"/>
    </xf>
    <xf numFmtId="0" fontId="57" fillId="6" borderId="208" xfId="9" applyNumberFormat="1" applyFont="1" applyFill="1" applyBorder="1" applyAlignment="1" applyProtection="1">
      <alignment horizontal="center" vertical="center" wrapText="1"/>
    </xf>
    <xf numFmtId="0" fontId="7" fillId="0" borderId="119" xfId="4" applyBorder="1"/>
    <xf numFmtId="0" fontId="0" fillId="6" borderId="253" xfId="9" applyFont="1" applyFill="1" applyBorder="1" applyAlignment="1" applyProtection="1">
      <alignment horizontal="center" wrapText="1"/>
    </xf>
    <xf numFmtId="0" fontId="60" fillId="6" borderId="254" xfId="9" applyFont="1" applyFill="1" applyBorder="1" applyAlignment="1" applyProtection="1">
      <alignment horizontal="center"/>
    </xf>
    <xf numFmtId="0" fontId="60" fillId="6" borderId="213" xfId="9" applyFont="1" applyFill="1" applyBorder="1" applyAlignment="1" applyProtection="1">
      <alignment horizontal="center" vertical="center" wrapText="1"/>
    </xf>
    <xf numFmtId="0" fontId="60" fillId="14" borderId="196" xfId="9" applyFont="1" applyFill="1" applyBorder="1" applyAlignment="1" applyProtection="1">
      <alignment horizontal="center" wrapText="1"/>
    </xf>
    <xf numFmtId="0" fontId="57" fillId="6" borderId="196" xfId="9" applyFont="1" applyFill="1" applyBorder="1" applyAlignment="1" applyProtection="1">
      <alignment horizontal="center" wrapText="1"/>
    </xf>
    <xf numFmtId="0" fontId="64" fillId="14" borderId="253" xfId="9" applyFont="1" applyFill="1" applyBorder="1" applyAlignment="1" applyProtection="1">
      <alignment horizontal="center" vertical="center" textRotation="90" wrapText="1"/>
    </xf>
    <xf numFmtId="0" fontId="64" fillId="6" borderId="196" xfId="9" applyFont="1" applyFill="1" applyBorder="1" applyAlignment="1" applyProtection="1">
      <alignment horizontal="center"/>
    </xf>
    <xf numFmtId="0" fontId="60" fillId="14" borderId="196" xfId="9" applyFont="1" applyFill="1" applyBorder="1" applyAlignment="1" applyProtection="1">
      <alignment horizontal="center" vertical="center" wrapText="1"/>
    </xf>
    <xf numFmtId="174" fontId="64" fillId="6" borderId="196" xfId="9" applyNumberFormat="1" applyFont="1" applyFill="1" applyBorder="1" applyAlignment="1" applyProtection="1">
      <alignment horizontal="center" vertical="center"/>
    </xf>
    <xf numFmtId="0" fontId="64" fillId="6" borderId="196" xfId="9" applyFont="1" applyFill="1" applyBorder="1" applyAlignment="1" applyProtection="1">
      <alignment horizontal="center" wrapText="1"/>
    </xf>
    <xf numFmtId="0" fontId="64" fillId="14" borderId="255" xfId="9" applyFont="1" applyFill="1" applyBorder="1" applyAlignment="1" applyProtection="1">
      <alignment horizontal="center" vertical="center" wrapText="1"/>
    </xf>
    <xf numFmtId="0" fontId="64" fillId="14" borderId="196" xfId="9" applyFont="1" applyFill="1" applyBorder="1" applyAlignment="1" applyProtection="1">
      <alignment horizontal="center" vertical="center" wrapText="1"/>
    </xf>
    <xf numFmtId="0" fontId="64" fillId="14" borderId="256" xfId="9" applyFont="1" applyFill="1" applyBorder="1" applyAlignment="1" applyProtection="1">
      <alignment horizontal="center" vertical="center" wrapText="1"/>
    </xf>
    <xf numFmtId="0" fontId="64" fillId="14" borderId="253" xfId="9" applyFont="1" applyFill="1" applyBorder="1" applyAlignment="1" applyProtection="1">
      <alignment horizontal="center" vertical="center" wrapText="1"/>
    </xf>
    <xf numFmtId="0" fontId="85" fillId="14" borderId="253" xfId="9" applyFont="1" applyFill="1" applyBorder="1" applyAlignment="1" applyProtection="1">
      <alignment horizontal="center" vertical="center" wrapText="1"/>
    </xf>
    <xf numFmtId="0" fontId="7" fillId="14" borderId="208" xfId="4" applyFill="1" applyBorder="1" applyAlignment="1">
      <alignment horizontal="center" vertical="center"/>
    </xf>
    <xf numFmtId="10" fontId="57" fillId="14" borderId="208" xfId="9" applyNumberFormat="1" applyFont="1" applyFill="1" applyBorder="1" applyAlignment="1" applyProtection="1">
      <alignment horizontal="center" vertical="center" wrapText="1"/>
    </xf>
    <xf numFmtId="0" fontId="64" fillId="14" borderId="98" xfId="4" applyFont="1" applyFill="1" applyBorder="1" applyAlignment="1" applyProtection="1">
      <alignment horizontal="center" vertical="center" wrapText="1"/>
      <protection locked="0"/>
    </xf>
    <xf numFmtId="0" fontId="64" fillId="14" borderId="99" xfId="4" applyFont="1" applyFill="1" applyBorder="1" applyAlignment="1" applyProtection="1">
      <alignment horizontal="center" vertical="center" wrapText="1"/>
      <protection locked="0"/>
    </xf>
    <xf numFmtId="0" fontId="0" fillId="6" borderId="208" xfId="9" applyFont="1" applyFill="1" applyBorder="1" applyAlignment="1" applyProtection="1">
      <alignment horizontal="center" vertical="center" wrapText="1"/>
    </xf>
    <xf numFmtId="0" fontId="57" fillId="6" borderId="208" xfId="9" applyFont="1" applyFill="1" applyBorder="1" applyAlignment="1" applyProtection="1">
      <alignment horizontal="center" vertical="center" wrapText="1"/>
    </xf>
    <xf numFmtId="9" fontId="86" fillId="13" borderId="253" xfId="9" applyNumberFormat="1" applyFont="1" applyFill="1" applyBorder="1" applyAlignment="1" applyProtection="1">
      <alignment horizontal="center" vertical="center" wrapText="1"/>
    </xf>
    <xf numFmtId="0" fontId="57" fillId="14" borderId="208" xfId="9" applyFont="1" applyFill="1" applyBorder="1" applyAlignment="1" applyProtection="1">
      <alignment horizontal="center" vertical="center" wrapText="1"/>
    </xf>
    <xf numFmtId="0" fontId="7" fillId="0" borderId="208" xfId="4" applyFont="1" applyBorder="1" applyAlignment="1">
      <alignment horizontal="center" vertical="center" wrapText="1"/>
    </xf>
    <xf numFmtId="0" fontId="82" fillId="0" borderId="224" xfId="4" applyFont="1" applyBorder="1" applyAlignment="1">
      <alignment horizontal="center" vertical="center"/>
    </xf>
    <xf numFmtId="0" fontId="82" fillId="0" borderId="225" xfId="4" applyFont="1" applyBorder="1" applyAlignment="1">
      <alignment horizontal="center" vertical="center"/>
    </xf>
    <xf numFmtId="0" fontId="82" fillId="0" borderId="226" xfId="4" applyFont="1" applyBorder="1" applyAlignment="1">
      <alignment horizontal="center" vertical="center"/>
    </xf>
    <xf numFmtId="0" fontId="31" fillId="14" borderId="177" xfId="9" applyFont="1" applyFill="1" applyBorder="1" applyAlignment="1" applyProtection="1">
      <alignment horizontal="center" vertical="center" wrapText="1"/>
    </xf>
    <xf numFmtId="0" fontId="29" fillId="6" borderId="188" xfId="9" applyFont="1" applyFill="1" applyBorder="1" applyAlignment="1" applyProtection="1">
      <alignment horizontal="center" wrapText="1"/>
    </xf>
    <xf numFmtId="0" fontId="34" fillId="6" borderId="174" xfId="9" applyFont="1" applyFill="1" applyBorder="1" applyAlignment="1" applyProtection="1">
      <alignment horizontal="center"/>
    </xf>
    <xf numFmtId="0" fontId="34" fillId="6" borderId="175" xfId="9" applyFont="1" applyFill="1" applyBorder="1" applyAlignment="1" applyProtection="1">
      <alignment horizontal="center" vertical="center" wrapText="1"/>
    </xf>
    <xf numFmtId="0" fontId="34" fillId="14" borderId="171" xfId="9" applyFont="1" applyFill="1" applyBorder="1" applyAlignment="1" applyProtection="1">
      <alignment horizontal="center" wrapText="1"/>
    </xf>
    <xf numFmtId="0" fontId="30" fillId="6" borderId="171" xfId="9" applyFont="1" applyFill="1" applyBorder="1" applyAlignment="1" applyProtection="1">
      <alignment horizontal="center" wrapText="1"/>
    </xf>
    <xf numFmtId="0" fontId="31" fillId="14" borderId="192" xfId="9" applyFont="1" applyFill="1" applyBorder="1" applyAlignment="1" applyProtection="1">
      <alignment horizontal="center" vertical="center" wrapText="1"/>
    </xf>
    <xf numFmtId="0" fontId="31" fillId="14" borderId="192" xfId="9" applyFont="1" applyFill="1" applyBorder="1" applyAlignment="1" applyProtection="1">
      <alignment horizontal="center" vertical="center" textRotation="90" wrapText="1"/>
    </xf>
    <xf numFmtId="0" fontId="31" fillId="6" borderId="171" xfId="9" applyFont="1" applyFill="1" applyBorder="1" applyAlignment="1" applyProtection="1">
      <alignment horizontal="center"/>
    </xf>
    <xf numFmtId="0" fontId="34" fillId="14" borderId="171" xfId="9" applyFont="1" applyFill="1" applyBorder="1" applyAlignment="1" applyProtection="1">
      <alignment horizontal="center" vertical="center" wrapText="1"/>
    </xf>
    <xf numFmtId="174" fontId="31" fillId="6" borderId="171" xfId="9" applyNumberFormat="1" applyFont="1" applyFill="1" applyBorder="1" applyAlignment="1" applyProtection="1">
      <alignment horizontal="center" vertical="center"/>
    </xf>
    <xf numFmtId="0" fontId="34" fillId="14" borderId="176" xfId="9" applyFont="1" applyFill="1" applyBorder="1" applyAlignment="1" applyProtection="1">
      <alignment horizontal="center" wrapText="1"/>
    </xf>
    <xf numFmtId="0" fontId="31" fillId="6" borderId="176" xfId="9" applyFont="1" applyFill="1" applyBorder="1" applyAlignment="1" applyProtection="1">
      <alignment horizontal="center" wrapText="1"/>
    </xf>
    <xf numFmtId="0" fontId="31" fillId="14" borderId="189" xfId="9" applyFont="1" applyFill="1" applyBorder="1" applyAlignment="1" applyProtection="1">
      <alignment horizontal="center" vertical="center" wrapText="1"/>
    </xf>
    <xf numFmtId="0" fontId="31" fillId="14" borderId="190" xfId="9" applyFont="1" applyFill="1" applyBorder="1" applyAlignment="1" applyProtection="1">
      <alignment horizontal="center" vertical="center" wrapText="1"/>
    </xf>
    <xf numFmtId="0" fontId="31" fillId="14" borderId="191" xfId="9" applyFont="1" applyFill="1" applyBorder="1" applyAlignment="1" applyProtection="1">
      <alignment horizontal="center" vertical="center" wrapText="1"/>
    </xf>
    <xf numFmtId="0" fontId="7" fillId="14" borderId="177" xfId="4" applyFill="1" applyBorder="1" applyAlignment="1">
      <alignment horizontal="center" vertical="center"/>
    </xf>
    <xf numFmtId="10" fontId="65" fillId="14" borderId="173" xfId="9" applyNumberFormat="1" applyFont="1" applyFill="1" applyBorder="1" applyAlignment="1" applyProtection="1">
      <alignment horizontal="center" vertical="center" wrapText="1"/>
    </xf>
    <xf numFmtId="0" fontId="56" fillId="14" borderId="192" xfId="9" applyFont="1" applyFill="1" applyBorder="1" applyAlignment="1" applyProtection="1">
      <alignment horizontal="center" vertical="center" wrapText="1"/>
    </xf>
    <xf numFmtId="0" fontId="31" fillId="14" borderId="98" xfId="4" applyFont="1" applyFill="1" applyBorder="1" applyAlignment="1" applyProtection="1">
      <alignment horizontal="center" vertical="center" wrapText="1"/>
      <protection locked="0"/>
    </xf>
    <xf numFmtId="0" fontId="31" fillId="14" borderId="99" xfId="4" applyFont="1" applyFill="1" applyBorder="1" applyAlignment="1" applyProtection="1">
      <alignment horizontal="center" vertical="center" wrapText="1"/>
      <protection locked="0"/>
    </xf>
    <xf numFmtId="0" fontId="0" fillId="6" borderId="193" xfId="9" applyFont="1" applyFill="1" applyBorder="1" applyAlignment="1" applyProtection="1">
      <alignment horizontal="center" vertical="center" wrapText="1"/>
    </xf>
    <xf numFmtId="0" fontId="65" fillId="6" borderId="173" xfId="9" applyFont="1" applyFill="1" applyBorder="1" applyAlignment="1" applyProtection="1">
      <alignment horizontal="center" vertical="center" wrapText="1"/>
    </xf>
    <xf numFmtId="9" fontId="73" fillId="13" borderId="192" xfId="9" applyNumberFormat="1" applyFont="1" applyFill="1" applyBorder="1" applyAlignment="1" applyProtection="1">
      <alignment horizontal="center" vertical="center" wrapText="1"/>
    </xf>
    <xf numFmtId="0" fontId="30" fillId="14" borderId="205" xfId="9" applyFont="1" applyFill="1" applyBorder="1" applyAlignment="1" applyProtection="1">
      <alignment horizontal="center" vertical="center" wrapText="1"/>
    </xf>
    <xf numFmtId="0" fontId="65" fillId="14" borderId="207" xfId="9" applyFont="1" applyFill="1" applyBorder="1" applyAlignment="1" applyProtection="1">
      <alignment horizontal="center" vertical="center" wrapText="1"/>
    </xf>
    <xf numFmtId="0" fontId="65" fillId="6" borderId="208" xfId="9" applyFont="1" applyFill="1" applyBorder="1" applyAlignment="1" applyProtection="1">
      <alignment horizontal="center" vertical="center" wrapText="1"/>
    </xf>
    <xf numFmtId="0" fontId="65" fillId="6" borderId="209" xfId="9" applyFont="1" applyFill="1" applyBorder="1" applyAlignment="1" applyProtection="1">
      <alignment horizontal="center" vertical="center" wrapText="1"/>
    </xf>
    <xf numFmtId="0" fontId="56" fillId="14" borderId="177" xfId="9" applyFont="1" applyFill="1" applyBorder="1" applyAlignment="1" applyProtection="1">
      <alignment horizontal="center" vertical="center" wrapText="1"/>
    </xf>
    <xf numFmtId="0" fontId="7" fillId="14" borderId="218" xfId="4" applyFill="1" applyBorder="1" applyAlignment="1">
      <alignment horizontal="center" vertical="center"/>
    </xf>
    <xf numFmtId="0" fontId="7" fillId="0" borderId="177" xfId="4" applyFont="1" applyBorder="1" applyAlignment="1">
      <alignment horizontal="center" vertical="center" wrapText="1"/>
    </xf>
    <xf numFmtId="0" fontId="7" fillId="0" borderId="211" xfId="4" applyFont="1" applyBorder="1" applyAlignment="1">
      <alignment horizontal="center" vertical="center" wrapText="1"/>
    </xf>
    <xf numFmtId="0" fontId="7" fillId="0" borderId="180" xfId="4" applyFont="1" applyBorder="1" applyAlignment="1">
      <alignment horizontal="center" vertical="center" wrapText="1"/>
    </xf>
    <xf numFmtId="0" fontId="7" fillId="0" borderId="207" xfId="4" applyFont="1" applyBorder="1" applyAlignment="1">
      <alignment horizontal="center" vertical="center" wrapText="1"/>
    </xf>
    <xf numFmtId="0" fontId="7" fillId="0" borderId="185" xfId="4" applyFont="1" applyBorder="1" applyAlignment="1">
      <alignment horizontal="center" vertical="center" wrapText="1"/>
    </xf>
    <xf numFmtId="0" fontId="8" fillId="0" borderId="173" xfId="4" applyFont="1" applyBorder="1" applyAlignment="1">
      <alignment horizontal="center" vertical="center" wrapText="1"/>
    </xf>
    <xf numFmtId="0" fontId="7" fillId="0" borderId="173" xfId="4" applyFont="1" applyBorder="1" applyAlignment="1">
      <alignment horizontal="center" vertical="center" wrapText="1"/>
    </xf>
    <xf numFmtId="0" fontId="7" fillId="37" borderId="173" xfId="4" applyFill="1" applyBorder="1" applyAlignment="1">
      <alignment horizontal="center" vertical="center"/>
    </xf>
    <xf numFmtId="0" fontId="57" fillId="37" borderId="173" xfId="9" applyFont="1" applyFill="1" applyBorder="1" applyAlignment="1" applyProtection="1">
      <alignment horizontal="center" vertical="center" wrapText="1"/>
    </xf>
    <xf numFmtId="0" fontId="57" fillId="37" borderId="187" xfId="9" applyFont="1" applyFill="1" applyBorder="1" applyAlignment="1" applyProtection="1">
      <alignment horizontal="center" vertical="center" wrapText="1"/>
    </xf>
    <xf numFmtId="0" fontId="30" fillId="37" borderId="173" xfId="9" applyFont="1" applyFill="1" applyBorder="1" applyAlignment="1" applyProtection="1">
      <alignment horizontal="center" vertical="center" wrapText="1"/>
    </xf>
    <xf numFmtId="0" fontId="8" fillId="6" borderId="173" xfId="9" applyFont="1" applyFill="1" applyBorder="1" applyAlignment="1" applyProtection="1">
      <alignment horizontal="center" vertical="center" wrapText="1"/>
    </xf>
    <xf numFmtId="0" fontId="57" fillId="6" borderId="173" xfId="9" applyFont="1" applyFill="1" applyBorder="1" applyAlignment="1" applyProtection="1">
      <alignment horizontal="center" vertical="center" wrapText="1"/>
    </xf>
    <xf numFmtId="0" fontId="31" fillId="37" borderId="173" xfId="9" applyFont="1" applyFill="1" applyBorder="1" applyAlignment="1" applyProtection="1">
      <alignment horizontal="center" vertical="center" wrapText="1"/>
    </xf>
    <xf numFmtId="10" fontId="57" fillId="37" borderId="173" xfId="9" applyNumberFormat="1" applyFont="1" applyFill="1" applyBorder="1" applyAlignment="1" applyProtection="1">
      <alignment horizontal="center" vertical="center" wrapText="1"/>
    </xf>
    <xf numFmtId="0" fontId="31" fillId="37" borderId="98" xfId="4" applyFont="1" applyFill="1" applyBorder="1" applyAlignment="1" applyProtection="1">
      <alignment horizontal="center" vertical="center" wrapText="1"/>
      <protection locked="0"/>
    </xf>
    <xf numFmtId="0" fontId="31" fillId="37" borderId="99" xfId="4" applyFont="1" applyFill="1" applyBorder="1" applyAlignment="1" applyProtection="1">
      <alignment horizontal="center" vertical="center" wrapText="1"/>
      <protection locked="0"/>
    </xf>
    <xf numFmtId="0" fontId="0" fillId="6" borderId="173" xfId="9" applyFont="1" applyFill="1" applyBorder="1" applyAlignment="1" applyProtection="1">
      <alignment horizontal="center" vertical="center" wrapText="1"/>
    </xf>
    <xf numFmtId="9" fontId="31" fillId="13" borderId="173" xfId="9" applyNumberFormat="1" applyFont="1" applyFill="1" applyBorder="1" applyAlignment="1" applyProtection="1">
      <alignment horizontal="center" vertical="center" wrapText="1"/>
    </xf>
    <xf numFmtId="0" fontId="56" fillId="37" borderId="173" xfId="9" applyFont="1" applyFill="1" applyBorder="1" applyAlignment="1" applyProtection="1">
      <alignment horizontal="center" vertical="center" wrapText="1"/>
    </xf>
    <xf numFmtId="0" fontId="56" fillId="37" borderId="177" xfId="9" applyFont="1" applyFill="1" applyBorder="1" applyAlignment="1" applyProtection="1">
      <alignment horizontal="center" vertical="center" wrapText="1"/>
    </xf>
    <xf numFmtId="0" fontId="31" fillId="37" borderId="173" xfId="9" applyFont="1" applyFill="1" applyBorder="1" applyAlignment="1" applyProtection="1">
      <alignment horizontal="center" vertical="center" textRotation="90" wrapText="1"/>
    </xf>
    <xf numFmtId="0" fontId="34" fillId="37" borderId="173" xfId="9" applyFont="1" applyFill="1" applyBorder="1" applyAlignment="1" applyProtection="1">
      <alignment horizontal="center" wrapText="1"/>
    </xf>
    <xf numFmtId="0" fontId="31" fillId="6" borderId="173" xfId="9" applyFont="1" applyFill="1" applyBorder="1" applyAlignment="1" applyProtection="1">
      <alignment horizontal="center"/>
    </xf>
    <xf numFmtId="0" fontId="34" fillId="37" borderId="173" xfId="9" applyFont="1" applyFill="1" applyBorder="1" applyAlignment="1" applyProtection="1">
      <alignment horizontal="center" vertical="center" wrapText="1"/>
    </xf>
    <xf numFmtId="174" fontId="31" fillId="6" borderId="173" xfId="9" applyNumberFormat="1" applyFont="1" applyFill="1" applyBorder="1" applyAlignment="1" applyProtection="1">
      <alignment horizontal="center" vertical="center"/>
    </xf>
    <xf numFmtId="0" fontId="31" fillId="6" borderId="173" xfId="9" applyFont="1" applyFill="1" applyBorder="1" applyAlignment="1" applyProtection="1">
      <alignment horizontal="center" wrapText="1"/>
    </xf>
    <xf numFmtId="0" fontId="29" fillId="6" borderId="173" xfId="9" applyFont="1" applyFill="1" applyBorder="1" applyAlignment="1" applyProtection="1">
      <alignment horizontal="center" wrapText="1"/>
    </xf>
    <xf numFmtId="0" fontId="34" fillId="6" borderId="173" xfId="9" applyFont="1" applyFill="1" applyBorder="1" applyAlignment="1" applyProtection="1">
      <alignment horizontal="center"/>
    </xf>
    <xf numFmtId="0" fontId="34" fillId="6" borderId="173" xfId="9" applyFont="1" applyFill="1" applyBorder="1" applyAlignment="1" applyProtection="1">
      <alignment horizontal="center" vertical="center" wrapText="1"/>
    </xf>
    <xf numFmtId="0" fontId="30" fillId="6" borderId="173" xfId="9" applyFont="1" applyFill="1" applyBorder="1" applyAlignment="1" applyProtection="1">
      <alignment horizontal="center" wrapText="1"/>
    </xf>
    <xf numFmtId="0" fontId="7" fillId="0" borderId="103" xfId="4" applyFont="1" applyBorder="1" applyAlignment="1">
      <alignment horizontal="center" vertical="center" wrapText="1"/>
    </xf>
    <xf numFmtId="0" fontId="7" fillId="0" borderId="111" xfId="4" applyFont="1" applyBorder="1" applyAlignment="1">
      <alignment horizontal="center" vertical="center" wrapText="1"/>
    </xf>
    <xf numFmtId="0" fontId="7" fillId="0" borderId="162" xfId="4" applyFont="1" applyBorder="1" applyAlignment="1">
      <alignment horizontal="center" vertical="center" wrapText="1"/>
    </xf>
    <xf numFmtId="0" fontId="30" fillId="6" borderId="102" xfId="9" applyFont="1" applyFill="1" applyBorder="1" applyAlignment="1" applyProtection="1">
      <alignment horizontal="center" vertical="center" wrapText="1"/>
    </xf>
    <xf numFmtId="0" fontId="30" fillId="6" borderId="113" xfId="9" applyFont="1" applyFill="1" applyBorder="1" applyAlignment="1" applyProtection="1">
      <alignment horizontal="center" vertical="center" wrapText="1"/>
    </xf>
    <xf numFmtId="0" fontId="7" fillId="0" borderId="127" xfId="4" applyBorder="1" applyAlignment="1">
      <alignment horizontal="center" vertical="center" wrapText="1"/>
    </xf>
    <xf numFmtId="0" fontId="7" fillId="0" borderId="122" xfId="4" applyFont="1" applyBorder="1" applyAlignment="1">
      <alignment horizontal="center" vertical="center" wrapText="1"/>
    </xf>
    <xf numFmtId="0" fontId="30" fillId="6" borderId="104" xfId="9" applyFont="1" applyFill="1" applyBorder="1" applyAlignment="1" applyProtection="1">
      <alignment horizontal="center" vertical="center" wrapText="1"/>
    </xf>
    <xf numFmtId="0" fontId="30" fillId="6" borderId="111" xfId="9" applyFont="1" applyFill="1" applyBorder="1" applyAlignment="1" applyProtection="1">
      <alignment horizontal="center" vertical="center" wrapText="1"/>
    </xf>
    <xf numFmtId="0" fontId="30" fillId="6" borderId="89" xfId="9" applyFont="1" applyFill="1" applyBorder="1" applyAlignment="1" applyProtection="1">
      <alignment horizontal="center" vertical="center" wrapText="1"/>
    </xf>
    <xf numFmtId="0" fontId="30" fillId="6" borderId="90" xfId="9" applyFont="1" applyFill="1" applyBorder="1" applyAlignment="1" applyProtection="1">
      <alignment horizontal="center" vertical="center" wrapText="1"/>
    </xf>
    <xf numFmtId="0" fontId="29" fillId="6" borderId="89" xfId="9" applyFont="1" applyFill="1" applyBorder="1" applyAlignment="1" applyProtection="1">
      <alignment horizontal="center" wrapText="1"/>
    </xf>
    <xf numFmtId="0" fontId="31" fillId="6" borderId="89" xfId="9" applyFont="1" applyFill="1" applyBorder="1" applyAlignment="1" applyProtection="1">
      <alignment horizontal="center"/>
    </xf>
    <xf numFmtId="0" fontId="29" fillId="6" borderId="90" xfId="9" applyFont="1" applyFill="1" applyBorder="1" applyAlignment="1" applyProtection="1">
      <alignment horizontal="center" wrapText="1"/>
    </xf>
    <xf numFmtId="0" fontId="31" fillId="6" borderId="90" xfId="9" applyFont="1" applyFill="1" applyBorder="1" applyAlignment="1" applyProtection="1">
      <alignment horizontal="center" wrapText="1"/>
    </xf>
    <xf numFmtId="0" fontId="30" fillId="6" borderId="91" xfId="9" applyFont="1" applyFill="1" applyBorder="1" applyAlignment="1" applyProtection="1">
      <alignment horizontal="center" vertical="center" wrapText="1"/>
    </xf>
    <xf numFmtId="0" fontId="30" fillId="6" borderId="92" xfId="9" applyFont="1" applyFill="1" applyBorder="1" applyAlignment="1" applyProtection="1">
      <alignment horizontal="center" vertical="center" wrapText="1"/>
    </xf>
    <xf numFmtId="0" fontId="30" fillId="6" borderId="94" xfId="9" applyFont="1" applyFill="1" applyBorder="1" applyAlignment="1" applyProtection="1">
      <alignment horizontal="center" vertical="center" wrapText="1"/>
    </xf>
    <xf numFmtId="0" fontId="30" fillId="6" borderId="94" xfId="9" applyFont="1" applyFill="1" applyBorder="1" applyAlignment="1" applyProtection="1">
      <alignment horizontal="center" vertical="center" textRotation="90" wrapText="1"/>
    </xf>
    <xf numFmtId="0" fontId="30" fillId="6" borderId="95" xfId="9" applyFont="1" applyFill="1" applyBorder="1" applyAlignment="1" applyProtection="1">
      <alignment horizontal="center" vertical="center" wrapText="1"/>
    </xf>
    <xf numFmtId="0" fontId="29" fillId="6" borderId="86" xfId="9" applyFont="1" applyFill="1" applyBorder="1" applyAlignment="1" applyProtection="1">
      <alignment horizontal="center" wrapText="1"/>
    </xf>
    <xf numFmtId="0" fontId="29" fillId="6" borderId="87" xfId="9" applyFont="1" applyFill="1" applyBorder="1" applyAlignment="1" applyProtection="1">
      <alignment horizontal="center"/>
    </xf>
    <xf numFmtId="0" fontId="29" fillId="6" borderId="88" xfId="9" applyFont="1" applyFill="1" applyBorder="1" applyAlignment="1" applyProtection="1">
      <alignment horizontal="center" vertical="center" wrapText="1"/>
    </xf>
    <xf numFmtId="0" fontId="30" fillId="6" borderId="89" xfId="9" applyFont="1" applyFill="1" applyBorder="1" applyAlignment="1" applyProtection="1">
      <alignment horizontal="center" wrapText="1"/>
    </xf>
    <xf numFmtId="0" fontId="10" fillId="0" borderId="56" xfId="0" applyFont="1" applyBorder="1" applyAlignment="1" applyProtection="1">
      <alignment horizontal="center" vertical="center" wrapText="1"/>
    </xf>
    <xf numFmtId="0" fontId="10" fillId="0" borderId="67" xfId="0" applyFont="1" applyBorder="1" applyAlignment="1" applyProtection="1">
      <alignment horizontal="center" vertical="center" wrapText="1"/>
    </xf>
    <xf numFmtId="0" fontId="10" fillId="0" borderId="70" xfId="0" applyFont="1" applyBorder="1" applyAlignment="1" applyProtection="1">
      <alignment horizontal="center" vertical="center" wrapText="1"/>
    </xf>
    <xf numFmtId="0" fontId="24" fillId="12" borderId="72" xfId="0" applyFont="1" applyFill="1" applyBorder="1" applyAlignment="1" applyProtection="1">
      <alignment horizontal="center" vertical="center" wrapText="1"/>
    </xf>
    <xf numFmtId="0" fontId="24" fillId="12" borderId="71" xfId="0" applyFont="1" applyFill="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4" xfId="0" applyFont="1" applyBorder="1" applyAlignment="1" applyProtection="1">
      <alignment horizontal="center" vertical="center" wrapText="1"/>
    </xf>
    <xf numFmtId="0" fontId="24" fillId="0" borderId="63" xfId="0" applyFont="1" applyFill="1" applyBorder="1" applyAlignment="1" applyProtection="1">
      <alignment horizontal="center" vertical="center" wrapText="1"/>
    </xf>
    <xf numFmtId="0" fontId="24" fillId="0" borderId="52" xfId="0" applyFont="1" applyFill="1" applyBorder="1" applyAlignment="1" applyProtection="1">
      <alignment horizontal="center" vertical="center" wrapText="1"/>
    </xf>
    <xf numFmtId="0" fontId="24" fillId="0" borderId="81" xfId="0" applyFont="1" applyFill="1" applyBorder="1" applyAlignment="1" applyProtection="1">
      <alignment horizontal="center" vertical="center" wrapText="1"/>
    </xf>
    <xf numFmtId="0" fontId="24" fillId="0" borderId="52" xfId="0" applyFont="1" applyFill="1" applyBorder="1" applyAlignment="1" applyProtection="1">
      <alignment horizontal="center" vertical="center" wrapText="1"/>
      <protection locked="0"/>
    </xf>
    <xf numFmtId="0" fontId="24" fillId="0" borderId="81" xfId="0" applyFont="1" applyFill="1" applyBorder="1" applyAlignment="1" applyProtection="1">
      <alignment horizontal="center" vertical="center" wrapText="1"/>
      <protection locked="0"/>
    </xf>
    <xf numFmtId="0" fontId="10" fillId="0" borderId="65" xfId="0" applyFont="1" applyFill="1" applyBorder="1" applyAlignment="1" applyProtection="1">
      <alignment horizontal="center" vertical="center" wrapText="1"/>
      <protection locked="0"/>
    </xf>
    <xf numFmtId="0" fontId="10" fillId="0" borderId="58" xfId="0" applyFont="1" applyFill="1" applyBorder="1" applyAlignment="1" applyProtection="1">
      <alignment horizontal="center" vertical="center" wrapText="1"/>
      <protection locked="0"/>
    </xf>
    <xf numFmtId="0" fontId="10" fillId="0" borderId="36" xfId="0" applyFont="1" applyFill="1" applyBorder="1" applyAlignment="1" applyProtection="1">
      <alignment horizontal="center" vertical="center" wrapText="1"/>
      <protection locked="0"/>
    </xf>
    <xf numFmtId="0" fontId="10" fillId="0" borderId="73"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10" fillId="0" borderId="65" xfId="0" applyFont="1" applyFill="1" applyBorder="1" applyAlignment="1" applyProtection="1">
      <alignment horizontal="center" vertical="center" wrapText="1"/>
    </xf>
    <xf numFmtId="0" fontId="10" fillId="0" borderId="60" xfId="0" applyFont="1" applyFill="1" applyBorder="1" applyAlignment="1" applyProtection="1">
      <alignment horizontal="center" vertical="center" wrapText="1"/>
    </xf>
    <xf numFmtId="0" fontId="10" fillId="0" borderId="63" xfId="0" applyFont="1" applyBorder="1" applyAlignment="1" applyProtection="1">
      <alignment horizontal="center" vertical="center" wrapText="1"/>
    </xf>
    <xf numFmtId="0" fontId="24" fillId="0" borderId="69" xfId="0" applyFont="1" applyBorder="1" applyAlignment="1" applyProtection="1">
      <alignment horizontal="center" vertical="center" wrapText="1"/>
    </xf>
    <xf numFmtId="0" fontId="24" fillId="0" borderId="70" xfId="0" applyFont="1" applyBorder="1" applyAlignment="1" applyProtection="1">
      <alignment horizontal="center" vertical="center" wrapText="1"/>
    </xf>
    <xf numFmtId="0" fontId="10" fillId="0" borderId="66" xfId="0" applyFont="1" applyFill="1" applyBorder="1" applyAlignment="1" applyProtection="1">
      <alignment horizontal="justify" vertical="center" wrapText="1"/>
    </xf>
    <xf numFmtId="0" fontId="10" fillId="0" borderId="59" xfId="0" applyFont="1" applyFill="1" applyBorder="1" applyAlignment="1" applyProtection="1">
      <alignment horizontal="justify" vertical="center" wrapText="1"/>
    </xf>
    <xf numFmtId="0" fontId="10" fillId="0" borderId="36" xfId="0" applyFont="1" applyFill="1" applyBorder="1" applyAlignment="1" applyProtection="1">
      <alignment horizontal="justify" vertical="center" wrapText="1"/>
    </xf>
    <xf numFmtId="0" fontId="10" fillId="0" borderId="4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55" xfId="0" applyFont="1" applyFill="1" applyBorder="1" applyAlignment="1" applyProtection="1">
      <alignment horizontal="center" vertical="center" wrapText="1"/>
    </xf>
    <xf numFmtId="0" fontId="10" fillId="0" borderId="58" xfId="0" applyFont="1" applyFill="1" applyBorder="1" applyAlignment="1" applyProtection="1">
      <alignment horizontal="center" vertical="center" wrapText="1"/>
    </xf>
    <xf numFmtId="0" fontId="10" fillId="0" borderId="42"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10" fillId="0" borderId="53" xfId="0" applyFont="1" applyBorder="1" applyAlignment="1" applyProtection="1">
      <alignment horizontal="center" vertical="center" wrapText="1"/>
    </xf>
    <xf numFmtId="0" fontId="24" fillId="0" borderId="40" xfId="0" applyFont="1" applyFill="1" applyBorder="1" applyAlignment="1" applyProtection="1">
      <alignment horizontal="center" vertical="center" wrapText="1"/>
    </xf>
    <xf numFmtId="0" fontId="24" fillId="0" borderId="23" xfId="0" applyFont="1" applyFill="1" applyBorder="1" applyAlignment="1" applyProtection="1">
      <alignment horizontal="center" vertical="center" wrapText="1"/>
    </xf>
    <xf numFmtId="0" fontId="24" fillId="0" borderId="28" xfId="0" applyFont="1" applyFill="1" applyBorder="1" applyAlignment="1" applyProtection="1">
      <alignment horizontal="center" vertical="center" wrapText="1"/>
    </xf>
    <xf numFmtId="0" fontId="24" fillId="0" borderId="54"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75" xfId="0" applyFont="1" applyFill="1" applyBorder="1" applyAlignment="1" applyProtection="1">
      <alignment horizontal="center" vertical="center" wrapText="1"/>
    </xf>
    <xf numFmtId="0" fontId="10" fillId="0" borderId="55"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10" fillId="0" borderId="49" xfId="0" applyFont="1" applyBorder="1" applyAlignment="1" applyProtection="1">
      <alignment horizontal="center" vertical="center" wrapText="1"/>
    </xf>
    <xf numFmtId="10" fontId="10" fillId="5" borderId="42" xfId="0" applyNumberFormat="1" applyFont="1" applyFill="1" applyBorder="1" applyAlignment="1" applyProtection="1">
      <alignment horizontal="center" vertical="top" wrapText="1"/>
    </xf>
    <xf numFmtId="10" fontId="10" fillId="5" borderId="25" xfId="0" applyNumberFormat="1" applyFont="1" applyFill="1" applyBorder="1" applyAlignment="1" applyProtection="1">
      <alignment horizontal="center" vertical="top" wrapText="1"/>
    </xf>
    <xf numFmtId="0" fontId="0" fillId="0" borderId="48"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0" borderId="43" xfId="0" applyBorder="1" applyAlignment="1" applyProtection="1">
      <alignment horizontal="center" vertical="center" wrapText="1"/>
      <protection locked="0"/>
    </xf>
    <xf numFmtId="0" fontId="0" fillId="0" borderId="60"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34" xfId="0" applyBorder="1" applyAlignment="1" applyProtection="1">
      <alignment horizontal="center" vertical="center" wrapText="1"/>
      <protection locked="0"/>
    </xf>
    <xf numFmtId="0" fontId="0" fillId="0" borderId="59" xfId="0" applyBorder="1" applyAlignment="1" applyProtection="1">
      <alignment horizontal="center" vertical="center" wrapText="1"/>
      <protection locked="0"/>
    </xf>
    <xf numFmtId="0" fontId="0" fillId="0" borderId="58" xfId="0" applyBorder="1" applyAlignment="1" applyProtection="1">
      <alignment horizontal="center" vertical="center" wrapText="1"/>
      <protection locked="0"/>
    </xf>
    <xf numFmtId="0" fontId="0" fillId="0" borderId="36" xfId="0" applyBorder="1" applyAlignment="1" applyProtection="1">
      <alignment horizontal="center" vertical="center" wrapText="1"/>
      <protection locked="0"/>
    </xf>
    <xf numFmtId="0" fontId="7" fillId="9" borderId="60" xfId="0" applyFont="1" applyFill="1" applyBorder="1" applyAlignment="1" applyProtection="1">
      <alignment horizontal="center" vertical="top" wrapText="1"/>
      <protection locked="0"/>
    </xf>
    <xf numFmtId="0" fontId="7" fillId="9" borderId="0" xfId="0" applyFont="1" applyFill="1" applyBorder="1" applyAlignment="1" applyProtection="1">
      <alignment horizontal="center" vertical="top" wrapText="1"/>
      <protection locked="0"/>
    </xf>
    <xf numFmtId="0" fontId="7" fillId="9" borderId="60" xfId="0" applyFont="1" applyFill="1" applyBorder="1" applyAlignment="1" applyProtection="1">
      <alignment horizontal="center" vertical="center" wrapText="1"/>
      <protection locked="0"/>
    </xf>
    <xf numFmtId="0" fontId="7" fillId="9" borderId="0" xfId="0" applyFont="1" applyFill="1" applyBorder="1" applyAlignment="1" applyProtection="1">
      <alignment horizontal="center" vertical="center" wrapText="1"/>
      <protection locked="0"/>
    </xf>
    <xf numFmtId="0" fontId="12" fillId="9" borderId="60" xfId="0" applyFont="1" applyFill="1" applyBorder="1" applyAlignment="1" applyProtection="1">
      <alignment horizontal="center" vertical="center" wrapText="1"/>
      <protection locked="0"/>
    </xf>
    <xf numFmtId="0" fontId="12" fillId="9" borderId="0"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20" xfId="0" applyFont="1" applyFill="1" applyBorder="1" applyAlignment="1" applyProtection="1">
      <alignment horizontal="center" vertical="center" wrapText="1"/>
    </xf>
    <xf numFmtId="0" fontId="10" fillId="0" borderId="42"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41" xfId="0" applyFont="1" applyFill="1" applyBorder="1" applyAlignment="1" applyProtection="1">
      <alignment horizontal="center" vertical="center" wrapText="1"/>
    </xf>
    <xf numFmtId="0" fontId="10" fillId="0" borderId="53" xfId="0" applyFont="1" applyFill="1" applyBorder="1" applyAlignment="1" applyProtection="1">
      <alignment horizontal="center" vertical="center" wrapText="1"/>
    </xf>
    <xf numFmtId="0" fontId="24" fillId="0" borderId="84" xfId="0" applyFont="1" applyBorder="1" applyAlignment="1" applyProtection="1">
      <alignment horizontal="center" vertical="center" wrapText="1"/>
    </xf>
    <xf numFmtId="0" fontId="24" fillId="0" borderId="83" xfId="0" applyFont="1" applyBorder="1" applyAlignment="1" applyProtection="1">
      <alignment horizontal="center" vertical="center" wrapText="1"/>
    </xf>
    <xf numFmtId="0" fontId="24" fillId="0" borderId="82" xfId="0" applyFont="1" applyBorder="1" applyAlignment="1" applyProtection="1">
      <alignment horizontal="center" vertical="center" wrapText="1"/>
    </xf>
    <xf numFmtId="0" fontId="24" fillId="0" borderId="53" xfId="0" applyFont="1" applyFill="1" applyBorder="1" applyAlignment="1" applyProtection="1">
      <alignment horizontal="center" vertical="center" wrapText="1"/>
    </xf>
    <xf numFmtId="0" fontId="24" fillId="0" borderId="33" xfId="0" applyFont="1" applyFill="1" applyBorder="1" applyAlignment="1" applyProtection="1">
      <alignment horizontal="center" vertical="center" wrapText="1"/>
    </xf>
    <xf numFmtId="0" fontId="24" fillId="0" borderId="48"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wrapText="1"/>
    </xf>
    <xf numFmtId="0" fontId="10" fillId="0" borderId="51" xfId="0" applyFont="1" applyFill="1" applyBorder="1" applyAlignment="1" applyProtection="1">
      <alignment horizontal="center" vertical="center" wrapText="1"/>
    </xf>
    <xf numFmtId="0" fontId="24" fillId="8" borderId="40" xfId="0" applyFont="1" applyFill="1" applyBorder="1" applyAlignment="1" applyProtection="1">
      <alignment horizontal="center" vertical="center" wrapText="1"/>
    </xf>
    <xf numFmtId="0" fontId="10" fillId="8" borderId="23" xfId="0" applyFont="1" applyFill="1" applyBorder="1" applyAlignment="1" applyProtection="1">
      <alignment horizontal="center" vertical="center" wrapText="1"/>
    </xf>
    <xf numFmtId="0" fontId="10" fillId="8" borderId="55" xfId="0" applyFont="1" applyFill="1" applyBorder="1" applyAlignment="1" applyProtection="1">
      <alignment horizontal="center" vertical="center" wrapText="1"/>
    </xf>
    <xf numFmtId="0" fontId="24" fillId="12" borderId="70" xfId="0" applyFont="1" applyFill="1" applyBorder="1" applyAlignment="1" applyProtection="1">
      <alignment horizontal="center" vertical="center" wrapText="1"/>
    </xf>
    <xf numFmtId="0" fontId="24" fillId="12" borderId="30" xfId="0" applyFont="1" applyFill="1" applyBorder="1" applyAlignment="1" applyProtection="1">
      <alignment horizontal="center" vertical="center" wrapText="1"/>
    </xf>
    <xf numFmtId="0" fontId="10" fillId="0" borderId="54" xfId="0" applyFont="1" applyBorder="1" applyAlignment="1" applyProtection="1">
      <alignment horizontal="center" vertical="center" wrapText="1"/>
    </xf>
    <xf numFmtId="0" fontId="24" fillId="12" borderId="67" xfId="0" applyFont="1" applyFill="1" applyBorder="1" applyAlignment="1" applyProtection="1">
      <alignment horizontal="center" vertical="center" wrapText="1"/>
    </xf>
    <xf numFmtId="0" fontId="24" fillId="12" borderId="34" xfId="0" applyFont="1" applyFill="1" applyBorder="1" applyAlignment="1" applyProtection="1">
      <alignment horizontal="center" vertical="center" wrapText="1"/>
    </xf>
    <xf numFmtId="0" fontId="24" fillId="0" borderId="54" xfId="0" applyFont="1" applyBorder="1" applyAlignment="1" applyProtection="1">
      <alignment horizontal="left" vertical="center" wrapText="1"/>
    </xf>
    <xf numFmtId="0" fontId="24" fillId="0" borderId="16" xfId="0" applyFont="1" applyBorder="1" applyAlignment="1" applyProtection="1">
      <alignment horizontal="left" vertical="center" wrapText="1"/>
    </xf>
    <xf numFmtId="0" fontId="24" fillId="0" borderId="75" xfId="0" applyFont="1" applyBorder="1" applyAlignment="1" applyProtection="1">
      <alignment horizontal="left" vertical="center" wrapText="1"/>
    </xf>
    <xf numFmtId="0" fontId="10" fillId="0" borderId="42" xfId="0" applyFont="1" applyBorder="1" applyAlignment="1" applyProtection="1">
      <alignment horizontal="center" vertical="top" wrapText="1"/>
    </xf>
    <xf numFmtId="0" fontId="10" fillId="0" borderId="37" xfId="0" applyFont="1" applyBorder="1" applyAlignment="1" applyProtection="1">
      <alignment horizontal="center" vertical="top" wrapText="1"/>
    </xf>
    <xf numFmtId="0" fontId="10" fillId="0" borderId="25" xfId="0" applyFont="1" applyBorder="1" applyAlignment="1" applyProtection="1">
      <alignment horizontal="center" vertical="top" wrapText="1"/>
    </xf>
    <xf numFmtId="0" fontId="10" fillId="0" borderId="45" xfId="0" applyFont="1" applyBorder="1" applyAlignment="1" applyProtection="1">
      <alignment horizontal="center" vertical="top" wrapText="1"/>
    </xf>
    <xf numFmtId="0" fontId="28" fillId="5" borderId="69" xfId="0" applyFont="1" applyFill="1" applyBorder="1" applyAlignment="1" applyProtection="1">
      <alignment horizontal="center" vertical="center" wrapText="1"/>
    </xf>
    <xf numFmtId="0" fontId="28" fillId="5" borderId="85" xfId="0" applyFont="1" applyFill="1" applyBorder="1" applyAlignment="1" applyProtection="1">
      <alignment horizontal="center" vertical="center" wrapText="1"/>
    </xf>
    <xf numFmtId="0" fontId="28" fillId="5" borderId="78" xfId="0" applyFont="1" applyFill="1" applyBorder="1" applyAlignment="1" applyProtection="1">
      <alignment horizontal="center" vertical="center" wrapText="1"/>
    </xf>
    <xf numFmtId="0" fontId="28" fillId="5" borderId="67" xfId="0" applyFont="1" applyFill="1" applyBorder="1" applyAlignment="1" applyProtection="1">
      <alignment horizontal="center" vertical="center" wrapText="1"/>
    </xf>
    <xf numFmtId="0" fontId="28" fillId="5" borderId="0" xfId="0" applyFont="1" applyFill="1" applyBorder="1" applyAlignment="1" applyProtection="1">
      <alignment horizontal="center" vertical="center" wrapText="1"/>
    </xf>
    <xf numFmtId="0" fontId="28" fillId="5" borderId="34" xfId="0" applyFont="1" applyFill="1" applyBorder="1" applyAlignment="1" applyProtection="1">
      <alignment horizontal="center" vertical="center" wrapText="1"/>
    </xf>
    <xf numFmtId="0" fontId="28" fillId="0" borderId="18" xfId="0" applyFont="1" applyBorder="1" applyAlignment="1" applyProtection="1">
      <alignment horizontal="center"/>
    </xf>
    <xf numFmtId="0" fontId="28" fillId="5" borderId="33" xfId="0" applyFont="1" applyFill="1" applyBorder="1" applyAlignment="1" applyProtection="1">
      <alignment horizontal="right" vertical="center" wrapText="1"/>
    </xf>
    <xf numFmtId="0" fontId="28" fillId="5" borderId="50" xfId="0" applyFont="1" applyFill="1" applyBorder="1" applyAlignment="1" applyProtection="1">
      <alignment horizontal="right" vertical="center" wrapText="1"/>
    </xf>
    <xf numFmtId="0" fontId="28" fillId="5" borderId="19" xfId="0" applyFont="1" applyFill="1" applyBorder="1" applyAlignment="1" applyProtection="1">
      <alignment horizontal="right" vertical="center" wrapText="1"/>
    </xf>
    <xf numFmtId="0" fontId="24" fillId="0" borderId="42" xfId="0" applyFont="1" applyFill="1" applyBorder="1" applyAlignment="1" applyProtection="1">
      <alignment horizontal="center" vertical="center" textRotation="90" wrapText="1"/>
    </xf>
    <xf numFmtId="0" fontId="24" fillId="0" borderId="25" xfId="0" applyFont="1" applyFill="1" applyBorder="1" applyAlignment="1" applyProtection="1">
      <alignment horizontal="center" vertical="center" textRotation="90" wrapText="1"/>
    </xf>
    <xf numFmtId="0" fontId="24" fillId="0" borderId="22" xfId="0" applyFont="1" applyFill="1" applyBorder="1" applyAlignment="1" applyProtection="1">
      <alignment horizontal="center" vertical="center" textRotation="90" wrapText="1"/>
    </xf>
    <xf numFmtId="0" fontId="24" fillId="12" borderId="69" xfId="0" applyFont="1" applyFill="1" applyBorder="1" applyAlignment="1" applyProtection="1">
      <alignment horizontal="center" vertical="center" wrapText="1"/>
    </xf>
    <xf numFmtId="0" fontId="24" fillId="12" borderId="68" xfId="0" applyFont="1" applyFill="1" applyBorder="1" applyAlignment="1" applyProtection="1">
      <alignment horizontal="center" vertical="center" wrapText="1"/>
    </xf>
    <xf numFmtId="0" fontId="15" fillId="7" borderId="7" xfId="0" applyFont="1" applyFill="1" applyBorder="1" applyAlignment="1" applyProtection="1">
      <alignment horizontal="left" vertical="center" wrapText="1"/>
    </xf>
    <xf numFmtId="0" fontId="10" fillId="0" borderId="43" xfId="0" applyFont="1" applyBorder="1" applyAlignment="1" applyProtection="1">
      <alignment horizontal="center" vertical="top" wrapText="1"/>
    </xf>
    <xf numFmtId="0" fontId="10" fillId="0" borderId="34" xfId="0" applyFont="1" applyBorder="1" applyAlignment="1" applyProtection="1">
      <alignment horizontal="center" vertical="top" wrapText="1"/>
    </xf>
    <xf numFmtId="0" fontId="10" fillId="0" borderId="30" xfId="0" applyFont="1" applyBorder="1" applyAlignment="1" applyProtection="1">
      <alignment horizontal="center" vertical="top" wrapText="1"/>
    </xf>
    <xf numFmtId="0" fontId="10"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protection locked="0"/>
    </xf>
    <xf numFmtId="0" fontId="15" fillId="7" borderId="7" xfId="0" applyFont="1" applyFill="1" applyBorder="1" applyAlignment="1" applyProtection="1">
      <alignment horizontal="left" vertical="center"/>
    </xf>
    <xf numFmtId="0" fontId="15" fillId="7" borderId="7" xfId="0" applyFont="1" applyFill="1" applyBorder="1" applyAlignment="1" applyProtection="1">
      <alignment horizontal="center" vertical="center" wrapText="1"/>
    </xf>
    <xf numFmtId="0" fontId="10" fillId="0" borderId="54" xfId="0" applyFont="1" applyBorder="1" applyAlignment="1" applyProtection="1">
      <alignment horizontal="center" vertical="top" wrapText="1"/>
    </xf>
    <xf numFmtId="0" fontId="10" fillId="0" borderId="16" xfId="0" applyFont="1" applyBorder="1" applyAlignment="1" applyProtection="1">
      <alignment horizontal="center" vertical="top" wrapText="1"/>
    </xf>
    <xf numFmtId="0" fontId="10" fillId="0" borderId="49" xfId="0" applyFont="1" applyBorder="1" applyAlignment="1" applyProtection="1">
      <alignment horizontal="center" vertical="top" wrapText="1"/>
    </xf>
    <xf numFmtId="10" fontId="27" fillId="0" borderId="18" xfId="0" applyNumberFormat="1" applyFont="1" applyBorder="1" applyAlignment="1" applyProtection="1">
      <alignment horizontal="center" vertical="center" wrapText="1"/>
    </xf>
    <xf numFmtId="0" fontId="28" fillId="5" borderId="70" xfId="0" applyFont="1" applyFill="1" applyBorder="1" applyAlignment="1" applyProtection="1">
      <alignment horizontal="center" vertical="center" wrapText="1"/>
    </xf>
    <xf numFmtId="0" fontId="28" fillId="5" borderId="31" xfId="0" applyFont="1" applyFill="1" applyBorder="1" applyAlignment="1" applyProtection="1">
      <alignment horizontal="center" vertical="center" wrapText="1"/>
    </xf>
    <xf numFmtId="0" fontId="28" fillId="5" borderId="30" xfId="0" applyFont="1" applyFill="1" applyBorder="1" applyAlignment="1" applyProtection="1">
      <alignment horizontal="center" vertical="center" wrapText="1"/>
    </xf>
    <xf numFmtId="0" fontId="0" fillId="0" borderId="18" xfId="0" applyBorder="1" applyAlignment="1" applyProtection="1">
      <alignment horizontal="center" wrapText="1"/>
    </xf>
    <xf numFmtId="0" fontId="0" fillId="0" borderId="18" xfId="0" applyBorder="1"/>
    <xf numFmtId="0" fontId="0" fillId="0" borderId="18" xfId="0" applyBorder="1" applyAlignment="1" applyProtection="1">
      <alignment horizontal="center"/>
    </xf>
    <xf numFmtId="0" fontId="28" fillId="0" borderId="18" xfId="0" applyFont="1" applyBorder="1" applyAlignment="1" applyProtection="1">
      <alignment horizontal="center" vertical="center" wrapText="1"/>
    </xf>
    <xf numFmtId="0" fontId="10" fillId="0" borderId="44"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15" fillId="7" borderId="7" xfId="0" applyFont="1" applyFill="1" applyBorder="1" applyAlignment="1" applyProtection="1">
      <alignment horizontal="left" wrapText="1"/>
    </xf>
    <xf numFmtId="0" fontId="17" fillId="7" borderId="15" xfId="0" applyFont="1" applyFill="1" applyBorder="1" applyAlignment="1" applyProtection="1">
      <alignment horizontal="center" vertical="center" wrapText="1"/>
    </xf>
    <xf numFmtId="0" fontId="17" fillId="7" borderId="7" xfId="0" applyFont="1" applyFill="1" applyBorder="1" applyAlignment="1" applyProtection="1">
      <alignment horizontal="center" vertical="center" wrapText="1"/>
    </xf>
    <xf numFmtId="0" fontId="15" fillId="7" borderId="7" xfId="0" applyFont="1" applyFill="1" applyBorder="1" applyAlignment="1" applyProtection="1">
      <alignment horizontal="center"/>
    </xf>
    <xf numFmtId="0" fontId="3" fillId="2" borderId="2" xfId="1" applyFont="1" applyFill="1" applyBorder="1" applyAlignment="1" applyProtection="1">
      <alignment horizontal="center" vertical="center"/>
    </xf>
  </cellXfs>
  <cellStyles count="99">
    <cellStyle name="20% - Accent1" xfId="12"/>
    <cellStyle name="20% - Accent2" xfId="13"/>
    <cellStyle name="20% - Accent3" xfId="14"/>
    <cellStyle name="20% - Accent4" xfId="15"/>
    <cellStyle name="20% - Accent5" xfId="16"/>
    <cellStyle name="20% - Accent6" xfId="17"/>
    <cellStyle name="20% - Énfasis1 2" xfId="18"/>
    <cellStyle name="20% - Énfasis2 2" xfId="19"/>
    <cellStyle name="20% - Énfasis3 2" xfId="20"/>
    <cellStyle name="20% - Énfasis4 2" xfId="21"/>
    <cellStyle name="20% - Énfasis5 2" xfId="22"/>
    <cellStyle name="20% - Énfasis6 2" xfId="23"/>
    <cellStyle name="40% - Accent1" xfId="24"/>
    <cellStyle name="40% - Accent2" xfId="25"/>
    <cellStyle name="40% - Accent3" xfId="26"/>
    <cellStyle name="40% - Accent4" xfId="27"/>
    <cellStyle name="40% - Accent5" xfId="28"/>
    <cellStyle name="40% - Accent6" xfId="29"/>
    <cellStyle name="40% - Énfasis1 2" xfId="30"/>
    <cellStyle name="40% - Énfasis2 2" xfId="31"/>
    <cellStyle name="40% - Énfasis3 2" xfId="32"/>
    <cellStyle name="40% - Énfasis4 2" xfId="33"/>
    <cellStyle name="40% - Énfasis5 2" xfId="34"/>
    <cellStyle name="40% - Énfasis6 2" xfId="35"/>
    <cellStyle name="60% - Accent1" xfId="36"/>
    <cellStyle name="60% - Accent2" xfId="37"/>
    <cellStyle name="60% - Accent3" xfId="38"/>
    <cellStyle name="60% - Accent4" xfId="39"/>
    <cellStyle name="60% - Accent5" xfId="40"/>
    <cellStyle name="60% - Accent6" xfId="41"/>
    <cellStyle name="60% - Énfasis1 2" xfId="42"/>
    <cellStyle name="60% - Énfasis2 2" xfId="43"/>
    <cellStyle name="60% - Énfasis3 2" xfId="44"/>
    <cellStyle name="60% - Énfasis4 2" xfId="45"/>
    <cellStyle name="60% - Énfasis5 2" xfId="46"/>
    <cellStyle name="60% - Énfasis6 2" xfId="47"/>
    <cellStyle name="Accent1" xfId="48"/>
    <cellStyle name="Accent2" xfId="49"/>
    <cellStyle name="Accent3" xfId="50"/>
    <cellStyle name="Accent4" xfId="51"/>
    <cellStyle name="Accent5" xfId="52"/>
    <cellStyle name="Accent6" xfId="53"/>
    <cellStyle name="Amarillo" xfId="95"/>
    <cellStyle name="Bad" xfId="54"/>
    <cellStyle name="Buena 2" xfId="55"/>
    <cellStyle name="Calculation" xfId="56"/>
    <cellStyle name="Cálculo 2" xfId="57"/>
    <cellStyle name="Celda de comprobación 2" xfId="58"/>
    <cellStyle name="Celda vinculada 2" xfId="59"/>
    <cellStyle name="Encabezado 4 2" xfId="60"/>
    <cellStyle name="Énfasis1 2" xfId="61"/>
    <cellStyle name="Énfasis2 2" xfId="62"/>
    <cellStyle name="Énfasis3 2" xfId="63"/>
    <cellStyle name="Énfasis4 2" xfId="64"/>
    <cellStyle name="Énfasis5 2" xfId="65"/>
    <cellStyle name="Énfasis6 2" xfId="66"/>
    <cellStyle name="Entrada 2" xfId="67"/>
    <cellStyle name="Euro" xfId="68"/>
    <cellStyle name="Euro 2" xfId="69"/>
    <cellStyle name="Excel Built-in Normal_Hoja1" xfId="93"/>
    <cellStyle name="Explanatory Text" xfId="70"/>
    <cellStyle name="Heading 1" xfId="71"/>
    <cellStyle name="Heading 2" xfId="72"/>
    <cellStyle name="Heading 3" xfId="73"/>
    <cellStyle name="Incorrecto 2" xfId="74"/>
    <cellStyle name="Millares 2" xfId="10"/>
    <cellStyle name="Millares 2 2" xfId="3"/>
    <cellStyle name="Millares 3" xfId="75"/>
    <cellStyle name="Millares 3 2" xfId="76"/>
    <cellStyle name="Millares 4" xfId="77"/>
    <cellStyle name="Millares 5" xfId="94"/>
    <cellStyle name="Millares 6" xfId="98"/>
    <cellStyle name="Neutral 2" xfId="78"/>
    <cellStyle name="Normal" xfId="0" builtinId="0"/>
    <cellStyle name="Normal 2" xfId="1"/>
    <cellStyle name="Normal 2 2" xfId="4"/>
    <cellStyle name="Normal 2 3" xfId="5"/>
    <cellStyle name="Normal 3" xfId="2"/>
    <cellStyle name="Normal_Hoja1" xfId="9"/>
    <cellStyle name="Notas 2" xfId="79"/>
    <cellStyle name="Note 2" xfId="80"/>
    <cellStyle name="Output" xfId="81"/>
    <cellStyle name="Porcentual 2" xfId="8"/>
    <cellStyle name="Porcentual 3" xfId="7"/>
    <cellStyle name="Porcentual 3 2" xfId="82"/>
    <cellStyle name="Porcentual 4" xfId="11"/>
    <cellStyle name="Porcentual 5" xfId="83"/>
    <cellStyle name="Rojo" xfId="96"/>
    <cellStyle name="Salida 2" xfId="84"/>
    <cellStyle name="TableStyleLight1" xfId="6"/>
    <cellStyle name="Texto de advertencia 2" xfId="85"/>
    <cellStyle name="Texto explicativo 2" xfId="86"/>
    <cellStyle name="Title" xfId="87"/>
    <cellStyle name="Título 1 2" xfId="88"/>
    <cellStyle name="Título 2 2" xfId="89"/>
    <cellStyle name="Título 3 2" xfId="90"/>
    <cellStyle name="Título 4" xfId="91"/>
    <cellStyle name="Total 2" xfId="92"/>
    <cellStyle name="Verde" xfId="97"/>
  </cellStyles>
  <dxfs count="762">
    <dxf>
      <fill>
        <patternFill>
          <bgColor indexed="11"/>
        </patternFill>
      </fill>
    </dxf>
    <dxf>
      <fill>
        <patternFill>
          <bgColor indexed="13"/>
        </patternFill>
      </fill>
    </dxf>
    <dxf>
      <fill>
        <patternFill patternType="none">
          <bgColor indexed="65"/>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
      <font>
        <b val="0"/>
        <i val="0"/>
        <strike val="0"/>
        <condense val="0"/>
        <extend val="0"/>
        <u val="none"/>
        <sz val="10"/>
        <color indexed="8"/>
      </font>
      <fill>
        <patternFill patternType="solid">
          <fgColor indexed="60"/>
          <bgColor indexed="10"/>
        </patternFill>
      </fill>
      <border>
        <left/>
        <right/>
        <top/>
        <bottom/>
      </border>
    </dxf>
    <dxf>
      <font>
        <b val="0"/>
        <i val="0"/>
        <strike val="0"/>
        <condense val="0"/>
        <extend val="0"/>
        <u val="none"/>
        <sz val="10"/>
        <color indexed="8"/>
      </font>
      <fill>
        <patternFill patternType="solid">
          <fgColor indexed="34"/>
          <bgColor indexed="13"/>
        </patternFill>
      </fill>
      <border>
        <left/>
        <right/>
        <top/>
        <bottom/>
      </border>
    </dxf>
    <dxf>
      <font>
        <b val="0"/>
        <i val="0"/>
        <strike val="0"/>
        <condense val="0"/>
        <extend val="0"/>
        <u val="none"/>
        <sz val="10"/>
        <color indexed="8"/>
      </font>
      <fill>
        <patternFill patternType="solid">
          <fgColor indexed="21"/>
          <bgColor indexed="17"/>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1</xdr:row>
      <xdr:rowOff>0</xdr:rowOff>
    </xdr:from>
    <xdr:to>
      <xdr:col>0</xdr:col>
      <xdr:colOff>1247775</xdr:colOff>
      <xdr:row>5</xdr:row>
      <xdr:rowOff>180975</xdr:rowOff>
    </xdr:to>
    <xdr:pic>
      <xdr:nvPicPr>
        <xdr:cNvPr id="2" name="Picture 31" descr="imagenes_r1_c1"/>
        <xdr:cNvPicPr>
          <a:picLocks noChangeAspect="1" noChangeArrowheads="1"/>
        </xdr:cNvPicPr>
      </xdr:nvPicPr>
      <xdr:blipFill>
        <a:blip xmlns:r="http://schemas.openxmlformats.org/officeDocument/2006/relationships" r:embed="rId1" cstate="print"/>
        <a:srcRect/>
        <a:stretch>
          <a:fillRect/>
        </a:stretch>
      </xdr:blipFill>
      <xdr:spPr bwMode="auto">
        <a:xfrm>
          <a:off x="66675" y="190500"/>
          <a:ext cx="695325" cy="942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2"/>
  <sheetViews>
    <sheetView zoomScale="70" zoomScaleNormal="70" workbookViewId="0">
      <selection activeCell="Z42" sqref="Z42"/>
    </sheetView>
  </sheetViews>
  <sheetFormatPr baseColWidth="10" defaultColWidth="11.5703125" defaultRowHeight="12.75" customHeight="1"/>
  <cols>
    <col min="1" max="1" width="16.85546875" style="514" customWidth="1"/>
    <col min="2" max="2" width="15.140625" style="514" customWidth="1"/>
    <col min="3" max="3" width="21.5703125" style="514" customWidth="1"/>
    <col min="4" max="4" width="16" style="514" customWidth="1"/>
    <col min="5" max="5" width="45" style="514" customWidth="1"/>
    <col min="6" max="6" width="12.5703125" style="514" customWidth="1"/>
    <col min="7" max="8" width="15" style="514" customWidth="1"/>
    <col min="9" max="24" width="12.5703125" style="514" customWidth="1"/>
    <col min="25" max="25" width="26.28515625" style="514" customWidth="1"/>
    <col min="26" max="26" width="66.42578125" style="514" customWidth="1"/>
    <col min="27" max="27" width="24.28515625" style="514" customWidth="1"/>
    <col min="28" max="28" width="22.28515625" style="514" customWidth="1"/>
    <col min="29" max="29" width="14.85546875" style="514" customWidth="1"/>
    <col min="30" max="30" width="22" style="514" customWidth="1"/>
    <col min="31" max="31" width="92.140625" style="514" customWidth="1"/>
    <col min="32" max="32" width="13" style="514" customWidth="1"/>
    <col min="33" max="33" width="11.5703125" style="514"/>
    <col min="34" max="34" width="46.7109375" style="514" customWidth="1"/>
    <col min="35" max="35" width="17.5703125" style="514" customWidth="1"/>
    <col min="36" max="36" width="13.5703125" style="514" customWidth="1"/>
    <col min="37" max="37" width="11.5703125" style="514"/>
    <col min="38" max="38" width="62" style="514" customWidth="1"/>
    <col min="39" max="39" width="12.7109375" style="514" customWidth="1"/>
    <col min="40" max="40" width="14.28515625" style="514" customWidth="1"/>
    <col min="41" max="41" width="11.5703125" style="514"/>
    <col min="42" max="42" width="61.7109375" style="514" customWidth="1"/>
    <col min="43" max="43" width="12.85546875" style="514" customWidth="1"/>
    <col min="44" max="44" width="13" style="514" customWidth="1"/>
    <col min="45" max="45" width="11.5703125" style="514"/>
    <col min="46" max="46" width="55.42578125" style="514" customWidth="1"/>
    <col min="47" max="47" width="17.5703125" style="514" customWidth="1"/>
    <col min="48" max="256" width="11.5703125" style="514"/>
    <col min="257" max="257" width="16.85546875" style="514" customWidth="1"/>
    <col min="258" max="258" width="15.140625" style="514" customWidth="1"/>
    <col min="259" max="259" width="21.5703125" style="514" customWidth="1"/>
    <col min="260" max="260" width="16" style="514" customWidth="1"/>
    <col min="261" max="261" width="45" style="514" customWidth="1"/>
    <col min="262" max="262" width="12.5703125" style="514" customWidth="1"/>
    <col min="263" max="264" width="15" style="514" customWidth="1"/>
    <col min="265" max="280" width="12.5703125" style="514" customWidth="1"/>
    <col min="281" max="281" width="26.28515625" style="514" customWidth="1"/>
    <col min="282" max="282" width="66.42578125" style="514" customWidth="1"/>
    <col min="283" max="283" width="24.28515625" style="514" customWidth="1"/>
    <col min="284" max="284" width="22.28515625" style="514" customWidth="1"/>
    <col min="285" max="285" width="14.85546875" style="514" customWidth="1"/>
    <col min="286" max="286" width="22" style="514" customWidth="1"/>
    <col min="287" max="287" width="92.140625" style="514" customWidth="1"/>
    <col min="288" max="288" width="13" style="514" customWidth="1"/>
    <col min="289" max="289" width="11.5703125" style="514"/>
    <col min="290" max="290" width="46.7109375" style="514" customWidth="1"/>
    <col min="291" max="291" width="17.5703125" style="514" customWidth="1"/>
    <col min="292" max="292" width="13.5703125" style="514" customWidth="1"/>
    <col min="293" max="293" width="11.5703125" style="514"/>
    <col min="294" max="294" width="62" style="514" customWidth="1"/>
    <col min="295" max="295" width="12.7109375" style="514" customWidth="1"/>
    <col min="296" max="296" width="14.28515625" style="514" customWidth="1"/>
    <col min="297" max="297" width="11.5703125" style="514"/>
    <col min="298" max="298" width="61.7109375" style="514" customWidth="1"/>
    <col min="299" max="299" width="12.85546875" style="514" customWidth="1"/>
    <col min="300" max="300" width="13" style="514" customWidth="1"/>
    <col min="301" max="301" width="11.5703125" style="514"/>
    <col min="302" max="302" width="55.42578125" style="514" customWidth="1"/>
    <col min="303" max="303" width="17.5703125" style="514" customWidth="1"/>
    <col min="304" max="512" width="11.5703125" style="514"/>
    <col min="513" max="513" width="16.85546875" style="514" customWidth="1"/>
    <col min="514" max="514" width="15.140625" style="514" customWidth="1"/>
    <col min="515" max="515" width="21.5703125" style="514" customWidth="1"/>
    <col min="516" max="516" width="16" style="514" customWidth="1"/>
    <col min="517" max="517" width="45" style="514" customWidth="1"/>
    <col min="518" max="518" width="12.5703125" style="514" customWidth="1"/>
    <col min="519" max="520" width="15" style="514" customWidth="1"/>
    <col min="521" max="536" width="12.5703125" style="514" customWidth="1"/>
    <col min="537" max="537" width="26.28515625" style="514" customWidth="1"/>
    <col min="538" max="538" width="66.42578125" style="514" customWidth="1"/>
    <col min="539" max="539" width="24.28515625" style="514" customWidth="1"/>
    <col min="540" max="540" width="22.28515625" style="514" customWidth="1"/>
    <col min="541" max="541" width="14.85546875" style="514" customWidth="1"/>
    <col min="542" max="542" width="22" style="514" customWidth="1"/>
    <col min="543" max="543" width="92.140625" style="514" customWidth="1"/>
    <col min="544" max="544" width="13" style="514" customWidth="1"/>
    <col min="545" max="545" width="11.5703125" style="514"/>
    <col min="546" max="546" width="46.7109375" style="514" customWidth="1"/>
    <col min="547" max="547" width="17.5703125" style="514" customWidth="1"/>
    <col min="548" max="548" width="13.5703125" style="514" customWidth="1"/>
    <col min="549" max="549" width="11.5703125" style="514"/>
    <col min="550" max="550" width="62" style="514" customWidth="1"/>
    <col min="551" max="551" width="12.7109375" style="514" customWidth="1"/>
    <col min="552" max="552" width="14.28515625" style="514" customWidth="1"/>
    <col min="553" max="553" width="11.5703125" style="514"/>
    <col min="554" max="554" width="61.7109375" style="514" customWidth="1"/>
    <col min="555" max="555" width="12.85546875" style="514" customWidth="1"/>
    <col min="556" max="556" width="13" style="514" customWidth="1"/>
    <col min="557" max="557" width="11.5703125" style="514"/>
    <col min="558" max="558" width="55.42578125" style="514" customWidth="1"/>
    <col min="559" max="559" width="17.5703125" style="514" customWidth="1"/>
    <col min="560" max="768" width="11.5703125" style="514"/>
    <col min="769" max="769" width="16.85546875" style="514" customWidth="1"/>
    <col min="770" max="770" width="15.140625" style="514" customWidth="1"/>
    <col min="771" max="771" width="21.5703125" style="514" customWidth="1"/>
    <col min="772" max="772" width="16" style="514" customWidth="1"/>
    <col min="773" max="773" width="45" style="514" customWidth="1"/>
    <col min="774" max="774" width="12.5703125" style="514" customWidth="1"/>
    <col min="775" max="776" width="15" style="514" customWidth="1"/>
    <col min="777" max="792" width="12.5703125" style="514" customWidth="1"/>
    <col min="793" max="793" width="26.28515625" style="514" customWidth="1"/>
    <col min="794" max="794" width="66.42578125" style="514" customWidth="1"/>
    <col min="795" max="795" width="24.28515625" style="514" customWidth="1"/>
    <col min="796" max="796" width="22.28515625" style="514" customWidth="1"/>
    <col min="797" max="797" width="14.85546875" style="514" customWidth="1"/>
    <col min="798" max="798" width="22" style="514" customWidth="1"/>
    <col min="799" max="799" width="92.140625" style="514" customWidth="1"/>
    <col min="800" max="800" width="13" style="514" customWidth="1"/>
    <col min="801" max="801" width="11.5703125" style="514"/>
    <col min="802" max="802" width="46.7109375" style="514" customWidth="1"/>
    <col min="803" max="803" width="17.5703125" style="514" customWidth="1"/>
    <col min="804" max="804" width="13.5703125" style="514" customWidth="1"/>
    <col min="805" max="805" width="11.5703125" style="514"/>
    <col min="806" max="806" width="62" style="514" customWidth="1"/>
    <col min="807" max="807" width="12.7109375" style="514" customWidth="1"/>
    <col min="808" max="808" width="14.28515625" style="514" customWidth="1"/>
    <col min="809" max="809" width="11.5703125" style="514"/>
    <col min="810" max="810" width="61.7109375" style="514" customWidth="1"/>
    <col min="811" max="811" width="12.85546875" style="514" customWidth="1"/>
    <col min="812" max="812" width="13" style="514" customWidth="1"/>
    <col min="813" max="813" width="11.5703125" style="514"/>
    <col min="814" max="814" width="55.42578125" style="514" customWidth="1"/>
    <col min="815" max="815" width="17.5703125" style="514" customWidth="1"/>
    <col min="816" max="1024" width="11.5703125" style="514"/>
    <col min="1025" max="1025" width="16.85546875" style="514" customWidth="1"/>
    <col min="1026" max="1026" width="15.140625" style="514" customWidth="1"/>
    <col min="1027" max="1027" width="21.5703125" style="514" customWidth="1"/>
    <col min="1028" max="1028" width="16" style="514" customWidth="1"/>
    <col min="1029" max="1029" width="45" style="514" customWidth="1"/>
    <col min="1030" max="1030" width="12.5703125" style="514" customWidth="1"/>
    <col min="1031" max="1032" width="15" style="514" customWidth="1"/>
    <col min="1033" max="1048" width="12.5703125" style="514" customWidth="1"/>
    <col min="1049" max="1049" width="26.28515625" style="514" customWidth="1"/>
    <col min="1050" max="1050" width="66.42578125" style="514" customWidth="1"/>
    <col min="1051" max="1051" width="24.28515625" style="514" customWidth="1"/>
    <col min="1052" max="1052" width="22.28515625" style="514" customWidth="1"/>
    <col min="1053" max="1053" width="14.85546875" style="514" customWidth="1"/>
    <col min="1054" max="1054" width="22" style="514" customWidth="1"/>
    <col min="1055" max="1055" width="92.140625" style="514" customWidth="1"/>
    <col min="1056" max="1056" width="13" style="514" customWidth="1"/>
    <col min="1057" max="1057" width="11.5703125" style="514"/>
    <col min="1058" max="1058" width="46.7109375" style="514" customWidth="1"/>
    <col min="1059" max="1059" width="17.5703125" style="514" customWidth="1"/>
    <col min="1060" max="1060" width="13.5703125" style="514" customWidth="1"/>
    <col min="1061" max="1061" width="11.5703125" style="514"/>
    <col min="1062" max="1062" width="62" style="514" customWidth="1"/>
    <col min="1063" max="1063" width="12.7109375" style="514" customWidth="1"/>
    <col min="1064" max="1064" width="14.28515625" style="514" customWidth="1"/>
    <col min="1065" max="1065" width="11.5703125" style="514"/>
    <col min="1066" max="1066" width="61.7109375" style="514" customWidth="1"/>
    <col min="1067" max="1067" width="12.85546875" style="514" customWidth="1"/>
    <col min="1068" max="1068" width="13" style="514" customWidth="1"/>
    <col min="1069" max="1069" width="11.5703125" style="514"/>
    <col min="1070" max="1070" width="55.42578125" style="514" customWidth="1"/>
    <col min="1071" max="1071" width="17.5703125" style="514" customWidth="1"/>
    <col min="1072" max="1280" width="11.5703125" style="514"/>
    <col min="1281" max="1281" width="16.85546875" style="514" customWidth="1"/>
    <col min="1282" max="1282" width="15.140625" style="514" customWidth="1"/>
    <col min="1283" max="1283" width="21.5703125" style="514" customWidth="1"/>
    <col min="1284" max="1284" width="16" style="514" customWidth="1"/>
    <col min="1285" max="1285" width="45" style="514" customWidth="1"/>
    <col min="1286" max="1286" width="12.5703125" style="514" customWidth="1"/>
    <col min="1287" max="1288" width="15" style="514" customWidth="1"/>
    <col min="1289" max="1304" width="12.5703125" style="514" customWidth="1"/>
    <col min="1305" max="1305" width="26.28515625" style="514" customWidth="1"/>
    <col min="1306" max="1306" width="66.42578125" style="514" customWidth="1"/>
    <col min="1307" max="1307" width="24.28515625" style="514" customWidth="1"/>
    <col min="1308" max="1308" width="22.28515625" style="514" customWidth="1"/>
    <col min="1309" max="1309" width="14.85546875" style="514" customWidth="1"/>
    <col min="1310" max="1310" width="22" style="514" customWidth="1"/>
    <col min="1311" max="1311" width="92.140625" style="514" customWidth="1"/>
    <col min="1312" max="1312" width="13" style="514" customWidth="1"/>
    <col min="1313" max="1313" width="11.5703125" style="514"/>
    <col min="1314" max="1314" width="46.7109375" style="514" customWidth="1"/>
    <col min="1315" max="1315" width="17.5703125" style="514" customWidth="1"/>
    <col min="1316" max="1316" width="13.5703125" style="514" customWidth="1"/>
    <col min="1317" max="1317" width="11.5703125" style="514"/>
    <col min="1318" max="1318" width="62" style="514" customWidth="1"/>
    <col min="1319" max="1319" width="12.7109375" style="514" customWidth="1"/>
    <col min="1320" max="1320" width="14.28515625" style="514" customWidth="1"/>
    <col min="1321" max="1321" width="11.5703125" style="514"/>
    <col min="1322" max="1322" width="61.7109375" style="514" customWidth="1"/>
    <col min="1323" max="1323" width="12.85546875" style="514" customWidth="1"/>
    <col min="1324" max="1324" width="13" style="514" customWidth="1"/>
    <col min="1325" max="1325" width="11.5703125" style="514"/>
    <col min="1326" max="1326" width="55.42578125" style="514" customWidth="1"/>
    <col min="1327" max="1327" width="17.5703125" style="514" customWidth="1"/>
    <col min="1328" max="1536" width="11.5703125" style="514"/>
    <col min="1537" max="1537" width="16.85546875" style="514" customWidth="1"/>
    <col min="1538" max="1538" width="15.140625" style="514" customWidth="1"/>
    <col min="1539" max="1539" width="21.5703125" style="514" customWidth="1"/>
    <col min="1540" max="1540" width="16" style="514" customWidth="1"/>
    <col min="1541" max="1541" width="45" style="514" customWidth="1"/>
    <col min="1542" max="1542" width="12.5703125" style="514" customWidth="1"/>
    <col min="1543" max="1544" width="15" style="514" customWidth="1"/>
    <col min="1545" max="1560" width="12.5703125" style="514" customWidth="1"/>
    <col min="1561" max="1561" width="26.28515625" style="514" customWidth="1"/>
    <col min="1562" max="1562" width="66.42578125" style="514" customWidth="1"/>
    <col min="1563" max="1563" width="24.28515625" style="514" customWidth="1"/>
    <col min="1564" max="1564" width="22.28515625" style="514" customWidth="1"/>
    <col min="1565" max="1565" width="14.85546875" style="514" customWidth="1"/>
    <col min="1566" max="1566" width="22" style="514" customWidth="1"/>
    <col min="1567" max="1567" width="92.140625" style="514" customWidth="1"/>
    <col min="1568" max="1568" width="13" style="514" customWidth="1"/>
    <col min="1569" max="1569" width="11.5703125" style="514"/>
    <col min="1570" max="1570" width="46.7109375" style="514" customWidth="1"/>
    <col min="1571" max="1571" width="17.5703125" style="514" customWidth="1"/>
    <col min="1572" max="1572" width="13.5703125" style="514" customWidth="1"/>
    <col min="1573" max="1573" width="11.5703125" style="514"/>
    <col min="1574" max="1574" width="62" style="514" customWidth="1"/>
    <col min="1575" max="1575" width="12.7109375" style="514" customWidth="1"/>
    <col min="1576" max="1576" width="14.28515625" style="514" customWidth="1"/>
    <col min="1577" max="1577" width="11.5703125" style="514"/>
    <col min="1578" max="1578" width="61.7109375" style="514" customWidth="1"/>
    <col min="1579" max="1579" width="12.85546875" style="514" customWidth="1"/>
    <col min="1580" max="1580" width="13" style="514" customWidth="1"/>
    <col min="1581" max="1581" width="11.5703125" style="514"/>
    <col min="1582" max="1582" width="55.42578125" style="514" customWidth="1"/>
    <col min="1583" max="1583" width="17.5703125" style="514" customWidth="1"/>
    <col min="1584" max="1792" width="11.5703125" style="514"/>
    <col min="1793" max="1793" width="16.85546875" style="514" customWidth="1"/>
    <col min="1794" max="1794" width="15.140625" style="514" customWidth="1"/>
    <col min="1795" max="1795" width="21.5703125" style="514" customWidth="1"/>
    <col min="1796" max="1796" width="16" style="514" customWidth="1"/>
    <col min="1797" max="1797" width="45" style="514" customWidth="1"/>
    <col min="1798" max="1798" width="12.5703125" style="514" customWidth="1"/>
    <col min="1799" max="1800" width="15" style="514" customWidth="1"/>
    <col min="1801" max="1816" width="12.5703125" style="514" customWidth="1"/>
    <col min="1817" max="1817" width="26.28515625" style="514" customWidth="1"/>
    <col min="1818" max="1818" width="66.42578125" style="514" customWidth="1"/>
    <col min="1819" max="1819" width="24.28515625" style="514" customWidth="1"/>
    <col min="1820" max="1820" width="22.28515625" style="514" customWidth="1"/>
    <col min="1821" max="1821" width="14.85546875" style="514" customWidth="1"/>
    <col min="1822" max="1822" width="22" style="514" customWidth="1"/>
    <col min="1823" max="1823" width="92.140625" style="514" customWidth="1"/>
    <col min="1824" max="1824" width="13" style="514" customWidth="1"/>
    <col min="1825" max="1825" width="11.5703125" style="514"/>
    <col min="1826" max="1826" width="46.7109375" style="514" customWidth="1"/>
    <col min="1827" max="1827" width="17.5703125" style="514" customWidth="1"/>
    <col min="1828" max="1828" width="13.5703125" style="514" customWidth="1"/>
    <col min="1829" max="1829" width="11.5703125" style="514"/>
    <col min="1830" max="1830" width="62" style="514" customWidth="1"/>
    <col min="1831" max="1831" width="12.7109375" style="514" customWidth="1"/>
    <col min="1832" max="1832" width="14.28515625" style="514" customWidth="1"/>
    <col min="1833" max="1833" width="11.5703125" style="514"/>
    <col min="1834" max="1834" width="61.7109375" style="514" customWidth="1"/>
    <col min="1835" max="1835" width="12.85546875" style="514" customWidth="1"/>
    <col min="1836" max="1836" width="13" style="514" customWidth="1"/>
    <col min="1837" max="1837" width="11.5703125" style="514"/>
    <col min="1838" max="1838" width="55.42578125" style="514" customWidth="1"/>
    <col min="1839" max="1839" width="17.5703125" style="514" customWidth="1"/>
    <col min="1840" max="2048" width="11.5703125" style="514"/>
    <col min="2049" max="2049" width="16.85546875" style="514" customWidth="1"/>
    <col min="2050" max="2050" width="15.140625" style="514" customWidth="1"/>
    <col min="2051" max="2051" width="21.5703125" style="514" customWidth="1"/>
    <col min="2052" max="2052" width="16" style="514" customWidth="1"/>
    <col min="2053" max="2053" width="45" style="514" customWidth="1"/>
    <col min="2054" max="2054" width="12.5703125" style="514" customWidth="1"/>
    <col min="2055" max="2056" width="15" style="514" customWidth="1"/>
    <col min="2057" max="2072" width="12.5703125" style="514" customWidth="1"/>
    <col min="2073" max="2073" width="26.28515625" style="514" customWidth="1"/>
    <col min="2074" max="2074" width="66.42578125" style="514" customWidth="1"/>
    <col min="2075" max="2075" width="24.28515625" style="514" customWidth="1"/>
    <col min="2076" max="2076" width="22.28515625" style="514" customWidth="1"/>
    <col min="2077" max="2077" width="14.85546875" style="514" customWidth="1"/>
    <col min="2078" max="2078" width="22" style="514" customWidth="1"/>
    <col min="2079" max="2079" width="92.140625" style="514" customWidth="1"/>
    <col min="2080" max="2080" width="13" style="514" customWidth="1"/>
    <col min="2081" max="2081" width="11.5703125" style="514"/>
    <col min="2082" max="2082" width="46.7109375" style="514" customWidth="1"/>
    <col min="2083" max="2083" width="17.5703125" style="514" customWidth="1"/>
    <col min="2084" max="2084" width="13.5703125" style="514" customWidth="1"/>
    <col min="2085" max="2085" width="11.5703125" style="514"/>
    <col min="2086" max="2086" width="62" style="514" customWidth="1"/>
    <col min="2087" max="2087" width="12.7109375" style="514" customWidth="1"/>
    <col min="2088" max="2088" width="14.28515625" style="514" customWidth="1"/>
    <col min="2089" max="2089" width="11.5703125" style="514"/>
    <col min="2090" max="2090" width="61.7109375" style="514" customWidth="1"/>
    <col min="2091" max="2091" width="12.85546875" style="514" customWidth="1"/>
    <col min="2092" max="2092" width="13" style="514" customWidth="1"/>
    <col min="2093" max="2093" width="11.5703125" style="514"/>
    <col min="2094" max="2094" width="55.42578125" style="514" customWidth="1"/>
    <col min="2095" max="2095" width="17.5703125" style="514" customWidth="1"/>
    <col min="2096" max="2304" width="11.5703125" style="514"/>
    <col min="2305" max="2305" width="16.85546875" style="514" customWidth="1"/>
    <col min="2306" max="2306" width="15.140625" style="514" customWidth="1"/>
    <col min="2307" max="2307" width="21.5703125" style="514" customWidth="1"/>
    <col min="2308" max="2308" width="16" style="514" customWidth="1"/>
    <col min="2309" max="2309" width="45" style="514" customWidth="1"/>
    <col min="2310" max="2310" width="12.5703125" style="514" customWidth="1"/>
    <col min="2311" max="2312" width="15" style="514" customWidth="1"/>
    <col min="2313" max="2328" width="12.5703125" style="514" customWidth="1"/>
    <col min="2329" max="2329" width="26.28515625" style="514" customWidth="1"/>
    <col min="2330" max="2330" width="66.42578125" style="514" customWidth="1"/>
    <col min="2331" max="2331" width="24.28515625" style="514" customWidth="1"/>
    <col min="2332" max="2332" width="22.28515625" style="514" customWidth="1"/>
    <col min="2333" max="2333" width="14.85546875" style="514" customWidth="1"/>
    <col min="2334" max="2334" width="22" style="514" customWidth="1"/>
    <col min="2335" max="2335" width="92.140625" style="514" customWidth="1"/>
    <col min="2336" max="2336" width="13" style="514" customWidth="1"/>
    <col min="2337" max="2337" width="11.5703125" style="514"/>
    <col min="2338" max="2338" width="46.7109375" style="514" customWidth="1"/>
    <col min="2339" max="2339" width="17.5703125" style="514" customWidth="1"/>
    <col min="2340" max="2340" width="13.5703125" style="514" customWidth="1"/>
    <col min="2341" max="2341" width="11.5703125" style="514"/>
    <col min="2342" max="2342" width="62" style="514" customWidth="1"/>
    <col min="2343" max="2343" width="12.7109375" style="514" customWidth="1"/>
    <col min="2344" max="2344" width="14.28515625" style="514" customWidth="1"/>
    <col min="2345" max="2345" width="11.5703125" style="514"/>
    <col min="2346" max="2346" width="61.7109375" style="514" customWidth="1"/>
    <col min="2347" max="2347" width="12.85546875" style="514" customWidth="1"/>
    <col min="2348" max="2348" width="13" style="514" customWidth="1"/>
    <col min="2349" max="2349" width="11.5703125" style="514"/>
    <col min="2350" max="2350" width="55.42578125" style="514" customWidth="1"/>
    <col min="2351" max="2351" width="17.5703125" style="514" customWidth="1"/>
    <col min="2352" max="2560" width="11.5703125" style="514"/>
    <col min="2561" max="2561" width="16.85546875" style="514" customWidth="1"/>
    <col min="2562" max="2562" width="15.140625" style="514" customWidth="1"/>
    <col min="2563" max="2563" width="21.5703125" style="514" customWidth="1"/>
    <col min="2564" max="2564" width="16" style="514" customWidth="1"/>
    <col min="2565" max="2565" width="45" style="514" customWidth="1"/>
    <col min="2566" max="2566" width="12.5703125" style="514" customWidth="1"/>
    <col min="2567" max="2568" width="15" style="514" customWidth="1"/>
    <col min="2569" max="2584" width="12.5703125" style="514" customWidth="1"/>
    <col min="2585" max="2585" width="26.28515625" style="514" customWidth="1"/>
    <col min="2586" max="2586" width="66.42578125" style="514" customWidth="1"/>
    <col min="2587" max="2587" width="24.28515625" style="514" customWidth="1"/>
    <col min="2588" max="2588" width="22.28515625" style="514" customWidth="1"/>
    <col min="2589" max="2589" width="14.85546875" style="514" customWidth="1"/>
    <col min="2590" max="2590" width="22" style="514" customWidth="1"/>
    <col min="2591" max="2591" width="92.140625" style="514" customWidth="1"/>
    <col min="2592" max="2592" width="13" style="514" customWidth="1"/>
    <col min="2593" max="2593" width="11.5703125" style="514"/>
    <col min="2594" max="2594" width="46.7109375" style="514" customWidth="1"/>
    <col min="2595" max="2595" width="17.5703125" style="514" customWidth="1"/>
    <col min="2596" max="2596" width="13.5703125" style="514" customWidth="1"/>
    <col min="2597" max="2597" width="11.5703125" style="514"/>
    <col min="2598" max="2598" width="62" style="514" customWidth="1"/>
    <col min="2599" max="2599" width="12.7109375" style="514" customWidth="1"/>
    <col min="2600" max="2600" width="14.28515625" style="514" customWidth="1"/>
    <col min="2601" max="2601" width="11.5703125" style="514"/>
    <col min="2602" max="2602" width="61.7109375" style="514" customWidth="1"/>
    <col min="2603" max="2603" width="12.85546875" style="514" customWidth="1"/>
    <col min="2604" max="2604" width="13" style="514" customWidth="1"/>
    <col min="2605" max="2605" width="11.5703125" style="514"/>
    <col min="2606" max="2606" width="55.42578125" style="514" customWidth="1"/>
    <col min="2607" max="2607" width="17.5703125" style="514" customWidth="1"/>
    <col min="2608" max="2816" width="11.5703125" style="514"/>
    <col min="2817" max="2817" width="16.85546875" style="514" customWidth="1"/>
    <col min="2818" max="2818" width="15.140625" style="514" customWidth="1"/>
    <col min="2819" max="2819" width="21.5703125" style="514" customWidth="1"/>
    <col min="2820" max="2820" width="16" style="514" customWidth="1"/>
    <col min="2821" max="2821" width="45" style="514" customWidth="1"/>
    <col min="2822" max="2822" width="12.5703125" style="514" customWidth="1"/>
    <col min="2823" max="2824" width="15" style="514" customWidth="1"/>
    <col min="2825" max="2840" width="12.5703125" style="514" customWidth="1"/>
    <col min="2841" max="2841" width="26.28515625" style="514" customWidth="1"/>
    <col min="2842" max="2842" width="66.42578125" style="514" customWidth="1"/>
    <col min="2843" max="2843" width="24.28515625" style="514" customWidth="1"/>
    <col min="2844" max="2844" width="22.28515625" style="514" customWidth="1"/>
    <col min="2845" max="2845" width="14.85546875" style="514" customWidth="1"/>
    <col min="2846" max="2846" width="22" style="514" customWidth="1"/>
    <col min="2847" max="2847" width="92.140625" style="514" customWidth="1"/>
    <col min="2848" max="2848" width="13" style="514" customWidth="1"/>
    <col min="2849" max="2849" width="11.5703125" style="514"/>
    <col min="2850" max="2850" width="46.7109375" style="514" customWidth="1"/>
    <col min="2851" max="2851" width="17.5703125" style="514" customWidth="1"/>
    <col min="2852" max="2852" width="13.5703125" style="514" customWidth="1"/>
    <col min="2853" max="2853" width="11.5703125" style="514"/>
    <col min="2854" max="2854" width="62" style="514" customWidth="1"/>
    <col min="2855" max="2855" width="12.7109375" style="514" customWidth="1"/>
    <col min="2856" max="2856" width="14.28515625" style="514" customWidth="1"/>
    <col min="2857" max="2857" width="11.5703125" style="514"/>
    <col min="2858" max="2858" width="61.7109375" style="514" customWidth="1"/>
    <col min="2859" max="2859" width="12.85546875" style="514" customWidth="1"/>
    <col min="2860" max="2860" width="13" style="514" customWidth="1"/>
    <col min="2861" max="2861" width="11.5703125" style="514"/>
    <col min="2862" max="2862" width="55.42578125" style="514" customWidth="1"/>
    <col min="2863" max="2863" width="17.5703125" style="514" customWidth="1"/>
    <col min="2864" max="3072" width="11.5703125" style="514"/>
    <col min="3073" max="3073" width="16.85546875" style="514" customWidth="1"/>
    <col min="3074" max="3074" width="15.140625" style="514" customWidth="1"/>
    <col min="3075" max="3075" width="21.5703125" style="514" customWidth="1"/>
    <col min="3076" max="3076" width="16" style="514" customWidth="1"/>
    <col min="3077" max="3077" width="45" style="514" customWidth="1"/>
    <col min="3078" max="3078" width="12.5703125" style="514" customWidth="1"/>
    <col min="3079" max="3080" width="15" style="514" customWidth="1"/>
    <col min="3081" max="3096" width="12.5703125" style="514" customWidth="1"/>
    <col min="3097" max="3097" width="26.28515625" style="514" customWidth="1"/>
    <col min="3098" max="3098" width="66.42578125" style="514" customWidth="1"/>
    <col min="3099" max="3099" width="24.28515625" style="514" customWidth="1"/>
    <col min="3100" max="3100" width="22.28515625" style="514" customWidth="1"/>
    <col min="3101" max="3101" width="14.85546875" style="514" customWidth="1"/>
    <col min="3102" max="3102" width="22" style="514" customWidth="1"/>
    <col min="3103" max="3103" width="92.140625" style="514" customWidth="1"/>
    <col min="3104" max="3104" width="13" style="514" customWidth="1"/>
    <col min="3105" max="3105" width="11.5703125" style="514"/>
    <col min="3106" max="3106" width="46.7109375" style="514" customWidth="1"/>
    <col min="3107" max="3107" width="17.5703125" style="514" customWidth="1"/>
    <col min="3108" max="3108" width="13.5703125" style="514" customWidth="1"/>
    <col min="3109" max="3109" width="11.5703125" style="514"/>
    <col min="3110" max="3110" width="62" style="514" customWidth="1"/>
    <col min="3111" max="3111" width="12.7109375" style="514" customWidth="1"/>
    <col min="3112" max="3112" width="14.28515625" style="514" customWidth="1"/>
    <col min="3113" max="3113" width="11.5703125" style="514"/>
    <col min="3114" max="3114" width="61.7109375" style="514" customWidth="1"/>
    <col min="3115" max="3115" width="12.85546875" style="514" customWidth="1"/>
    <col min="3116" max="3116" width="13" style="514" customWidth="1"/>
    <col min="3117" max="3117" width="11.5703125" style="514"/>
    <col min="3118" max="3118" width="55.42578125" style="514" customWidth="1"/>
    <col min="3119" max="3119" width="17.5703125" style="514" customWidth="1"/>
    <col min="3120" max="3328" width="11.5703125" style="514"/>
    <col min="3329" max="3329" width="16.85546875" style="514" customWidth="1"/>
    <col min="3330" max="3330" width="15.140625" style="514" customWidth="1"/>
    <col min="3331" max="3331" width="21.5703125" style="514" customWidth="1"/>
    <col min="3332" max="3332" width="16" style="514" customWidth="1"/>
    <col min="3333" max="3333" width="45" style="514" customWidth="1"/>
    <col min="3334" max="3334" width="12.5703125" style="514" customWidth="1"/>
    <col min="3335" max="3336" width="15" style="514" customWidth="1"/>
    <col min="3337" max="3352" width="12.5703125" style="514" customWidth="1"/>
    <col min="3353" max="3353" width="26.28515625" style="514" customWidth="1"/>
    <col min="3354" max="3354" width="66.42578125" style="514" customWidth="1"/>
    <col min="3355" max="3355" width="24.28515625" style="514" customWidth="1"/>
    <col min="3356" max="3356" width="22.28515625" style="514" customWidth="1"/>
    <col min="3357" max="3357" width="14.85546875" style="514" customWidth="1"/>
    <col min="3358" max="3358" width="22" style="514" customWidth="1"/>
    <col min="3359" max="3359" width="92.140625" style="514" customWidth="1"/>
    <col min="3360" max="3360" width="13" style="514" customWidth="1"/>
    <col min="3361" max="3361" width="11.5703125" style="514"/>
    <col min="3362" max="3362" width="46.7109375" style="514" customWidth="1"/>
    <col min="3363" max="3363" width="17.5703125" style="514" customWidth="1"/>
    <col min="3364" max="3364" width="13.5703125" style="514" customWidth="1"/>
    <col min="3365" max="3365" width="11.5703125" style="514"/>
    <col min="3366" max="3366" width="62" style="514" customWidth="1"/>
    <col min="3367" max="3367" width="12.7109375" style="514" customWidth="1"/>
    <col min="3368" max="3368" width="14.28515625" style="514" customWidth="1"/>
    <col min="3369" max="3369" width="11.5703125" style="514"/>
    <col min="3370" max="3370" width="61.7109375" style="514" customWidth="1"/>
    <col min="3371" max="3371" width="12.85546875" style="514" customWidth="1"/>
    <col min="3372" max="3372" width="13" style="514" customWidth="1"/>
    <col min="3373" max="3373" width="11.5703125" style="514"/>
    <col min="3374" max="3374" width="55.42578125" style="514" customWidth="1"/>
    <col min="3375" max="3375" width="17.5703125" style="514" customWidth="1"/>
    <col min="3376" max="3584" width="11.5703125" style="514"/>
    <col min="3585" max="3585" width="16.85546875" style="514" customWidth="1"/>
    <col min="3586" max="3586" width="15.140625" style="514" customWidth="1"/>
    <col min="3587" max="3587" width="21.5703125" style="514" customWidth="1"/>
    <col min="3588" max="3588" width="16" style="514" customWidth="1"/>
    <col min="3589" max="3589" width="45" style="514" customWidth="1"/>
    <col min="3590" max="3590" width="12.5703125" style="514" customWidth="1"/>
    <col min="3591" max="3592" width="15" style="514" customWidth="1"/>
    <col min="3593" max="3608" width="12.5703125" style="514" customWidth="1"/>
    <col min="3609" max="3609" width="26.28515625" style="514" customWidth="1"/>
    <col min="3610" max="3610" width="66.42578125" style="514" customWidth="1"/>
    <col min="3611" max="3611" width="24.28515625" style="514" customWidth="1"/>
    <col min="3612" max="3612" width="22.28515625" style="514" customWidth="1"/>
    <col min="3613" max="3613" width="14.85546875" style="514" customWidth="1"/>
    <col min="3614" max="3614" width="22" style="514" customWidth="1"/>
    <col min="3615" max="3615" width="92.140625" style="514" customWidth="1"/>
    <col min="3616" max="3616" width="13" style="514" customWidth="1"/>
    <col min="3617" max="3617" width="11.5703125" style="514"/>
    <col min="3618" max="3618" width="46.7109375" style="514" customWidth="1"/>
    <col min="3619" max="3619" width="17.5703125" style="514" customWidth="1"/>
    <col min="3620" max="3620" width="13.5703125" style="514" customWidth="1"/>
    <col min="3621" max="3621" width="11.5703125" style="514"/>
    <col min="3622" max="3622" width="62" style="514" customWidth="1"/>
    <col min="3623" max="3623" width="12.7109375" style="514" customWidth="1"/>
    <col min="3624" max="3624" width="14.28515625" style="514" customWidth="1"/>
    <col min="3625" max="3625" width="11.5703125" style="514"/>
    <col min="3626" max="3626" width="61.7109375" style="514" customWidth="1"/>
    <col min="3627" max="3627" width="12.85546875" style="514" customWidth="1"/>
    <col min="3628" max="3628" width="13" style="514" customWidth="1"/>
    <col min="3629" max="3629" width="11.5703125" style="514"/>
    <col min="3630" max="3630" width="55.42578125" style="514" customWidth="1"/>
    <col min="3631" max="3631" width="17.5703125" style="514" customWidth="1"/>
    <col min="3632" max="3840" width="11.5703125" style="514"/>
    <col min="3841" max="3841" width="16.85546875" style="514" customWidth="1"/>
    <col min="3842" max="3842" width="15.140625" style="514" customWidth="1"/>
    <col min="3843" max="3843" width="21.5703125" style="514" customWidth="1"/>
    <col min="3844" max="3844" width="16" style="514" customWidth="1"/>
    <col min="3845" max="3845" width="45" style="514" customWidth="1"/>
    <col min="3846" max="3846" width="12.5703125" style="514" customWidth="1"/>
    <col min="3847" max="3848" width="15" style="514" customWidth="1"/>
    <col min="3849" max="3864" width="12.5703125" style="514" customWidth="1"/>
    <col min="3865" max="3865" width="26.28515625" style="514" customWidth="1"/>
    <col min="3866" max="3866" width="66.42578125" style="514" customWidth="1"/>
    <col min="3867" max="3867" width="24.28515625" style="514" customWidth="1"/>
    <col min="3868" max="3868" width="22.28515625" style="514" customWidth="1"/>
    <col min="3869" max="3869" width="14.85546875" style="514" customWidth="1"/>
    <col min="3870" max="3870" width="22" style="514" customWidth="1"/>
    <col min="3871" max="3871" width="92.140625" style="514" customWidth="1"/>
    <col min="3872" max="3872" width="13" style="514" customWidth="1"/>
    <col min="3873" max="3873" width="11.5703125" style="514"/>
    <col min="3874" max="3874" width="46.7109375" style="514" customWidth="1"/>
    <col min="3875" max="3875" width="17.5703125" style="514" customWidth="1"/>
    <col min="3876" max="3876" width="13.5703125" style="514" customWidth="1"/>
    <col min="3877" max="3877" width="11.5703125" style="514"/>
    <col min="3878" max="3878" width="62" style="514" customWidth="1"/>
    <col min="3879" max="3879" width="12.7109375" style="514" customWidth="1"/>
    <col min="3880" max="3880" width="14.28515625" style="514" customWidth="1"/>
    <col min="3881" max="3881" width="11.5703125" style="514"/>
    <col min="3882" max="3882" width="61.7109375" style="514" customWidth="1"/>
    <col min="3883" max="3883" width="12.85546875" style="514" customWidth="1"/>
    <col min="3884" max="3884" width="13" style="514" customWidth="1"/>
    <col min="3885" max="3885" width="11.5703125" style="514"/>
    <col min="3886" max="3886" width="55.42578125" style="514" customWidth="1"/>
    <col min="3887" max="3887" width="17.5703125" style="514" customWidth="1"/>
    <col min="3888" max="4096" width="11.5703125" style="514"/>
    <col min="4097" max="4097" width="16.85546875" style="514" customWidth="1"/>
    <col min="4098" max="4098" width="15.140625" style="514" customWidth="1"/>
    <col min="4099" max="4099" width="21.5703125" style="514" customWidth="1"/>
    <col min="4100" max="4100" width="16" style="514" customWidth="1"/>
    <col min="4101" max="4101" width="45" style="514" customWidth="1"/>
    <col min="4102" max="4102" width="12.5703125" style="514" customWidth="1"/>
    <col min="4103" max="4104" width="15" style="514" customWidth="1"/>
    <col min="4105" max="4120" width="12.5703125" style="514" customWidth="1"/>
    <col min="4121" max="4121" width="26.28515625" style="514" customWidth="1"/>
    <col min="4122" max="4122" width="66.42578125" style="514" customWidth="1"/>
    <col min="4123" max="4123" width="24.28515625" style="514" customWidth="1"/>
    <col min="4124" max="4124" width="22.28515625" style="514" customWidth="1"/>
    <col min="4125" max="4125" width="14.85546875" style="514" customWidth="1"/>
    <col min="4126" max="4126" width="22" style="514" customWidth="1"/>
    <col min="4127" max="4127" width="92.140625" style="514" customWidth="1"/>
    <col min="4128" max="4128" width="13" style="514" customWidth="1"/>
    <col min="4129" max="4129" width="11.5703125" style="514"/>
    <col min="4130" max="4130" width="46.7109375" style="514" customWidth="1"/>
    <col min="4131" max="4131" width="17.5703125" style="514" customWidth="1"/>
    <col min="4132" max="4132" width="13.5703125" style="514" customWidth="1"/>
    <col min="4133" max="4133" width="11.5703125" style="514"/>
    <col min="4134" max="4134" width="62" style="514" customWidth="1"/>
    <col min="4135" max="4135" width="12.7109375" style="514" customWidth="1"/>
    <col min="4136" max="4136" width="14.28515625" style="514" customWidth="1"/>
    <col min="4137" max="4137" width="11.5703125" style="514"/>
    <col min="4138" max="4138" width="61.7109375" style="514" customWidth="1"/>
    <col min="4139" max="4139" width="12.85546875" style="514" customWidth="1"/>
    <col min="4140" max="4140" width="13" style="514" customWidth="1"/>
    <col min="4141" max="4141" width="11.5703125" style="514"/>
    <col min="4142" max="4142" width="55.42578125" style="514" customWidth="1"/>
    <col min="4143" max="4143" width="17.5703125" style="514" customWidth="1"/>
    <col min="4144" max="4352" width="11.5703125" style="514"/>
    <col min="4353" max="4353" width="16.85546875" style="514" customWidth="1"/>
    <col min="4354" max="4354" width="15.140625" style="514" customWidth="1"/>
    <col min="4355" max="4355" width="21.5703125" style="514" customWidth="1"/>
    <col min="4356" max="4356" width="16" style="514" customWidth="1"/>
    <col min="4357" max="4357" width="45" style="514" customWidth="1"/>
    <col min="4358" max="4358" width="12.5703125" style="514" customWidth="1"/>
    <col min="4359" max="4360" width="15" style="514" customWidth="1"/>
    <col min="4361" max="4376" width="12.5703125" style="514" customWidth="1"/>
    <col min="4377" max="4377" width="26.28515625" style="514" customWidth="1"/>
    <col min="4378" max="4378" width="66.42578125" style="514" customWidth="1"/>
    <col min="4379" max="4379" width="24.28515625" style="514" customWidth="1"/>
    <col min="4380" max="4380" width="22.28515625" style="514" customWidth="1"/>
    <col min="4381" max="4381" width="14.85546875" style="514" customWidth="1"/>
    <col min="4382" max="4382" width="22" style="514" customWidth="1"/>
    <col min="4383" max="4383" width="92.140625" style="514" customWidth="1"/>
    <col min="4384" max="4384" width="13" style="514" customWidth="1"/>
    <col min="4385" max="4385" width="11.5703125" style="514"/>
    <col min="4386" max="4386" width="46.7109375" style="514" customWidth="1"/>
    <col min="4387" max="4387" width="17.5703125" style="514" customWidth="1"/>
    <col min="4388" max="4388" width="13.5703125" style="514" customWidth="1"/>
    <col min="4389" max="4389" width="11.5703125" style="514"/>
    <col min="4390" max="4390" width="62" style="514" customWidth="1"/>
    <col min="4391" max="4391" width="12.7109375" style="514" customWidth="1"/>
    <col min="4392" max="4392" width="14.28515625" style="514" customWidth="1"/>
    <col min="4393" max="4393" width="11.5703125" style="514"/>
    <col min="4394" max="4394" width="61.7109375" style="514" customWidth="1"/>
    <col min="4395" max="4395" width="12.85546875" style="514" customWidth="1"/>
    <col min="4396" max="4396" width="13" style="514" customWidth="1"/>
    <col min="4397" max="4397" width="11.5703125" style="514"/>
    <col min="4398" max="4398" width="55.42578125" style="514" customWidth="1"/>
    <col min="4399" max="4399" width="17.5703125" style="514" customWidth="1"/>
    <col min="4400" max="4608" width="11.5703125" style="514"/>
    <col min="4609" max="4609" width="16.85546875" style="514" customWidth="1"/>
    <col min="4610" max="4610" width="15.140625" style="514" customWidth="1"/>
    <col min="4611" max="4611" width="21.5703125" style="514" customWidth="1"/>
    <col min="4612" max="4612" width="16" style="514" customWidth="1"/>
    <col min="4613" max="4613" width="45" style="514" customWidth="1"/>
    <col min="4614" max="4614" width="12.5703125" style="514" customWidth="1"/>
    <col min="4615" max="4616" width="15" style="514" customWidth="1"/>
    <col min="4617" max="4632" width="12.5703125" style="514" customWidth="1"/>
    <col min="4633" max="4633" width="26.28515625" style="514" customWidth="1"/>
    <col min="4634" max="4634" width="66.42578125" style="514" customWidth="1"/>
    <col min="4635" max="4635" width="24.28515625" style="514" customWidth="1"/>
    <col min="4636" max="4636" width="22.28515625" style="514" customWidth="1"/>
    <col min="4637" max="4637" width="14.85546875" style="514" customWidth="1"/>
    <col min="4638" max="4638" width="22" style="514" customWidth="1"/>
    <col min="4639" max="4639" width="92.140625" style="514" customWidth="1"/>
    <col min="4640" max="4640" width="13" style="514" customWidth="1"/>
    <col min="4641" max="4641" width="11.5703125" style="514"/>
    <col min="4642" max="4642" width="46.7109375" style="514" customWidth="1"/>
    <col min="4643" max="4643" width="17.5703125" style="514" customWidth="1"/>
    <col min="4644" max="4644" width="13.5703125" style="514" customWidth="1"/>
    <col min="4645" max="4645" width="11.5703125" style="514"/>
    <col min="4646" max="4646" width="62" style="514" customWidth="1"/>
    <col min="4647" max="4647" width="12.7109375" style="514" customWidth="1"/>
    <col min="4648" max="4648" width="14.28515625" style="514" customWidth="1"/>
    <col min="4649" max="4649" width="11.5703125" style="514"/>
    <col min="4650" max="4650" width="61.7109375" style="514" customWidth="1"/>
    <col min="4651" max="4651" width="12.85546875" style="514" customWidth="1"/>
    <col min="4652" max="4652" width="13" style="514" customWidth="1"/>
    <col min="4653" max="4653" width="11.5703125" style="514"/>
    <col min="4654" max="4654" width="55.42578125" style="514" customWidth="1"/>
    <col min="4655" max="4655" width="17.5703125" style="514" customWidth="1"/>
    <col min="4656" max="4864" width="11.5703125" style="514"/>
    <col min="4865" max="4865" width="16.85546875" style="514" customWidth="1"/>
    <col min="4866" max="4866" width="15.140625" style="514" customWidth="1"/>
    <col min="4867" max="4867" width="21.5703125" style="514" customWidth="1"/>
    <col min="4868" max="4868" width="16" style="514" customWidth="1"/>
    <col min="4869" max="4869" width="45" style="514" customWidth="1"/>
    <col min="4870" max="4870" width="12.5703125" style="514" customWidth="1"/>
    <col min="4871" max="4872" width="15" style="514" customWidth="1"/>
    <col min="4873" max="4888" width="12.5703125" style="514" customWidth="1"/>
    <col min="4889" max="4889" width="26.28515625" style="514" customWidth="1"/>
    <col min="4890" max="4890" width="66.42578125" style="514" customWidth="1"/>
    <col min="4891" max="4891" width="24.28515625" style="514" customWidth="1"/>
    <col min="4892" max="4892" width="22.28515625" style="514" customWidth="1"/>
    <col min="4893" max="4893" width="14.85546875" style="514" customWidth="1"/>
    <col min="4894" max="4894" width="22" style="514" customWidth="1"/>
    <col min="4895" max="4895" width="92.140625" style="514" customWidth="1"/>
    <col min="4896" max="4896" width="13" style="514" customWidth="1"/>
    <col min="4897" max="4897" width="11.5703125" style="514"/>
    <col min="4898" max="4898" width="46.7109375" style="514" customWidth="1"/>
    <col min="4899" max="4899" width="17.5703125" style="514" customWidth="1"/>
    <col min="4900" max="4900" width="13.5703125" style="514" customWidth="1"/>
    <col min="4901" max="4901" width="11.5703125" style="514"/>
    <col min="4902" max="4902" width="62" style="514" customWidth="1"/>
    <col min="4903" max="4903" width="12.7109375" style="514" customWidth="1"/>
    <col min="4904" max="4904" width="14.28515625" style="514" customWidth="1"/>
    <col min="4905" max="4905" width="11.5703125" style="514"/>
    <col min="4906" max="4906" width="61.7109375" style="514" customWidth="1"/>
    <col min="4907" max="4907" width="12.85546875" style="514" customWidth="1"/>
    <col min="4908" max="4908" width="13" style="514" customWidth="1"/>
    <col min="4909" max="4909" width="11.5703125" style="514"/>
    <col min="4910" max="4910" width="55.42578125" style="514" customWidth="1"/>
    <col min="4911" max="4911" width="17.5703125" style="514" customWidth="1"/>
    <col min="4912" max="5120" width="11.5703125" style="514"/>
    <col min="5121" max="5121" width="16.85546875" style="514" customWidth="1"/>
    <col min="5122" max="5122" width="15.140625" style="514" customWidth="1"/>
    <col min="5123" max="5123" width="21.5703125" style="514" customWidth="1"/>
    <col min="5124" max="5124" width="16" style="514" customWidth="1"/>
    <col min="5125" max="5125" width="45" style="514" customWidth="1"/>
    <col min="5126" max="5126" width="12.5703125" style="514" customWidth="1"/>
    <col min="5127" max="5128" width="15" style="514" customWidth="1"/>
    <col min="5129" max="5144" width="12.5703125" style="514" customWidth="1"/>
    <col min="5145" max="5145" width="26.28515625" style="514" customWidth="1"/>
    <col min="5146" max="5146" width="66.42578125" style="514" customWidth="1"/>
    <col min="5147" max="5147" width="24.28515625" style="514" customWidth="1"/>
    <col min="5148" max="5148" width="22.28515625" style="514" customWidth="1"/>
    <col min="5149" max="5149" width="14.85546875" style="514" customWidth="1"/>
    <col min="5150" max="5150" width="22" style="514" customWidth="1"/>
    <col min="5151" max="5151" width="92.140625" style="514" customWidth="1"/>
    <col min="5152" max="5152" width="13" style="514" customWidth="1"/>
    <col min="5153" max="5153" width="11.5703125" style="514"/>
    <col min="5154" max="5154" width="46.7109375" style="514" customWidth="1"/>
    <col min="5155" max="5155" width="17.5703125" style="514" customWidth="1"/>
    <col min="5156" max="5156" width="13.5703125" style="514" customWidth="1"/>
    <col min="5157" max="5157" width="11.5703125" style="514"/>
    <col min="5158" max="5158" width="62" style="514" customWidth="1"/>
    <col min="5159" max="5159" width="12.7109375" style="514" customWidth="1"/>
    <col min="5160" max="5160" width="14.28515625" style="514" customWidth="1"/>
    <col min="5161" max="5161" width="11.5703125" style="514"/>
    <col min="5162" max="5162" width="61.7109375" style="514" customWidth="1"/>
    <col min="5163" max="5163" width="12.85546875" style="514" customWidth="1"/>
    <col min="5164" max="5164" width="13" style="514" customWidth="1"/>
    <col min="5165" max="5165" width="11.5703125" style="514"/>
    <col min="5166" max="5166" width="55.42578125" style="514" customWidth="1"/>
    <col min="5167" max="5167" width="17.5703125" style="514" customWidth="1"/>
    <col min="5168" max="5376" width="11.5703125" style="514"/>
    <col min="5377" max="5377" width="16.85546875" style="514" customWidth="1"/>
    <col min="5378" max="5378" width="15.140625" style="514" customWidth="1"/>
    <col min="5379" max="5379" width="21.5703125" style="514" customWidth="1"/>
    <col min="5380" max="5380" width="16" style="514" customWidth="1"/>
    <col min="5381" max="5381" width="45" style="514" customWidth="1"/>
    <col min="5382" max="5382" width="12.5703125" style="514" customWidth="1"/>
    <col min="5383" max="5384" width="15" style="514" customWidth="1"/>
    <col min="5385" max="5400" width="12.5703125" style="514" customWidth="1"/>
    <col min="5401" max="5401" width="26.28515625" style="514" customWidth="1"/>
    <col min="5402" max="5402" width="66.42578125" style="514" customWidth="1"/>
    <col min="5403" max="5403" width="24.28515625" style="514" customWidth="1"/>
    <col min="5404" max="5404" width="22.28515625" style="514" customWidth="1"/>
    <col min="5405" max="5405" width="14.85546875" style="514" customWidth="1"/>
    <col min="5406" max="5406" width="22" style="514" customWidth="1"/>
    <col min="5407" max="5407" width="92.140625" style="514" customWidth="1"/>
    <col min="5408" max="5408" width="13" style="514" customWidth="1"/>
    <col min="5409" max="5409" width="11.5703125" style="514"/>
    <col min="5410" max="5410" width="46.7109375" style="514" customWidth="1"/>
    <col min="5411" max="5411" width="17.5703125" style="514" customWidth="1"/>
    <col min="5412" max="5412" width="13.5703125" style="514" customWidth="1"/>
    <col min="5413" max="5413" width="11.5703125" style="514"/>
    <col min="5414" max="5414" width="62" style="514" customWidth="1"/>
    <col min="5415" max="5415" width="12.7109375" style="514" customWidth="1"/>
    <col min="5416" max="5416" width="14.28515625" style="514" customWidth="1"/>
    <col min="5417" max="5417" width="11.5703125" style="514"/>
    <col min="5418" max="5418" width="61.7109375" style="514" customWidth="1"/>
    <col min="5419" max="5419" width="12.85546875" style="514" customWidth="1"/>
    <col min="5420" max="5420" width="13" style="514" customWidth="1"/>
    <col min="5421" max="5421" width="11.5703125" style="514"/>
    <col min="5422" max="5422" width="55.42578125" style="514" customWidth="1"/>
    <col min="5423" max="5423" width="17.5703125" style="514" customWidth="1"/>
    <col min="5424" max="5632" width="11.5703125" style="514"/>
    <col min="5633" max="5633" width="16.85546875" style="514" customWidth="1"/>
    <col min="5634" max="5634" width="15.140625" style="514" customWidth="1"/>
    <col min="5635" max="5635" width="21.5703125" style="514" customWidth="1"/>
    <col min="5636" max="5636" width="16" style="514" customWidth="1"/>
    <col min="5637" max="5637" width="45" style="514" customWidth="1"/>
    <col min="5638" max="5638" width="12.5703125" style="514" customWidth="1"/>
    <col min="5639" max="5640" width="15" style="514" customWidth="1"/>
    <col min="5641" max="5656" width="12.5703125" style="514" customWidth="1"/>
    <col min="5657" max="5657" width="26.28515625" style="514" customWidth="1"/>
    <col min="5658" max="5658" width="66.42578125" style="514" customWidth="1"/>
    <col min="5659" max="5659" width="24.28515625" style="514" customWidth="1"/>
    <col min="5660" max="5660" width="22.28515625" style="514" customWidth="1"/>
    <col min="5661" max="5661" width="14.85546875" style="514" customWidth="1"/>
    <col min="5662" max="5662" width="22" style="514" customWidth="1"/>
    <col min="5663" max="5663" width="92.140625" style="514" customWidth="1"/>
    <col min="5664" max="5664" width="13" style="514" customWidth="1"/>
    <col min="5665" max="5665" width="11.5703125" style="514"/>
    <col min="5666" max="5666" width="46.7109375" style="514" customWidth="1"/>
    <col min="5667" max="5667" width="17.5703125" style="514" customWidth="1"/>
    <col min="5668" max="5668" width="13.5703125" style="514" customWidth="1"/>
    <col min="5669" max="5669" width="11.5703125" style="514"/>
    <col min="5670" max="5670" width="62" style="514" customWidth="1"/>
    <col min="5671" max="5671" width="12.7109375" style="514" customWidth="1"/>
    <col min="5672" max="5672" width="14.28515625" style="514" customWidth="1"/>
    <col min="5673" max="5673" width="11.5703125" style="514"/>
    <col min="5674" max="5674" width="61.7109375" style="514" customWidth="1"/>
    <col min="5675" max="5675" width="12.85546875" style="514" customWidth="1"/>
    <col min="5676" max="5676" width="13" style="514" customWidth="1"/>
    <col min="5677" max="5677" width="11.5703125" style="514"/>
    <col min="5678" max="5678" width="55.42578125" style="514" customWidth="1"/>
    <col min="5679" max="5679" width="17.5703125" style="514" customWidth="1"/>
    <col min="5680" max="5888" width="11.5703125" style="514"/>
    <col min="5889" max="5889" width="16.85546875" style="514" customWidth="1"/>
    <col min="5890" max="5890" width="15.140625" style="514" customWidth="1"/>
    <col min="5891" max="5891" width="21.5703125" style="514" customWidth="1"/>
    <col min="5892" max="5892" width="16" style="514" customWidth="1"/>
    <col min="5893" max="5893" width="45" style="514" customWidth="1"/>
    <col min="5894" max="5894" width="12.5703125" style="514" customWidth="1"/>
    <col min="5895" max="5896" width="15" style="514" customWidth="1"/>
    <col min="5897" max="5912" width="12.5703125" style="514" customWidth="1"/>
    <col min="5913" max="5913" width="26.28515625" style="514" customWidth="1"/>
    <col min="5914" max="5914" width="66.42578125" style="514" customWidth="1"/>
    <col min="5915" max="5915" width="24.28515625" style="514" customWidth="1"/>
    <col min="5916" max="5916" width="22.28515625" style="514" customWidth="1"/>
    <col min="5917" max="5917" width="14.85546875" style="514" customWidth="1"/>
    <col min="5918" max="5918" width="22" style="514" customWidth="1"/>
    <col min="5919" max="5919" width="92.140625" style="514" customWidth="1"/>
    <col min="5920" max="5920" width="13" style="514" customWidth="1"/>
    <col min="5921" max="5921" width="11.5703125" style="514"/>
    <col min="5922" max="5922" width="46.7109375" style="514" customWidth="1"/>
    <col min="5923" max="5923" width="17.5703125" style="514" customWidth="1"/>
    <col min="5924" max="5924" width="13.5703125" style="514" customWidth="1"/>
    <col min="5925" max="5925" width="11.5703125" style="514"/>
    <col min="5926" max="5926" width="62" style="514" customWidth="1"/>
    <col min="5927" max="5927" width="12.7109375" style="514" customWidth="1"/>
    <col min="5928" max="5928" width="14.28515625" style="514" customWidth="1"/>
    <col min="5929" max="5929" width="11.5703125" style="514"/>
    <col min="5930" max="5930" width="61.7109375" style="514" customWidth="1"/>
    <col min="5931" max="5931" width="12.85546875" style="514" customWidth="1"/>
    <col min="5932" max="5932" width="13" style="514" customWidth="1"/>
    <col min="5933" max="5933" width="11.5703125" style="514"/>
    <col min="5934" max="5934" width="55.42578125" style="514" customWidth="1"/>
    <col min="5935" max="5935" width="17.5703125" style="514" customWidth="1"/>
    <col min="5936" max="6144" width="11.5703125" style="514"/>
    <col min="6145" max="6145" width="16.85546875" style="514" customWidth="1"/>
    <col min="6146" max="6146" width="15.140625" style="514" customWidth="1"/>
    <col min="6147" max="6147" width="21.5703125" style="514" customWidth="1"/>
    <col min="6148" max="6148" width="16" style="514" customWidth="1"/>
    <col min="6149" max="6149" width="45" style="514" customWidth="1"/>
    <col min="6150" max="6150" width="12.5703125" style="514" customWidth="1"/>
    <col min="6151" max="6152" width="15" style="514" customWidth="1"/>
    <col min="6153" max="6168" width="12.5703125" style="514" customWidth="1"/>
    <col min="6169" max="6169" width="26.28515625" style="514" customWidth="1"/>
    <col min="6170" max="6170" width="66.42578125" style="514" customWidth="1"/>
    <col min="6171" max="6171" width="24.28515625" style="514" customWidth="1"/>
    <col min="6172" max="6172" width="22.28515625" style="514" customWidth="1"/>
    <col min="6173" max="6173" width="14.85546875" style="514" customWidth="1"/>
    <col min="6174" max="6174" width="22" style="514" customWidth="1"/>
    <col min="6175" max="6175" width="92.140625" style="514" customWidth="1"/>
    <col min="6176" max="6176" width="13" style="514" customWidth="1"/>
    <col min="6177" max="6177" width="11.5703125" style="514"/>
    <col min="6178" max="6178" width="46.7109375" style="514" customWidth="1"/>
    <col min="6179" max="6179" width="17.5703125" style="514" customWidth="1"/>
    <col min="6180" max="6180" width="13.5703125" style="514" customWidth="1"/>
    <col min="6181" max="6181" width="11.5703125" style="514"/>
    <col min="6182" max="6182" width="62" style="514" customWidth="1"/>
    <col min="6183" max="6183" width="12.7109375" style="514" customWidth="1"/>
    <col min="6184" max="6184" width="14.28515625" style="514" customWidth="1"/>
    <col min="6185" max="6185" width="11.5703125" style="514"/>
    <col min="6186" max="6186" width="61.7109375" style="514" customWidth="1"/>
    <col min="6187" max="6187" width="12.85546875" style="514" customWidth="1"/>
    <col min="6188" max="6188" width="13" style="514" customWidth="1"/>
    <col min="6189" max="6189" width="11.5703125" style="514"/>
    <col min="6190" max="6190" width="55.42578125" style="514" customWidth="1"/>
    <col min="6191" max="6191" width="17.5703125" style="514" customWidth="1"/>
    <col min="6192" max="6400" width="11.5703125" style="514"/>
    <col min="6401" max="6401" width="16.85546875" style="514" customWidth="1"/>
    <col min="6402" max="6402" width="15.140625" style="514" customWidth="1"/>
    <col min="6403" max="6403" width="21.5703125" style="514" customWidth="1"/>
    <col min="6404" max="6404" width="16" style="514" customWidth="1"/>
    <col min="6405" max="6405" width="45" style="514" customWidth="1"/>
    <col min="6406" max="6406" width="12.5703125" style="514" customWidth="1"/>
    <col min="6407" max="6408" width="15" style="514" customWidth="1"/>
    <col min="6409" max="6424" width="12.5703125" style="514" customWidth="1"/>
    <col min="6425" max="6425" width="26.28515625" style="514" customWidth="1"/>
    <col min="6426" max="6426" width="66.42578125" style="514" customWidth="1"/>
    <col min="6427" max="6427" width="24.28515625" style="514" customWidth="1"/>
    <col min="6428" max="6428" width="22.28515625" style="514" customWidth="1"/>
    <col min="6429" max="6429" width="14.85546875" style="514" customWidth="1"/>
    <col min="6430" max="6430" width="22" style="514" customWidth="1"/>
    <col min="6431" max="6431" width="92.140625" style="514" customWidth="1"/>
    <col min="6432" max="6432" width="13" style="514" customWidth="1"/>
    <col min="6433" max="6433" width="11.5703125" style="514"/>
    <col min="6434" max="6434" width="46.7109375" style="514" customWidth="1"/>
    <col min="6435" max="6435" width="17.5703125" style="514" customWidth="1"/>
    <col min="6436" max="6436" width="13.5703125" style="514" customWidth="1"/>
    <col min="6437" max="6437" width="11.5703125" style="514"/>
    <col min="6438" max="6438" width="62" style="514" customWidth="1"/>
    <col min="6439" max="6439" width="12.7109375" style="514" customWidth="1"/>
    <col min="6440" max="6440" width="14.28515625" style="514" customWidth="1"/>
    <col min="6441" max="6441" width="11.5703125" style="514"/>
    <col min="6442" max="6442" width="61.7109375" style="514" customWidth="1"/>
    <col min="6443" max="6443" width="12.85546875" style="514" customWidth="1"/>
    <col min="6444" max="6444" width="13" style="514" customWidth="1"/>
    <col min="6445" max="6445" width="11.5703125" style="514"/>
    <col min="6446" max="6446" width="55.42578125" style="514" customWidth="1"/>
    <col min="6447" max="6447" width="17.5703125" style="514" customWidth="1"/>
    <col min="6448" max="6656" width="11.5703125" style="514"/>
    <col min="6657" max="6657" width="16.85546875" style="514" customWidth="1"/>
    <col min="6658" max="6658" width="15.140625" style="514" customWidth="1"/>
    <col min="6659" max="6659" width="21.5703125" style="514" customWidth="1"/>
    <col min="6660" max="6660" width="16" style="514" customWidth="1"/>
    <col min="6661" max="6661" width="45" style="514" customWidth="1"/>
    <col min="6662" max="6662" width="12.5703125" style="514" customWidth="1"/>
    <col min="6663" max="6664" width="15" style="514" customWidth="1"/>
    <col min="6665" max="6680" width="12.5703125" style="514" customWidth="1"/>
    <col min="6681" max="6681" width="26.28515625" style="514" customWidth="1"/>
    <col min="6682" max="6682" width="66.42578125" style="514" customWidth="1"/>
    <col min="6683" max="6683" width="24.28515625" style="514" customWidth="1"/>
    <col min="6684" max="6684" width="22.28515625" style="514" customWidth="1"/>
    <col min="6685" max="6685" width="14.85546875" style="514" customWidth="1"/>
    <col min="6686" max="6686" width="22" style="514" customWidth="1"/>
    <col min="6687" max="6687" width="92.140625" style="514" customWidth="1"/>
    <col min="6688" max="6688" width="13" style="514" customWidth="1"/>
    <col min="6689" max="6689" width="11.5703125" style="514"/>
    <col min="6690" max="6690" width="46.7109375" style="514" customWidth="1"/>
    <col min="6691" max="6691" width="17.5703125" style="514" customWidth="1"/>
    <col min="6692" max="6692" width="13.5703125" style="514" customWidth="1"/>
    <col min="6693" max="6693" width="11.5703125" style="514"/>
    <col min="6694" max="6694" width="62" style="514" customWidth="1"/>
    <col min="6695" max="6695" width="12.7109375" style="514" customWidth="1"/>
    <col min="6696" max="6696" width="14.28515625" style="514" customWidth="1"/>
    <col min="6697" max="6697" width="11.5703125" style="514"/>
    <col min="6698" max="6698" width="61.7109375" style="514" customWidth="1"/>
    <col min="6699" max="6699" width="12.85546875" style="514" customWidth="1"/>
    <col min="6700" max="6700" width="13" style="514" customWidth="1"/>
    <col min="6701" max="6701" width="11.5703125" style="514"/>
    <col min="6702" max="6702" width="55.42578125" style="514" customWidth="1"/>
    <col min="6703" max="6703" width="17.5703125" style="514" customWidth="1"/>
    <col min="6704" max="6912" width="11.5703125" style="514"/>
    <col min="6913" max="6913" width="16.85546875" style="514" customWidth="1"/>
    <col min="6914" max="6914" width="15.140625" style="514" customWidth="1"/>
    <col min="6915" max="6915" width="21.5703125" style="514" customWidth="1"/>
    <col min="6916" max="6916" width="16" style="514" customWidth="1"/>
    <col min="6917" max="6917" width="45" style="514" customWidth="1"/>
    <col min="6918" max="6918" width="12.5703125" style="514" customWidth="1"/>
    <col min="6919" max="6920" width="15" style="514" customWidth="1"/>
    <col min="6921" max="6936" width="12.5703125" style="514" customWidth="1"/>
    <col min="6937" max="6937" width="26.28515625" style="514" customWidth="1"/>
    <col min="6938" max="6938" width="66.42578125" style="514" customWidth="1"/>
    <col min="6939" max="6939" width="24.28515625" style="514" customWidth="1"/>
    <col min="6940" max="6940" width="22.28515625" style="514" customWidth="1"/>
    <col min="6941" max="6941" width="14.85546875" style="514" customWidth="1"/>
    <col min="6942" max="6942" width="22" style="514" customWidth="1"/>
    <col min="6943" max="6943" width="92.140625" style="514" customWidth="1"/>
    <col min="6944" max="6944" width="13" style="514" customWidth="1"/>
    <col min="6945" max="6945" width="11.5703125" style="514"/>
    <col min="6946" max="6946" width="46.7109375" style="514" customWidth="1"/>
    <col min="6947" max="6947" width="17.5703125" style="514" customWidth="1"/>
    <col min="6948" max="6948" width="13.5703125" style="514" customWidth="1"/>
    <col min="6949" max="6949" width="11.5703125" style="514"/>
    <col min="6950" max="6950" width="62" style="514" customWidth="1"/>
    <col min="6951" max="6951" width="12.7109375" style="514" customWidth="1"/>
    <col min="6952" max="6952" width="14.28515625" style="514" customWidth="1"/>
    <col min="6953" max="6953" width="11.5703125" style="514"/>
    <col min="6954" max="6954" width="61.7109375" style="514" customWidth="1"/>
    <col min="6955" max="6955" width="12.85546875" style="514" customWidth="1"/>
    <col min="6956" max="6956" width="13" style="514" customWidth="1"/>
    <col min="6957" max="6957" width="11.5703125" style="514"/>
    <col min="6958" max="6958" width="55.42578125" style="514" customWidth="1"/>
    <col min="6959" max="6959" width="17.5703125" style="514" customWidth="1"/>
    <col min="6960" max="7168" width="11.5703125" style="514"/>
    <col min="7169" max="7169" width="16.85546875" style="514" customWidth="1"/>
    <col min="7170" max="7170" width="15.140625" style="514" customWidth="1"/>
    <col min="7171" max="7171" width="21.5703125" style="514" customWidth="1"/>
    <col min="7172" max="7172" width="16" style="514" customWidth="1"/>
    <col min="7173" max="7173" width="45" style="514" customWidth="1"/>
    <col min="7174" max="7174" width="12.5703125" style="514" customWidth="1"/>
    <col min="7175" max="7176" width="15" style="514" customWidth="1"/>
    <col min="7177" max="7192" width="12.5703125" style="514" customWidth="1"/>
    <col min="7193" max="7193" width="26.28515625" style="514" customWidth="1"/>
    <col min="7194" max="7194" width="66.42578125" style="514" customWidth="1"/>
    <col min="7195" max="7195" width="24.28515625" style="514" customWidth="1"/>
    <col min="7196" max="7196" width="22.28515625" style="514" customWidth="1"/>
    <col min="7197" max="7197" width="14.85546875" style="514" customWidth="1"/>
    <col min="7198" max="7198" width="22" style="514" customWidth="1"/>
    <col min="7199" max="7199" width="92.140625" style="514" customWidth="1"/>
    <col min="7200" max="7200" width="13" style="514" customWidth="1"/>
    <col min="7201" max="7201" width="11.5703125" style="514"/>
    <col min="7202" max="7202" width="46.7109375" style="514" customWidth="1"/>
    <col min="7203" max="7203" width="17.5703125" style="514" customWidth="1"/>
    <col min="7204" max="7204" width="13.5703125" style="514" customWidth="1"/>
    <col min="7205" max="7205" width="11.5703125" style="514"/>
    <col min="7206" max="7206" width="62" style="514" customWidth="1"/>
    <col min="7207" max="7207" width="12.7109375" style="514" customWidth="1"/>
    <col min="7208" max="7208" width="14.28515625" style="514" customWidth="1"/>
    <col min="7209" max="7209" width="11.5703125" style="514"/>
    <col min="7210" max="7210" width="61.7109375" style="514" customWidth="1"/>
    <col min="7211" max="7211" width="12.85546875" style="514" customWidth="1"/>
    <col min="7212" max="7212" width="13" style="514" customWidth="1"/>
    <col min="7213" max="7213" width="11.5703125" style="514"/>
    <col min="7214" max="7214" width="55.42578125" style="514" customWidth="1"/>
    <col min="7215" max="7215" width="17.5703125" style="514" customWidth="1"/>
    <col min="7216" max="7424" width="11.5703125" style="514"/>
    <col min="7425" max="7425" width="16.85546875" style="514" customWidth="1"/>
    <col min="7426" max="7426" width="15.140625" style="514" customWidth="1"/>
    <col min="7427" max="7427" width="21.5703125" style="514" customWidth="1"/>
    <col min="7428" max="7428" width="16" style="514" customWidth="1"/>
    <col min="7429" max="7429" width="45" style="514" customWidth="1"/>
    <col min="7430" max="7430" width="12.5703125" style="514" customWidth="1"/>
    <col min="7431" max="7432" width="15" style="514" customWidth="1"/>
    <col min="7433" max="7448" width="12.5703125" style="514" customWidth="1"/>
    <col min="7449" max="7449" width="26.28515625" style="514" customWidth="1"/>
    <col min="7450" max="7450" width="66.42578125" style="514" customWidth="1"/>
    <col min="7451" max="7451" width="24.28515625" style="514" customWidth="1"/>
    <col min="7452" max="7452" width="22.28515625" style="514" customWidth="1"/>
    <col min="7453" max="7453" width="14.85546875" style="514" customWidth="1"/>
    <col min="7454" max="7454" width="22" style="514" customWidth="1"/>
    <col min="7455" max="7455" width="92.140625" style="514" customWidth="1"/>
    <col min="7456" max="7456" width="13" style="514" customWidth="1"/>
    <col min="7457" max="7457" width="11.5703125" style="514"/>
    <col min="7458" max="7458" width="46.7109375" style="514" customWidth="1"/>
    <col min="7459" max="7459" width="17.5703125" style="514" customWidth="1"/>
    <col min="7460" max="7460" width="13.5703125" style="514" customWidth="1"/>
    <col min="7461" max="7461" width="11.5703125" style="514"/>
    <col min="7462" max="7462" width="62" style="514" customWidth="1"/>
    <col min="7463" max="7463" width="12.7109375" style="514" customWidth="1"/>
    <col min="7464" max="7464" width="14.28515625" style="514" customWidth="1"/>
    <col min="7465" max="7465" width="11.5703125" style="514"/>
    <col min="7466" max="7466" width="61.7109375" style="514" customWidth="1"/>
    <col min="7467" max="7467" width="12.85546875" style="514" customWidth="1"/>
    <col min="7468" max="7468" width="13" style="514" customWidth="1"/>
    <col min="7469" max="7469" width="11.5703125" style="514"/>
    <col min="7470" max="7470" width="55.42578125" style="514" customWidth="1"/>
    <col min="7471" max="7471" width="17.5703125" style="514" customWidth="1"/>
    <col min="7472" max="7680" width="11.5703125" style="514"/>
    <col min="7681" max="7681" width="16.85546875" style="514" customWidth="1"/>
    <col min="7682" max="7682" width="15.140625" style="514" customWidth="1"/>
    <col min="7683" max="7683" width="21.5703125" style="514" customWidth="1"/>
    <col min="7684" max="7684" width="16" style="514" customWidth="1"/>
    <col min="7685" max="7685" width="45" style="514" customWidth="1"/>
    <col min="7686" max="7686" width="12.5703125" style="514" customWidth="1"/>
    <col min="7687" max="7688" width="15" style="514" customWidth="1"/>
    <col min="7689" max="7704" width="12.5703125" style="514" customWidth="1"/>
    <col min="7705" max="7705" width="26.28515625" style="514" customWidth="1"/>
    <col min="7706" max="7706" width="66.42578125" style="514" customWidth="1"/>
    <col min="7707" max="7707" width="24.28515625" style="514" customWidth="1"/>
    <col min="7708" max="7708" width="22.28515625" style="514" customWidth="1"/>
    <col min="7709" max="7709" width="14.85546875" style="514" customWidth="1"/>
    <col min="7710" max="7710" width="22" style="514" customWidth="1"/>
    <col min="7711" max="7711" width="92.140625" style="514" customWidth="1"/>
    <col min="7712" max="7712" width="13" style="514" customWidth="1"/>
    <col min="7713" max="7713" width="11.5703125" style="514"/>
    <col min="7714" max="7714" width="46.7109375" style="514" customWidth="1"/>
    <col min="7715" max="7715" width="17.5703125" style="514" customWidth="1"/>
    <col min="7716" max="7716" width="13.5703125" style="514" customWidth="1"/>
    <col min="7717" max="7717" width="11.5703125" style="514"/>
    <col min="7718" max="7718" width="62" style="514" customWidth="1"/>
    <col min="7719" max="7719" width="12.7109375" style="514" customWidth="1"/>
    <col min="7720" max="7720" width="14.28515625" style="514" customWidth="1"/>
    <col min="7721" max="7721" width="11.5703125" style="514"/>
    <col min="7722" max="7722" width="61.7109375" style="514" customWidth="1"/>
    <col min="7723" max="7723" width="12.85546875" style="514" customWidth="1"/>
    <col min="7724" max="7724" width="13" style="514" customWidth="1"/>
    <col min="7725" max="7725" width="11.5703125" style="514"/>
    <col min="7726" max="7726" width="55.42578125" style="514" customWidth="1"/>
    <col min="7727" max="7727" width="17.5703125" style="514" customWidth="1"/>
    <col min="7728" max="7936" width="11.5703125" style="514"/>
    <col min="7937" max="7937" width="16.85546875" style="514" customWidth="1"/>
    <col min="7938" max="7938" width="15.140625" style="514" customWidth="1"/>
    <col min="7939" max="7939" width="21.5703125" style="514" customWidth="1"/>
    <col min="7940" max="7940" width="16" style="514" customWidth="1"/>
    <col min="7941" max="7941" width="45" style="514" customWidth="1"/>
    <col min="7942" max="7942" width="12.5703125" style="514" customWidth="1"/>
    <col min="7943" max="7944" width="15" style="514" customWidth="1"/>
    <col min="7945" max="7960" width="12.5703125" style="514" customWidth="1"/>
    <col min="7961" max="7961" width="26.28515625" style="514" customWidth="1"/>
    <col min="7962" max="7962" width="66.42578125" style="514" customWidth="1"/>
    <col min="7963" max="7963" width="24.28515625" style="514" customWidth="1"/>
    <col min="7964" max="7964" width="22.28515625" style="514" customWidth="1"/>
    <col min="7965" max="7965" width="14.85546875" style="514" customWidth="1"/>
    <col min="7966" max="7966" width="22" style="514" customWidth="1"/>
    <col min="7967" max="7967" width="92.140625" style="514" customWidth="1"/>
    <col min="7968" max="7968" width="13" style="514" customWidth="1"/>
    <col min="7969" max="7969" width="11.5703125" style="514"/>
    <col min="7970" max="7970" width="46.7109375" style="514" customWidth="1"/>
    <col min="7971" max="7971" width="17.5703125" style="514" customWidth="1"/>
    <col min="7972" max="7972" width="13.5703125" style="514" customWidth="1"/>
    <col min="7973" max="7973" width="11.5703125" style="514"/>
    <col min="7974" max="7974" width="62" style="514" customWidth="1"/>
    <col min="7975" max="7975" width="12.7109375" style="514" customWidth="1"/>
    <col min="7976" max="7976" width="14.28515625" style="514" customWidth="1"/>
    <col min="7977" max="7977" width="11.5703125" style="514"/>
    <col min="7978" max="7978" width="61.7109375" style="514" customWidth="1"/>
    <col min="7979" max="7979" width="12.85546875" style="514" customWidth="1"/>
    <col min="7980" max="7980" width="13" style="514" customWidth="1"/>
    <col min="7981" max="7981" width="11.5703125" style="514"/>
    <col min="7982" max="7982" width="55.42578125" style="514" customWidth="1"/>
    <col min="7983" max="7983" width="17.5703125" style="514" customWidth="1"/>
    <col min="7984" max="8192" width="11.5703125" style="514"/>
    <col min="8193" max="8193" width="16.85546875" style="514" customWidth="1"/>
    <col min="8194" max="8194" width="15.140625" style="514" customWidth="1"/>
    <col min="8195" max="8195" width="21.5703125" style="514" customWidth="1"/>
    <col min="8196" max="8196" width="16" style="514" customWidth="1"/>
    <col min="8197" max="8197" width="45" style="514" customWidth="1"/>
    <col min="8198" max="8198" width="12.5703125" style="514" customWidth="1"/>
    <col min="8199" max="8200" width="15" style="514" customWidth="1"/>
    <col min="8201" max="8216" width="12.5703125" style="514" customWidth="1"/>
    <col min="8217" max="8217" width="26.28515625" style="514" customWidth="1"/>
    <col min="8218" max="8218" width="66.42578125" style="514" customWidth="1"/>
    <col min="8219" max="8219" width="24.28515625" style="514" customWidth="1"/>
    <col min="8220" max="8220" width="22.28515625" style="514" customWidth="1"/>
    <col min="8221" max="8221" width="14.85546875" style="514" customWidth="1"/>
    <col min="8222" max="8222" width="22" style="514" customWidth="1"/>
    <col min="8223" max="8223" width="92.140625" style="514" customWidth="1"/>
    <col min="8224" max="8224" width="13" style="514" customWidth="1"/>
    <col min="8225" max="8225" width="11.5703125" style="514"/>
    <col min="8226" max="8226" width="46.7109375" style="514" customWidth="1"/>
    <col min="8227" max="8227" width="17.5703125" style="514" customWidth="1"/>
    <col min="8228" max="8228" width="13.5703125" style="514" customWidth="1"/>
    <col min="8229" max="8229" width="11.5703125" style="514"/>
    <col min="8230" max="8230" width="62" style="514" customWidth="1"/>
    <col min="8231" max="8231" width="12.7109375" style="514" customWidth="1"/>
    <col min="8232" max="8232" width="14.28515625" style="514" customWidth="1"/>
    <col min="8233" max="8233" width="11.5703125" style="514"/>
    <col min="8234" max="8234" width="61.7109375" style="514" customWidth="1"/>
    <col min="8235" max="8235" width="12.85546875" style="514" customWidth="1"/>
    <col min="8236" max="8236" width="13" style="514" customWidth="1"/>
    <col min="8237" max="8237" width="11.5703125" style="514"/>
    <col min="8238" max="8238" width="55.42578125" style="514" customWidth="1"/>
    <col min="8239" max="8239" width="17.5703125" style="514" customWidth="1"/>
    <col min="8240" max="8448" width="11.5703125" style="514"/>
    <col min="8449" max="8449" width="16.85546875" style="514" customWidth="1"/>
    <col min="8450" max="8450" width="15.140625" style="514" customWidth="1"/>
    <col min="8451" max="8451" width="21.5703125" style="514" customWidth="1"/>
    <col min="8452" max="8452" width="16" style="514" customWidth="1"/>
    <col min="8453" max="8453" width="45" style="514" customWidth="1"/>
    <col min="8454" max="8454" width="12.5703125" style="514" customWidth="1"/>
    <col min="8455" max="8456" width="15" style="514" customWidth="1"/>
    <col min="8457" max="8472" width="12.5703125" style="514" customWidth="1"/>
    <col min="8473" max="8473" width="26.28515625" style="514" customWidth="1"/>
    <col min="8474" max="8474" width="66.42578125" style="514" customWidth="1"/>
    <col min="8475" max="8475" width="24.28515625" style="514" customWidth="1"/>
    <col min="8476" max="8476" width="22.28515625" style="514" customWidth="1"/>
    <col min="8477" max="8477" width="14.85546875" style="514" customWidth="1"/>
    <col min="8478" max="8478" width="22" style="514" customWidth="1"/>
    <col min="8479" max="8479" width="92.140625" style="514" customWidth="1"/>
    <col min="8480" max="8480" width="13" style="514" customWidth="1"/>
    <col min="8481" max="8481" width="11.5703125" style="514"/>
    <col min="8482" max="8482" width="46.7109375" style="514" customWidth="1"/>
    <col min="8483" max="8483" width="17.5703125" style="514" customWidth="1"/>
    <col min="8484" max="8484" width="13.5703125" style="514" customWidth="1"/>
    <col min="8485" max="8485" width="11.5703125" style="514"/>
    <col min="8486" max="8486" width="62" style="514" customWidth="1"/>
    <col min="8487" max="8487" width="12.7109375" style="514" customWidth="1"/>
    <col min="8488" max="8488" width="14.28515625" style="514" customWidth="1"/>
    <col min="8489" max="8489" width="11.5703125" style="514"/>
    <col min="8490" max="8490" width="61.7109375" style="514" customWidth="1"/>
    <col min="8491" max="8491" width="12.85546875" style="514" customWidth="1"/>
    <col min="8492" max="8492" width="13" style="514" customWidth="1"/>
    <col min="8493" max="8493" width="11.5703125" style="514"/>
    <col min="8494" max="8494" width="55.42578125" style="514" customWidth="1"/>
    <col min="8495" max="8495" width="17.5703125" style="514" customWidth="1"/>
    <col min="8496" max="8704" width="11.5703125" style="514"/>
    <col min="8705" max="8705" width="16.85546875" style="514" customWidth="1"/>
    <col min="8706" max="8706" width="15.140625" style="514" customWidth="1"/>
    <col min="8707" max="8707" width="21.5703125" style="514" customWidth="1"/>
    <col min="8708" max="8708" width="16" style="514" customWidth="1"/>
    <col min="8709" max="8709" width="45" style="514" customWidth="1"/>
    <col min="8710" max="8710" width="12.5703125" style="514" customWidth="1"/>
    <col min="8711" max="8712" width="15" style="514" customWidth="1"/>
    <col min="8713" max="8728" width="12.5703125" style="514" customWidth="1"/>
    <col min="8729" max="8729" width="26.28515625" style="514" customWidth="1"/>
    <col min="8730" max="8730" width="66.42578125" style="514" customWidth="1"/>
    <col min="8731" max="8731" width="24.28515625" style="514" customWidth="1"/>
    <col min="8732" max="8732" width="22.28515625" style="514" customWidth="1"/>
    <col min="8733" max="8733" width="14.85546875" style="514" customWidth="1"/>
    <col min="8734" max="8734" width="22" style="514" customWidth="1"/>
    <col min="8735" max="8735" width="92.140625" style="514" customWidth="1"/>
    <col min="8736" max="8736" width="13" style="514" customWidth="1"/>
    <col min="8737" max="8737" width="11.5703125" style="514"/>
    <col min="8738" max="8738" width="46.7109375" style="514" customWidth="1"/>
    <col min="8739" max="8739" width="17.5703125" style="514" customWidth="1"/>
    <col min="8740" max="8740" width="13.5703125" style="514" customWidth="1"/>
    <col min="8741" max="8741" width="11.5703125" style="514"/>
    <col min="8742" max="8742" width="62" style="514" customWidth="1"/>
    <col min="8743" max="8743" width="12.7109375" style="514" customWidth="1"/>
    <col min="8744" max="8744" width="14.28515625" style="514" customWidth="1"/>
    <col min="8745" max="8745" width="11.5703125" style="514"/>
    <col min="8746" max="8746" width="61.7109375" style="514" customWidth="1"/>
    <col min="8747" max="8747" width="12.85546875" style="514" customWidth="1"/>
    <col min="8748" max="8748" width="13" style="514" customWidth="1"/>
    <col min="8749" max="8749" width="11.5703125" style="514"/>
    <col min="8750" max="8750" width="55.42578125" style="514" customWidth="1"/>
    <col min="8751" max="8751" width="17.5703125" style="514" customWidth="1"/>
    <col min="8752" max="8960" width="11.5703125" style="514"/>
    <col min="8961" max="8961" width="16.85546875" style="514" customWidth="1"/>
    <col min="8962" max="8962" width="15.140625" style="514" customWidth="1"/>
    <col min="8963" max="8963" width="21.5703125" style="514" customWidth="1"/>
    <col min="8964" max="8964" width="16" style="514" customWidth="1"/>
    <col min="8965" max="8965" width="45" style="514" customWidth="1"/>
    <col min="8966" max="8966" width="12.5703125" style="514" customWidth="1"/>
    <col min="8967" max="8968" width="15" style="514" customWidth="1"/>
    <col min="8969" max="8984" width="12.5703125" style="514" customWidth="1"/>
    <col min="8985" max="8985" width="26.28515625" style="514" customWidth="1"/>
    <col min="8986" max="8986" width="66.42578125" style="514" customWidth="1"/>
    <col min="8987" max="8987" width="24.28515625" style="514" customWidth="1"/>
    <col min="8988" max="8988" width="22.28515625" style="514" customWidth="1"/>
    <col min="8989" max="8989" width="14.85546875" style="514" customWidth="1"/>
    <col min="8990" max="8990" width="22" style="514" customWidth="1"/>
    <col min="8991" max="8991" width="92.140625" style="514" customWidth="1"/>
    <col min="8992" max="8992" width="13" style="514" customWidth="1"/>
    <col min="8993" max="8993" width="11.5703125" style="514"/>
    <col min="8994" max="8994" width="46.7109375" style="514" customWidth="1"/>
    <col min="8995" max="8995" width="17.5703125" style="514" customWidth="1"/>
    <col min="8996" max="8996" width="13.5703125" style="514" customWidth="1"/>
    <col min="8997" max="8997" width="11.5703125" style="514"/>
    <col min="8998" max="8998" width="62" style="514" customWidth="1"/>
    <col min="8999" max="8999" width="12.7109375" style="514" customWidth="1"/>
    <col min="9000" max="9000" width="14.28515625" style="514" customWidth="1"/>
    <col min="9001" max="9001" width="11.5703125" style="514"/>
    <col min="9002" max="9002" width="61.7109375" style="514" customWidth="1"/>
    <col min="9003" max="9003" width="12.85546875" style="514" customWidth="1"/>
    <col min="9004" max="9004" width="13" style="514" customWidth="1"/>
    <col min="9005" max="9005" width="11.5703125" style="514"/>
    <col min="9006" max="9006" width="55.42578125" style="514" customWidth="1"/>
    <col min="9007" max="9007" width="17.5703125" style="514" customWidth="1"/>
    <col min="9008" max="9216" width="11.5703125" style="514"/>
    <col min="9217" max="9217" width="16.85546875" style="514" customWidth="1"/>
    <col min="9218" max="9218" width="15.140625" style="514" customWidth="1"/>
    <col min="9219" max="9219" width="21.5703125" style="514" customWidth="1"/>
    <col min="9220" max="9220" width="16" style="514" customWidth="1"/>
    <col min="9221" max="9221" width="45" style="514" customWidth="1"/>
    <col min="9222" max="9222" width="12.5703125" style="514" customWidth="1"/>
    <col min="9223" max="9224" width="15" style="514" customWidth="1"/>
    <col min="9225" max="9240" width="12.5703125" style="514" customWidth="1"/>
    <col min="9241" max="9241" width="26.28515625" style="514" customWidth="1"/>
    <col min="9242" max="9242" width="66.42578125" style="514" customWidth="1"/>
    <col min="9243" max="9243" width="24.28515625" style="514" customWidth="1"/>
    <col min="9244" max="9244" width="22.28515625" style="514" customWidth="1"/>
    <col min="9245" max="9245" width="14.85546875" style="514" customWidth="1"/>
    <col min="9246" max="9246" width="22" style="514" customWidth="1"/>
    <col min="9247" max="9247" width="92.140625" style="514" customWidth="1"/>
    <col min="9248" max="9248" width="13" style="514" customWidth="1"/>
    <col min="9249" max="9249" width="11.5703125" style="514"/>
    <col min="9250" max="9250" width="46.7109375" style="514" customWidth="1"/>
    <col min="9251" max="9251" width="17.5703125" style="514" customWidth="1"/>
    <col min="9252" max="9252" width="13.5703125" style="514" customWidth="1"/>
    <col min="9253" max="9253" width="11.5703125" style="514"/>
    <col min="9254" max="9254" width="62" style="514" customWidth="1"/>
    <col min="9255" max="9255" width="12.7109375" style="514" customWidth="1"/>
    <col min="9256" max="9256" width="14.28515625" style="514" customWidth="1"/>
    <col min="9257" max="9257" width="11.5703125" style="514"/>
    <col min="9258" max="9258" width="61.7109375" style="514" customWidth="1"/>
    <col min="9259" max="9259" width="12.85546875" style="514" customWidth="1"/>
    <col min="9260" max="9260" width="13" style="514" customWidth="1"/>
    <col min="9261" max="9261" width="11.5703125" style="514"/>
    <col min="9262" max="9262" width="55.42578125" style="514" customWidth="1"/>
    <col min="9263" max="9263" width="17.5703125" style="514" customWidth="1"/>
    <col min="9264" max="9472" width="11.5703125" style="514"/>
    <col min="9473" max="9473" width="16.85546875" style="514" customWidth="1"/>
    <col min="9474" max="9474" width="15.140625" style="514" customWidth="1"/>
    <col min="9475" max="9475" width="21.5703125" style="514" customWidth="1"/>
    <col min="9476" max="9476" width="16" style="514" customWidth="1"/>
    <col min="9477" max="9477" width="45" style="514" customWidth="1"/>
    <col min="9478" max="9478" width="12.5703125" style="514" customWidth="1"/>
    <col min="9479" max="9480" width="15" style="514" customWidth="1"/>
    <col min="9481" max="9496" width="12.5703125" style="514" customWidth="1"/>
    <col min="9497" max="9497" width="26.28515625" style="514" customWidth="1"/>
    <col min="9498" max="9498" width="66.42578125" style="514" customWidth="1"/>
    <col min="9499" max="9499" width="24.28515625" style="514" customWidth="1"/>
    <col min="9500" max="9500" width="22.28515625" style="514" customWidth="1"/>
    <col min="9501" max="9501" width="14.85546875" style="514" customWidth="1"/>
    <col min="9502" max="9502" width="22" style="514" customWidth="1"/>
    <col min="9503" max="9503" width="92.140625" style="514" customWidth="1"/>
    <col min="9504" max="9504" width="13" style="514" customWidth="1"/>
    <col min="9505" max="9505" width="11.5703125" style="514"/>
    <col min="9506" max="9506" width="46.7109375" style="514" customWidth="1"/>
    <col min="9507" max="9507" width="17.5703125" style="514" customWidth="1"/>
    <col min="9508" max="9508" width="13.5703125" style="514" customWidth="1"/>
    <col min="9509" max="9509" width="11.5703125" style="514"/>
    <col min="9510" max="9510" width="62" style="514" customWidth="1"/>
    <col min="9511" max="9511" width="12.7109375" style="514" customWidth="1"/>
    <col min="9512" max="9512" width="14.28515625" style="514" customWidth="1"/>
    <col min="9513" max="9513" width="11.5703125" style="514"/>
    <col min="9514" max="9514" width="61.7109375" style="514" customWidth="1"/>
    <col min="9515" max="9515" width="12.85546875" style="514" customWidth="1"/>
    <col min="9516" max="9516" width="13" style="514" customWidth="1"/>
    <col min="9517" max="9517" width="11.5703125" style="514"/>
    <col min="9518" max="9518" width="55.42578125" style="514" customWidth="1"/>
    <col min="9519" max="9519" width="17.5703125" style="514" customWidth="1"/>
    <col min="9520" max="9728" width="11.5703125" style="514"/>
    <col min="9729" max="9729" width="16.85546875" style="514" customWidth="1"/>
    <col min="9730" max="9730" width="15.140625" style="514" customWidth="1"/>
    <col min="9731" max="9731" width="21.5703125" style="514" customWidth="1"/>
    <col min="9732" max="9732" width="16" style="514" customWidth="1"/>
    <col min="9733" max="9733" width="45" style="514" customWidth="1"/>
    <col min="9734" max="9734" width="12.5703125" style="514" customWidth="1"/>
    <col min="9735" max="9736" width="15" style="514" customWidth="1"/>
    <col min="9737" max="9752" width="12.5703125" style="514" customWidth="1"/>
    <col min="9753" max="9753" width="26.28515625" style="514" customWidth="1"/>
    <col min="9754" max="9754" width="66.42578125" style="514" customWidth="1"/>
    <col min="9755" max="9755" width="24.28515625" style="514" customWidth="1"/>
    <col min="9756" max="9756" width="22.28515625" style="514" customWidth="1"/>
    <col min="9757" max="9757" width="14.85546875" style="514" customWidth="1"/>
    <col min="9758" max="9758" width="22" style="514" customWidth="1"/>
    <col min="9759" max="9759" width="92.140625" style="514" customWidth="1"/>
    <col min="9760" max="9760" width="13" style="514" customWidth="1"/>
    <col min="9761" max="9761" width="11.5703125" style="514"/>
    <col min="9762" max="9762" width="46.7109375" style="514" customWidth="1"/>
    <col min="9763" max="9763" width="17.5703125" style="514" customWidth="1"/>
    <col min="9764" max="9764" width="13.5703125" style="514" customWidth="1"/>
    <col min="9765" max="9765" width="11.5703125" style="514"/>
    <col min="9766" max="9766" width="62" style="514" customWidth="1"/>
    <col min="9767" max="9767" width="12.7109375" style="514" customWidth="1"/>
    <col min="9768" max="9768" width="14.28515625" style="514" customWidth="1"/>
    <col min="9769" max="9769" width="11.5703125" style="514"/>
    <col min="9770" max="9770" width="61.7109375" style="514" customWidth="1"/>
    <col min="9771" max="9771" width="12.85546875" style="514" customWidth="1"/>
    <col min="9772" max="9772" width="13" style="514" customWidth="1"/>
    <col min="9773" max="9773" width="11.5703125" style="514"/>
    <col min="9774" max="9774" width="55.42578125" style="514" customWidth="1"/>
    <col min="9775" max="9775" width="17.5703125" style="514" customWidth="1"/>
    <col min="9776" max="9984" width="11.5703125" style="514"/>
    <col min="9985" max="9985" width="16.85546875" style="514" customWidth="1"/>
    <col min="9986" max="9986" width="15.140625" style="514" customWidth="1"/>
    <col min="9987" max="9987" width="21.5703125" style="514" customWidth="1"/>
    <col min="9988" max="9988" width="16" style="514" customWidth="1"/>
    <col min="9989" max="9989" width="45" style="514" customWidth="1"/>
    <col min="9990" max="9990" width="12.5703125" style="514" customWidth="1"/>
    <col min="9991" max="9992" width="15" style="514" customWidth="1"/>
    <col min="9993" max="10008" width="12.5703125" style="514" customWidth="1"/>
    <col min="10009" max="10009" width="26.28515625" style="514" customWidth="1"/>
    <col min="10010" max="10010" width="66.42578125" style="514" customWidth="1"/>
    <col min="10011" max="10011" width="24.28515625" style="514" customWidth="1"/>
    <col min="10012" max="10012" width="22.28515625" style="514" customWidth="1"/>
    <col min="10013" max="10013" width="14.85546875" style="514" customWidth="1"/>
    <col min="10014" max="10014" width="22" style="514" customWidth="1"/>
    <col min="10015" max="10015" width="92.140625" style="514" customWidth="1"/>
    <col min="10016" max="10016" width="13" style="514" customWidth="1"/>
    <col min="10017" max="10017" width="11.5703125" style="514"/>
    <col min="10018" max="10018" width="46.7109375" style="514" customWidth="1"/>
    <col min="10019" max="10019" width="17.5703125" style="514" customWidth="1"/>
    <col min="10020" max="10020" width="13.5703125" style="514" customWidth="1"/>
    <col min="10021" max="10021" width="11.5703125" style="514"/>
    <col min="10022" max="10022" width="62" style="514" customWidth="1"/>
    <col min="10023" max="10023" width="12.7109375" style="514" customWidth="1"/>
    <col min="10024" max="10024" width="14.28515625" style="514" customWidth="1"/>
    <col min="10025" max="10025" width="11.5703125" style="514"/>
    <col min="10026" max="10026" width="61.7109375" style="514" customWidth="1"/>
    <col min="10027" max="10027" width="12.85546875" style="514" customWidth="1"/>
    <col min="10028" max="10028" width="13" style="514" customWidth="1"/>
    <col min="10029" max="10029" width="11.5703125" style="514"/>
    <col min="10030" max="10030" width="55.42578125" style="514" customWidth="1"/>
    <col min="10031" max="10031" width="17.5703125" style="514" customWidth="1"/>
    <col min="10032" max="10240" width="11.5703125" style="514"/>
    <col min="10241" max="10241" width="16.85546875" style="514" customWidth="1"/>
    <col min="10242" max="10242" width="15.140625" style="514" customWidth="1"/>
    <col min="10243" max="10243" width="21.5703125" style="514" customWidth="1"/>
    <col min="10244" max="10244" width="16" style="514" customWidth="1"/>
    <col min="10245" max="10245" width="45" style="514" customWidth="1"/>
    <col min="10246" max="10246" width="12.5703125" style="514" customWidth="1"/>
    <col min="10247" max="10248" width="15" style="514" customWidth="1"/>
    <col min="10249" max="10264" width="12.5703125" style="514" customWidth="1"/>
    <col min="10265" max="10265" width="26.28515625" style="514" customWidth="1"/>
    <col min="10266" max="10266" width="66.42578125" style="514" customWidth="1"/>
    <col min="10267" max="10267" width="24.28515625" style="514" customWidth="1"/>
    <col min="10268" max="10268" width="22.28515625" style="514" customWidth="1"/>
    <col min="10269" max="10269" width="14.85546875" style="514" customWidth="1"/>
    <col min="10270" max="10270" width="22" style="514" customWidth="1"/>
    <col min="10271" max="10271" width="92.140625" style="514" customWidth="1"/>
    <col min="10272" max="10272" width="13" style="514" customWidth="1"/>
    <col min="10273" max="10273" width="11.5703125" style="514"/>
    <col min="10274" max="10274" width="46.7109375" style="514" customWidth="1"/>
    <col min="10275" max="10275" width="17.5703125" style="514" customWidth="1"/>
    <col min="10276" max="10276" width="13.5703125" style="514" customWidth="1"/>
    <col min="10277" max="10277" width="11.5703125" style="514"/>
    <col min="10278" max="10278" width="62" style="514" customWidth="1"/>
    <col min="10279" max="10279" width="12.7109375" style="514" customWidth="1"/>
    <col min="10280" max="10280" width="14.28515625" style="514" customWidth="1"/>
    <col min="10281" max="10281" width="11.5703125" style="514"/>
    <col min="10282" max="10282" width="61.7109375" style="514" customWidth="1"/>
    <col min="10283" max="10283" width="12.85546875" style="514" customWidth="1"/>
    <col min="10284" max="10284" width="13" style="514" customWidth="1"/>
    <col min="10285" max="10285" width="11.5703125" style="514"/>
    <col min="10286" max="10286" width="55.42578125" style="514" customWidth="1"/>
    <col min="10287" max="10287" width="17.5703125" style="514" customWidth="1"/>
    <col min="10288" max="10496" width="11.5703125" style="514"/>
    <col min="10497" max="10497" width="16.85546875" style="514" customWidth="1"/>
    <col min="10498" max="10498" width="15.140625" style="514" customWidth="1"/>
    <col min="10499" max="10499" width="21.5703125" style="514" customWidth="1"/>
    <col min="10500" max="10500" width="16" style="514" customWidth="1"/>
    <col min="10501" max="10501" width="45" style="514" customWidth="1"/>
    <col min="10502" max="10502" width="12.5703125" style="514" customWidth="1"/>
    <col min="10503" max="10504" width="15" style="514" customWidth="1"/>
    <col min="10505" max="10520" width="12.5703125" style="514" customWidth="1"/>
    <col min="10521" max="10521" width="26.28515625" style="514" customWidth="1"/>
    <col min="10522" max="10522" width="66.42578125" style="514" customWidth="1"/>
    <col min="10523" max="10523" width="24.28515625" style="514" customWidth="1"/>
    <col min="10524" max="10524" width="22.28515625" style="514" customWidth="1"/>
    <col min="10525" max="10525" width="14.85546875" style="514" customWidth="1"/>
    <col min="10526" max="10526" width="22" style="514" customWidth="1"/>
    <col min="10527" max="10527" width="92.140625" style="514" customWidth="1"/>
    <col min="10528" max="10528" width="13" style="514" customWidth="1"/>
    <col min="10529" max="10529" width="11.5703125" style="514"/>
    <col min="10530" max="10530" width="46.7109375" style="514" customWidth="1"/>
    <col min="10531" max="10531" width="17.5703125" style="514" customWidth="1"/>
    <col min="10532" max="10532" width="13.5703125" style="514" customWidth="1"/>
    <col min="10533" max="10533" width="11.5703125" style="514"/>
    <col min="10534" max="10534" width="62" style="514" customWidth="1"/>
    <col min="10535" max="10535" width="12.7109375" style="514" customWidth="1"/>
    <col min="10536" max="10536" width="14.28515625" style="514" customWidth="1"/>
    <col min="10537" max="10537" width="11.5703125" style="514"/>
    <col min="10538" max="10538" width="61.7109375" style="514" customWidth="1"/>
    <col min="10539" max="10539" width="12.85546875" style="514" customWidth="1"/>
    <col min="10540" max="10540" width="13" style="514" customWidth="1"/>
    <col min="10541" max="10541" width="11.5703125" style="514"/>
    <col min="10542" max="10542" width="55.42578125" style="514" customWidth="1"/>
    <col min="10543" max="10543" width="17.5703125" style="514" customWidth="1"/>
    <col min="10544" max="10752" width="11.5703125" style="514"/>
    <col min="10753" max="10753" width="16.85546875" style="514" customWidth="1"/>
    <col min="10754" max="10754" width="15.140625" style="514" customWidth="1"/>
    <col min="10755" max="10755" width="21.5703125" style="514" customWidth="1"/>
    <col min="10756" max="10756" width="16" style="514" customWidth="1"/>
    <col min="10757" max="10757" width="45" style="514" customWidth="1"/>
    <col min="10758" max="10758" width="12.5703125" style="514" customWidth="1"/>
    <col min="10759" max="10760" width="15" style="514" customWidth="1"/>
    <col min="10761" max="10776" width="12.5703125" style="514" customWidth="1"/>
    <col min="10777" max="10777" width="26.28515625" style="514" customWidth="1"/>
    <col min="10778" max="10778" width="66.42578125" style="514" customWidth="1"/>
    <col min="10779" max="10779" width="24.28515625" style="514" customWidth="1"/>
    <col min="10780" max="10780" width="22.28515625" style="514" customWidth="1"/>
    <col min="10781" max="10781" width="14.85546875" style="514" customWidth="1"/>
    <col min="10782" max="10782" width="22" style="514" customWidth="1"/>
    <col min="10783" max="10783" width="92.140625" style="514" customWidth="1"/>
    <col min="10784" max="10784" width="13" style="514" customWidth="1"/>
    <col min="10785" max="10785" width="11.5703125" style="514"/>
    <col min="10786" max="10786" width="46.7109375" style="514" customWidth="1"/>
    <col min="10787" max="10787" width="17.5703125" style="514" customWidth="1"/>
    <col min="10788" max="10788" width="13.5703125" style="514" customWidth="1"/>
    <col min="10789" max="10789" width="11.5703125" style="514"/>
    <col min="10790" max="10790" width="62" style="514" customWidth="1"/>
    <col min="10791" max="10791" width="12.7109375" style="514" customWidth="1"/>
    <col min="10792" max="10792" width="14.28515625" style="514" customWidth="1"/>
    <col min="10793" max="10793" width="11.5703125" style="514"/>
    <col min="10794" max="10794" width="61.7109375" style="514" customWidth="1"/>
    <col min="10795" max="10795" width="12.85546875" style="514" customWidth="1"/>
    <col min="10796" max="10796" width="13" style="514" customWidth="1"/>
    <col min="10797" max="10797" width="11.5703125" style="514"/>
    <col min="10798" max="10798" width="55.42578125" style="514" customWidth="1"/>
    <col min="10799" max="10799" width="17.5703125" style="514" customWidth="1"/>
    <col min="10800" max="11008" width="11.5703125" style="514"/>
    <col min="11009" max="11009" width="16.85546875" style="514" customWidth="1"/>
    <col min="11010" max="11010" width="15.140625" style="514" customWidth="1"/>
    <col min="11011" max="11011" width="21.5703125" style="514" customWidth="1"/>
    <col min="11012" max="11012" width="16" style="514" customWidth="1"/>
    <col min="11013" max="11013" width="45" style="514" customWidth="1"/>
    <col min="11014" max="11014" width="12.5703125" style="514" customWidth="1"/>
    <col min="11015" max="11016" width="15" style="514" customWidth="1"/>
    <col min="11017" max="11032" width="12.5703125" style="514" customWidth="1"/>
    <col min="11033" max="11033" width="26.28515625" style="514" customWidth="1"/>
    <col min="11034" max="11034" width="66.42578125" style="514" customWidth="1"/>
    <col min="11035" max="11035" width="24.28515625" style="514" customWidth="1"/>
    <col min="11036" max="11036" width="22.28515625" style="514" customWidth="1"/>
    <col min="11037" max="11037" width="14.85546875" style="514" customWidth="1"/>
    <col min="11038" max="11038" width="22" style="514" customWidth="1"/>
    <col min="11039" max="11039" width="92.140625" style="514" customWidth="1"/>
    <col min="11040" max="11040" width="13" style="514" customWidth="1"/>
    <col min="11041" max="11041" width="11.5703125" style="514"/>
    <col min="11042" max="11042" width="46.7109375" style="514" customWidth="1"/>
    <col min="11043" max="11043" width="17.5703125" style="514" customWidth="1"/>
    <col min="11044" max="11044" width="13.5703125" style="514" customWidth="1"/>
    <col min="11045" max="11045" width="11.5703125" style="514"/>
    <col min="11046" max="11046" width="62" style="514" customWidth="1"/>
    <col min="11047" max="11047" width="12.7109375" style="514" customWidth="1"/>
    <col min="11048" max="11048" width="14.28515625" style="514" customWidth="1"/>
    <col min="11049" max="11049" width="11.5703125" style="514"/>
    <col min="11050" max="11050" width="61.7109375" style="514" customWidth="1"/>
    <col min="11051" max="11051" width="12.85546875" style="514" customWidth="1"/>
    <col min="11052" max="11052" width="13" style="514" customWidth="1"/>
    <col min="11053" max="11053" width="11.5703125" style="514"/>
    <col min="11054" max="11054" width="55.42578125" style="514" customWidth="1"/>
    <col min="11055" max="11055" width="17.5703125" style="514" customWidth="1"/>
    <col min="11056" max="11264" width="11.5703125" style="514"/>
    <col min="11265" max="11265" width="16.85546875" style="514" customWidth="1"/>
    <col min="11266" max="11266" width="15.140625" style="514" customWidth="1"/>
    <col min="11267" max="11267" width="21.5703125" style="514" customWidth="1"/>
    <col min="11268" max="11268" width="16" style="514" customWidth="1"/>
    <col min="11269" max="11269" width="45" style="514" customWidth="1"/>
    <col min="11270" max="11270" width="12.5703125" style="514" customWidth="1"/>
    <col min="11271" max="11272" width="15" style="514" customWidth="1"/>
    <col min="11273" max="11288" width="12.5703125" style="514" customWidth="1"/>
    <col min="11289" max="11289" width="26.28515625" style="514" customWidth="1"/>
    <col min="11290" max="11290" width="66.42578125" style="514" customWidth="1"/>
    <col min="11291" max="11291" width="24.28515625" style="514" customWidth="1"/>
    <col min="11292" max="11292" width="22.28515625" style="514" customWidth="1"/>
    <col min="11293" max="11293" width="14.85546875" style="514" customWidth="1"/>
    <col min="11294" max="11294" width="22" style="514" customWidth="1"/>
    <col min="11295" max="11295" width="92.140625" style="514" customWidth="1"/>
    <col min="11296" max="11296" width="13" style="514" customWidth="1"/>
    <col min="11297" max="11297" width="11.5703125" style="514"/>
    <col min="11298" max="11298" width="46.7109375" style="514" customWidth="1"/>
    <col min="11299" max="11299" width="17.5703125" style="514" customWidth="1"/>
    <col min="11300" max="11300" width="13.5703125" style="514" customWidth="1"/>
    <col min="11301" max="11301" width="11.5703125" style="514"/>
    <col min="11302" max="11302" width="62" style="514" customWidth="1"/>
    <col min="11303" max="11303" width="12.7109375" style="514" customWidth="1"/>
    <col min="11304" max="11304" width="14.28515625" style="514" customWidth="1"/>
    <col min="11305" max="11305" width="11.5703125" style="514"/>
    <col min="11306" max="11306" width="61.7109375" style="514" customWidth="1"/>
    <col min="11307" max="11307" width="12.85546875" style="514" customWidth="1"/>
    <col min="11308" max="11308" width="13" style="514" customWidth="1"/>
    <col min="11309" max="11309" width="11.5703125" style="514"/>
    <col min="11310" max="11310" width="55.42578125" style="514" customWidth="1"/>
    <col min="11311" max="11311" width="17.5703125" style="514" customWidth="1"/>
    <col min="11312" max="11520" width="11.5703125" style="514"/>
    <col min="11521" max="11521" width="16.85546875" style="514" customWidth="1"/>
    <col min="11522" max="11522" width="15.140625" style="514" customWidth="1"/>
    <col min="11523" max="11523" width="21.5703125" style="514" customWidth="1"/>
    <col min="11524" max="11524" width="16" style="514" customWidth="1"/>
    <col min="11525" max="11525" width="45" style="514" customWidth="1"/>
    <col min="11526" max="11526" width="12.5703125" style="514" customWidth="1"/>
    <col min="11527" max="11528" width="15" style="514" customWidth="1"/>
    <col min="11529" max="11544" width="12.5703125" style="514" customWidth="1"/>
    <col min="11545" max="11545" width="26.28515625" style="514" customWidth="1"/>
    <col min="11546" max="11546" width="66.42578125" style="514" customWidth="1"/>
    <col min="11547" max="11547" width="24.28515625" style="514" customWidth="1"/>
    <col min="11548" max="11548" width="22.28515625" style="514" customWidth="1"/>
    <col min="11549" max="11549" width="14.85546875" style="514" customWidth="1"/>
    <col min="11550" max="11550" width="22" style="514" customWidth="1"/>
    <col min="11551" max="11551" width="92.140625" style="514" customWidth="1"/>
    <col min="11552" max="11552" width="13" style="514" customWidth="1"/>
    <col min="11553" max="11553" width="11.5703125" style="514"/>
    <col min="11554" max="11554" width="46.7109375" style="514" customWidth="1"/>
    <col min="11555" max="11555" width="17.5703125" style="514" customWidth="1"/>
    <col min="11556" max="11556" width="13.5703125" style="514" customWidth="1"/>
    <col min="11557" max="11557" width="11.5703125" style="514"/>
    <col min="11558" max="11558" width="62" style="514" customWidth="1"/>
    <col min="11559" max="11559" width="12.7109375" style="514" customWidth="1"/>
    <col min="11560" max="11560" width="14.28515625" style="514" customWidth="1"/>
    <col min="11561" max="11561" width="11.5703125" style="514"/>
    <col min="11562" max="11562" width="61.7109375" style="514" customWidth="1"/>
    <col min="11563" max="11563" width="12.85546875" style="514" customWidth="1"/>
    <col min="11564" max="11564" width="13" style="514" customWidth="1"/>
    <col min="11565" max="11565" width="11.5703125" style="514"/>
    <col min="11566" max="11566" width="55.42578125" style="514" customWidth="1"/>
    <col min="11567" max="11567" width="17.5703125" style="514" customWidth="1"/>
    <col min="11568" max="11776" width="11.5703125" style="514"/>
    <col min="11777" max="11777" width="16.85546875" style="514" customWidth="1"/>
    <col min="11778" max="11778" width="15.140625" style="514" customWidth="1"/>
    <col min="11779" max="11779" width="21.5703125" style="514" customWidth="1"/>
    <col min="11780" max="11780" width="16" style="514" customWidth="1"/>
    <col min="11781" max="11781" width="45" style="514" customWidth="1"/>
    <col min="11782" max="11782" width="12.5703125" style="514" customWidth="1"/>
    <col min="11783" max="11784" width="15" style="514" customWidth="1"/>
    <col min="11785" max="11800" width="12.5703125" style="514" customWidth="1"/>
    <col min="11801" max="11801" width="26.28515625" style="514" customWidth="1"/>
    <col min="11802" max="11802" width="66.42578125" style="514" customWidth="1"/>
    <col min="11803" max="11803" width="24.28515625" style="514" customWidth="1"/>
    <col min="11804" max="11804" width="22.28515625" style="514" customWidth="1"/>
    <col min="11805" max="11805" width="14.85546875" style="514" customWidth="1"/>
    <col min="11806" max="11806" width="22" style="514" customWidth="1"/>
    <col min="11807" max="11807" width="92.140625" style="514" customWidth="1"/>
    <col min="11808" max="11808" width="13" style="514" customWidth="1"/>
    <col min="11809" max="11809" width="11.5703125" style="514"/>
    <col min="11810" max="11810" width="46.7109375" style="514" customWidth="1"/>
    <col min="11811" max="11811" width="17.5703125" style="514" customWidth="1"/>
    <col min="11812" max="11812" width="13.5703125" style="514" customWidth="1"/>
    <col min="11813" max="11813" width="11.5703125" style="514"/>
    <col min="11814" max="11814" width="62" style="514" customWidth="1"/>
    <col min="11815" max="11815" width="12.7109375" style="514" customWidth="1"/>
    <col min="11816" max="11816" width="14.28515625" style="514" customWidth="1"/>
    <col min="11817" max="11817" width="11.5703125" style="514"/>
    <col min="11818" max="11818" width="61.7109375" style="514" customWidth="1"/>
    <col min="11819" max="11819" width="12.85546875" style="514" customWidth="1"/>
    <col min="11820" max="11820" width="13" style="514" customWidth="1"/>
    <col min="11821" max="11821" width="11.5703125" style="514"/>
    <col min="11822" max="11822" width="55.42578125" style="514" customWidth="1"/>
    <col min="11823" max="11823" width="17.5703125" style="514" customWidth="1"/>
    <col min="11824" max="12032" width="11.5703125" style="514"/>
    <col min="12033" max="12033" width="16.85546875" style="514" customWidth="1"/>
    <col min="12034" max="12034" width="15.140625" style="514" customWidth="1"/>
    <col min="12035" max="12035" width="21.5703125" style="514" customWidth="1"/>
    <col min="12036" max="12036" width="16" style="514" customWidth="1"/>
    <col min="12037" max="12037" width="45" style="514" customWidth="1"/>
    <col min="12038" max="12038" width="12.5703125" style="514" customWidth="1"/>
    <col min="12039" max="12040" width="15" style="514" customWidth="1"/>
    <col min="12041" max="12056" width="12.5703125" style="514" customWidth="1"/>
    <col min="12057" max="12057" width="26.28515625" style="514" customWidth="1"/>
    <col min="12058" max="12058" width="66.42578125" style="514" customWidth="1"/>
    <col min="12059" max="12059" width="24.28515625" style="514" customWidth="1"/>
    <col min="12060" max="12060" width="22.28515625" style="514" customWidth="1"/>
    <col min="12061" max="12061" width="14.85546875" style="514" customWidth="1"/>
    <col min="12062" max="12062" width="22" style="514" customWidth="1"/>
    <col min="12063" max="12063" width="92.140625" style="514" customWidth="1"/>
    <col min="12064" max="12064" width="13" style="514" customWidth="1"/>
    <col min="12065" max="12065" width="11.5703125" style="514"/>
    <col min="12066" max="12066" width="46.7109375" style="514" customWidth="1"/>
    <col min="12067" max="12067" width="17.5703125" style="514" customWidth="1"/>
    <col min="12068" max="12068" width="13.5703125" style="514" customWidth="1"/>
    <col min="12069" max="12069" width="11.5703125" style="514"/>
    <col min="12070" max="12070" width="62" style="514" customWidth="1"/>
    <col min="12071" max="12071" width="12.7109375" style="514" customWidth="1"/>
    <col min="12072" max="12072" width="14.28515625" style="514" customWidth="1"/>
    <col min="12073" max="12073" width="11.5703125" style="514"/>
    <col min="12074" max="12074" width="61.7109375" style="514" customWidth="1"/>
    <col min="12075" max="12075" width="12.85546875" style="514" customWidth="1"/>
    <col min="12076" max="12076" width="13" style="514" customWidth="1"/>
    <col min="12077" max="12077" width="11.5703125" style="514"/>
    <col min="12078" max="12078" width="55.42578125" style="514" customWidth="1"/>
    <col min="12079" max="12079" width="17.5703125" style="514" customWidth="1"/>
    <col min="12080" max="12288" width="11.5703125" style="514"/>
    <col min="12289" max="12289" width="16.85546875" style="514" customWidth="1"/>
    <col min="12290" max="12290" width="15.140625" style="514" customWidth="1"/>
    <col min="12291" max="12291" width="21.5703125" style="514" customWidth="1"/>
    <col min="12292" max="12292" width="16" style="514" customWidth="1"/>
    <col min="12293" max="12293" width="45" style="514" customWidth="1"/>
    <col min="12294" max="12294" width="12.5703125" style="514" customWidth="1"/>
    <col min="12295" max="12296" width="15" style="514" customWidth="1"/>
    <col min="12297" max="12312" width="12.5703125" style="514" customWidth="1"/>
    <col min="12313" max="12313" width="26.28515625" style="514" customWidth="1"/>
    <col min="12314" max="12314" width="66.42578125" style="514" customWidth="1"/>
    <col min="12315" max="12315" width="24.28515625" style="514" customWidth="1"/>
    <col min="12316" max="12316" width="22.28515625" style="514" customWidth="1"/>
    <col min="12317" max="12317" width="14.85546875" style="514" customWidth="1"/>
    <col min="12318" max="12318" width="22" style="514" customWidth="1"/>
    <col min="12319" max="12319" width="92.140625" style="514" customWidth="1"/>
    <col min="12320" max="12320" width="13" style="514" customWidth="1"/>
    <col min="12321" max="12321" width="11.5703125" style="514"/>
    <col min="12322" max="12322" width="46.7109375" style="514" customWidth="1"/>
    <col min="12323" max="12323" width="17.5703125" style="514" customWidth="1"/>
    <col min="12324" max="12324" width="13.5703125" style="514" customWidth="1"/>
    <col min="12325" max="12325" width="11.5703125" style="514"/>
    <col min="12326" max="12326" width="62" style="514" customWidth="1"/>
    <col min="12327" max="12327" width="12.7109375" style="514" customWidth="1"/>
    <col min="12328" max="12328" width="14.28515625" style="514" customWidth="1"/>
    <col min="12329" max="12329" width="11.5703125" style="514"/>
    <col min="12330" max="12330" width="61.7109375" style="514" customWidth="1"/>
    <col min="12331" max="12331" width="12.85546875" style="514" customWidth="1"/>
    <col min="12332" max="12332" width="13" style="514" customWidth="1"/>
    <col min="12333" max="12333" width="11.5703125" style="514"/>
    <col min="12334" max="12334" width="55.42578125" style="514" customWidth="1"/>
    <col min="12335" max="12335" width="17.5703125" style="514" customWidth="1"/>
    <col min="12336" max="12544" width="11.5703125" style="514"/>
    <col min="12545" max="12545" width="16.85546875" style="514" customWidth="1"/>
    <col min="12546" max="12546" width="15.140625" style="514" customWidth="1"/>
    <col min="12547" max="12547" width="21.5703125" style="514" customWidth="1"/>
    <col min="12548" max="12548" width="16" style="514" customWidth="1"/>
    <col min="12549" max="12549" width="45" style="514" customWidth="1"/>
    <col min="12550" max="12550" width="12.5703125" style="514" customWidth="1"/>
    <col min="12551" max="12552" width="15" style="514" customWidth="1"/>
    <col min="12553" max="12568" width="12.5703125" style="514" customWidth="1"/>
    <col min="12569" max="12569" width="26.28515625" style="514" customWidth="1"/>
    <col min="12570" max="12570" width="66.42578125" style="514" customWidth="1"/>
    <col min="12571" max="12571" width="24.28515625" style="514" customWidth="1"/>
    <col min="12572" max="12572" width="22.28515625" style="514" customWidth="1"/>
    <col min="12573" max="12573" width="14.85546875" style="514" customWidth="1"/>
    <col min="12574" max="12574" width="22" style="514" customWidth="1"/>
    <col min="12575" max="12575" width="92.140625" style="514" customWidth="1"/>
    <col min="12576" max="12576" width="13" style="514" customWidth="1"/>
    <col min="12577" max="12577" width="11.5703125" style="514"/>
    <col min="12578" max="12578" width="46.7109375" style="514" customWidth="1"/>
    <col min="12579" max="12579" width="17.5703125" style="514" customWidth="1"/>
    <col min="12580" max="12580" width="13.5703125" style="514" customWidth="1"/>
    <col min="12581" max="12581" width="11.5703125" style="514"/>
    <col min="12582" max="12582" width="62" style="514" customWidth="1"/>
    <col min="12583" max="12583" width="12.7109375" style="514" customWidth="1"/>
    <col min="12584" max="12584" width="14.28515625" style="514" customWidth="1"/>
    <col min="12585" max="12585" width="11.5703125" style="514"/>
    <col min="12586" max="12586" width="61.7109375" style="514" customWidth="1"/>
    <col min="12587" max="12587" width="12.85546875" style="514" customWidth="1"/>
    <col min="12588" max="12588" width="13" style="514" customWidth="1"/>
    <col min="12589" max="12589" width="11.5703125" style="514"/>
    <col min="12590" max="12590" width="55.42578125" style="514" customWidth="1"/>
    <col min="12591" max="12591" width="17.5703125" style="514" customWidth="1"/>
    <col min="12592" max="12800" width="11.5703125" style="514"/>
    <col min="12801" max="12801" width="16.85546875" style="514" customWidth="1"/>
    <col min="12802" max="12802" width="15.140625" style="514" customWidth="1"/>
    <col min="12803" max="12803" width="21.5703125" style="514" customWidth="1"/>
    <col min="12804" max="12804" width="16" style="514" customWidth="1"/>
    <col min="12805" max="12805" width="45" style="514" customWidth="1"/>
    <col min="12806" max="12806" width="12.5703125" style="514" customWidth="1"/>
    <col min="12807" max="12808" width="15" style="514" customWidth="1"/>
    <col min="12809" max="12824" width="12.5703125" style="514" customWidth="1"/>
    <col min="12825" max="12825" width="26.28515625" style="514" customWidth="1"/>
    <col min="12826" max="12826" width="66.42578125" style="514" customWidth="1"/>
    <col min="12827" max="12827" width="24.28515625" style="514" customWidth="1"/>
    <col min="12828" max="12828" width="22.28515625" style="514" customWidth="1"/>
    <col min="12829" max="12829" width="14.85546875" style="514" customWidth="1"/>
    <col min="12830" max="12830" width="22" style="514" customWidth="1"/>
    <col min="12831" max="12831" width="92.140625" style="514" customWidth="1"/>
    <col min="12832" max="12832" width="13" style="514" customWidth="1"/>
    <col min="12833" max="12833" width="11.5703125" style="514"/>
    <col min="12834" max="12834" width="46.7109375" style="514" customWidth="1"/>
    <col min="12835" max="12835" width="17.5703125" style="514" customWidth="1"/>
    <col min="12836" max="12836" width="13.5703125" style="514" customWidth="1"/>
    <col min="12837" max="12837" width="11.5703125" style="514"/>
    <col min="12838" max="12838" width="62" style="514" customWidth="1"/>
    <col min="12839" max="12839" width="12.7109375" style="514" customWidth="1"/>
    <col min="12840" max="12840" width="14.28515625" style="514" customWidth="1"/>
    <col min="12841" max="12841" width="11.5703125" style="514"/>
    <col min="12842" max="12842" width="61.7109375" style="514" customWidth="1"/>
    <col min="12843" max="12843" width="12.85546875" style="514" customWidth="1"/>
    <col min="12844" max="12844" width="13" style="514" customWidth="1"/>
    <col min="12845" max="12845" width="11.5703125" style="514"/>
    <col min="12846" max="12846" width="55.42578125" style="514" customWidth="1"/>
    <col min="12847" max="12847" width="17.5703125" style="514" customWidth="1"/>
    <col min="12848" max="13056" width="11.5703125" style="514"/>
    <col min="13057" max="13057" width="16.85546875" style="514" customWidth="1"/>
    <col min="13058" max="13058" width="15.140625" style="514" customWidth="1"/>
    <col min="13059" max="13059" width="21.5703125" style="514" customWidth="1"/>
    <col min="13060" max="13060" width="16" style="514" customWidth="1"/>
    <col min="13061" max="13061" width="45" style="514" customWidth="1"/>
    <col min="13062" max="13062" width="12.5703125" style="514" customWidth="1"/>
    <col min="13063" max="13064" width="15" style="514" customWidth="1"/>
    <col min="13065" max="13080" width="12.5703125" style="514" customWidth="1"/>
    <col min="13081" max="13081" width="26.28515625" style="514" customWidth="1"/>
    <col min="13082" max="13082" width="66.42578125" style="514" customWidth="1"/>
    <col min="13083" max="13083" width="24.28515625" style="514" customWidth="1"/>
    <col min="13084" max="13084" width="22.28515625" style="514" customWidth="1"/>
    <col min="13085" max="13085" width="14.85546875" style="514" customWidth="1"/>
    <col min="13086" max="13086" width="22" style="514" customWidth="1"/>
    <col min="13087" max="13087" width="92.140625" style="514" customWidth="1"/>
    <col min="13088" max="13088" width="13" style="514" customWidth="1"/>
    <col min="13089" max="13089" width="11.5703125" style="514"/>
    <col min="13090" max="13090" width="46.7109375" style="514" customWidth="1"/>
    <col min="13091" max="13091" width="17.5703125" style="514" customWidth="1"/>
    <col min="13092" max="13092" width="13.5703125" style="514" customWidth="1"/>
    <col min="13093" max="13093" width="11.5703125" style="514"/>
    <col min="13094" max="13094" width="62" style="514" customWidth="1"/>
    <col min="13095" max="13095" width="12.7109375" style="514" customWidth="1"/>
    <col min="13096" max="13096" width="14.28515625" style="514" customWidth="1"/>
    <col min="13097" max="13097" width="11.5703125" style="514"/>
    <col min="13098" max="13098" width="61.7109375" style="514" customWidth="1"/>
    <col min="13099" max="13099" width="12.85546875" style="514" customWidth="1"/>
    <col min="13100" max="13100" width="13" style="514" customWidth="1"/>
    <col min="13101" max="13101" width="11.5703125" style="514"/>
    <col min="13102" max="13102" width="55.42578125" style="514" customWidth="1"/>
    <col min="13103" max="13103" width="17.5703125" style="514" customWidth="1"/>
    <col min="13104" max="13312" width="11.5703125" style="514"/>
    <col min="13313" max="13313" width="16.85546875" style="514" customWidth="1"/>
    <col min="13314" max="13314" width="15.140625" style="514" customWidth="1"/>
    <col min="13315" max="13315" width="21.5703125" style="514" customWidth="1"/>
    <col min="13316" max="13316" width="16" style="514" customWidth="1"/>
    <col min="13317" max="13317" width="45" style="514" customWidth="1"/>
    <col min="13318" max="13318" width="12.5703125" style="514" customWidth="1"/>
    <col min="13319" max="13320" width="15" style="514" customWidth="1"/>
    <col min="13321" max="13336" width="12.5703125" style="514" customWidth="1"/>
    <col min="13337" max="13337" width="26.28515625" style="514" customWidth="1"/>
    <col min="13338" max="13338" width="66.42578125" style="514" customWidth="1"/>
    <col min="13339" max="13339" width="24.28515625" style="514" customWidth="1"/>
    <col min="13340" max="13340" width="22.28515625" style="514" customWidth="1"/>
    <col min="13341" max="13341" width="14.85546875" style="514" customWidth="1"/>
    <col min="13342" max="13342" width="22" style="514" customWidth="1"/>
    <col min="13343" max="13343" width="92.140625" style="514" customWidth="1"/>
    <col min="13344" max="13344" width="13" style="514" customWidth="1"/>
    <col min="13345" max="13345" width="11.5703125" style="514"/>
    <col min="13346" max="13346" width="46.7109375" style="514" customWidth="1"/>
    <col min="13347" max="13347" width="17.5703125" style="514" customWidth="1"/>
    <col min="13348" max="13348" width="13.5703125" style="514" customWidth="1"/>
    <col min="13349" max="13349" width="11.5703125" style="514"/>
    <col min="13350" max="13350" width="62" style="514" customWidth="1"/>
    <col min="13351" max="13351" width="12.7109375" style="514" customWidth="1"/>
    <col min="13352" max="13352" width="14.28515625" style="514" customWidth="1"/>
    <col min="13353" max="13353" width="11.5703125" style="514"/>
    <col min="13354" max="13354" width="61.7109375" style="514" customWidth="1"/>
    <col min="13355" max="13355" width="12.85546875" style="514" customWidth="1"/>
    <col min="13356" max="13356" width="13" style="514" customWidth="1"/>
    <col min="13357" max="13357" width="11.5703125" style="514"/>
    <col min="13358" max="13358" width="55.42578125" style="514" customWidth="1"/>
    <col min="13359" max="13359" width="17.5703125" style="514" customWidth="1"/>
    <col min="13360" max="13568" width="11.5703125" style="514"/>
    <col min="13569" max="13569" width="16.85546875" style="514" customWidth="1"/>
    <col min="13570" max="13570" width="15.140625" style="514" customWidth="1"/>
    <col min="13571" max="13571" width="21.5703125" style="514" customWidth="1"/>
    <col min="13572" max="13572" width="16" style="514" customWidth="1"/>
    <col min="13573" max="13573" width="45" style="514" customWidth="1"/>
    <col min="13574" max="13574" width="12.5703125" style="514" customWidth="1"/>
    <col min="13575" max="13576" width="15" style="514" customWidth="1"/>
    <col min="13577" max="13592" width="12.5703125" style="514" customWidth="1"/>
    <col min="13593" max="13593" width="26.28515625" style="514" customWidth="1"/>
    <col min="13594" max="13594" width="66.42578125" style="514" customWidth="1"/>
    <col min="13595" max="13595" width="24.28515625" style="514" customWidth="1"/>
    <col min="13596" max="13596" width="22.28515625" style="514" customWidth="1"/>
    <col min="13597" max="13597" width="14.85546875" style="514" customWidth="1"/>
    <col min="13598" max="13598" width="22" style="514" customWidth="1"/>
    <col min="13599" max="13599" width="92.140625" style="514" customWidth="1"/>
    <col min="13600" max="13600" width="13" style="514" customWidth="1"/>
    <col min="13601" max="13601" width="11.5703125" style="514"/>
    <col min="13602" max="13602" width="46.7109375" style="514" customWidth="1"/>
    <col min="13603" max="13603" width="17.5703125" style="514" customWidth="1"/>
    <col min="13604" max="13604" width="13.5703125" style="514" customWidth="1"/>
    <col min="13605" max="13605" width="11.5703125" style="514"/>
    <col min="13606" max="13606" width="62" style="514" customWidth="1"/>
    <col min="13607" max="13607" width="12.7109375" style="514" customWidth="1"/>
    <col min="13608" max="13608" width="14.28515625" style="514" customWidth="1"/>
    <col min="13609" max="13609" width="11.5703125" style="514"/>
    <col min="13610" max="13610" width="61.7109375" style="514" customWidth="1"/>
    <col min="13611" max="13611" width="12.85546875" style="514" customWidth="1"/>
    <col min="13612" max="13612" width="13" style="514" customWidth="1"/>
    <col min="13613" max="13613" width="11.5703125" style="514"/>
    <col min="13614" max="13614" width="55.42578125" style="514" customWidth="1"/>
    <col min="13615" max="13615" width="17.5703125" style="514" customWidth="1"/>
    <col min="13616" max="13824" width="11.5703125" style="514"/>
    <col min="13825" max="13825" width="16.85546875" style="514" customWidth="1"/>
    <col min="13826" max="13826" width="15.140625" style="514" customWidth="1"/>
    <col min="13827" max="13827" width="21.5703125" style="514" customWidth="1"/>
    <col min="13828" max="13828" width="16" style="514" customWidth="1"/>
    <col min="13829" max="13829" width="45" style="514" customWidth="1"/>
    <col min="13830" max="13830" width="12.5703125" style="514" customWidth="1"/>
    <col min="13831" max="13832" width="15" style="514" customWidth="1"/>
    <col min="13833" max="13848" width="12.5703125" style="514" customWidth="1"/>
    <col min="13849" max="13849" width="26.28515625" style="514" customWidth="1"/>
    <col min="13850" max="13850" width="66.42578125" style="514" customWidth="1"/>
    <col min="13851" max="13851" width="24.28515625" style="514" customWidth="1"/>
    <col min="13852" max="13852" width="22.28515625" style="514" customWidth="1"/>
    <col min="13853" max="13853" width="14.85546875" style="514" customWidth="1"/>
    <col min="13854" max="13854" width="22" style="514" customWidth="1"/>
    <col min="13855" max="13855" width="92.140625" style="514" customWidth="1"/>
    <col min="13856" max="13856" width="13" style="514" customWidth="1"/>
    <col min="13857" max="13857" width="11.5703125" style="514"/>
    <col min="13858" max="13858" width="46.7109375" style="514" customWidth="1"/>
    <col min="13859" max="13859" width="17.5703125" style="514" customWidth="1"/>
    <col min="13860" max="13860" width="13.5703125" style="514" customWidth="1"/>
    <col min="13861" max="13861" width="11.5703125" style="514"/>
    <col min="13862" max="13862" width="62" style="514" customWidth="1"/>
    <col min="13863" max="13863" width="12.7109375" style="514" customWidth="1"/>
    <col min="13864" max="13864" width="14.28515625" style="514" customWidth="1"/>
    <col min="13865" max="13865" width="11.5703125" style="514"/>
    <col min="13866" max="13866" width="61.7109375" style="514" customWidth="1"/>
    <col min="13867" max="13867" width="12.85546875" style="514" customWidth="1"/>
    <col min="13868" max="13868" width="13" style="514" customWidth="1"/>
    <col min="13869" max="13869" width="11.5703125" style="514"/>
    <col min="13870" max="13870" width="55.42578125" style="514" customWidth="1"/>
    <col min="13871" max="13871" width="17.5703125" style="514" customWidth="1"/>
    <col min="13872" max="14080" width="11.5703125" style="514"/>
    <col min="14081" max="14081" width="16.85546875" style="514" customWidth="1"/>
    <col min="14082" max="14082" width="15.140625" style="514" customWidth="1"/>
    <col min="14083" max="14083" width="21.5703125" style="514" customWidth="1"/>
    <col min="14084" max="14084" width="16" style="514" customWidth="1"/>
    <col min="14085" max="14085" width="45" style="514" customWidth="1"/>
    <col min="14086" max="14086" width="12.5703125" style="514" customWidth="1"/>
    <col min="14087" max="14088" width="15" style="514" customWidth="1"/>
    <col min="14089" max="14104" width="12.5703125" style="514" customWidth="1"/>
    <col min="14105" max="14105" width="26.28515625" style="514" customWidth="1"/>
    <col min="14106" max="14106" width="66.42578125" style="514" customWidth="1"/>
    <col min="14107" max="14107" width="24.28515625" style="514" customWidth="1"/>
    <col min="14108" max="14108" width="22.28515625" style="514" customWidth="1"/>
    <col min="14109" max="14109" width="14.85546875" style="514" customWidth="1"/>
    <col min="14110" max="14110" width="22" style="514" customWidth="1"/>
    <col min="14111" max="14111" width="92.140625" style="514" customWidth="1"/>
    <col min="14112" max="14112" width="13" style="514" customWidth="1"/>
    <col min="14113" max="14113" width="11.5703125" style="514"/>
    <col min="14114" max="14114" width="46.7109375" style="514" customWidth="1"/>
    <col min="14115" max="14115" width="17.5703125" style="514" customWidth="1"/>
    <col min="14116" max="14116" width="13.5703125" style="514" customWidth="1"/>
    <col min="14117" max="14117" width="11.5703125" style="514"/>
    <col min="14118" max="14118" width="62" style="514" customWidth="1"/>
    <col min="14119" max="14119" width="12.7109375" style="514" customWidth="1"/>
    <col min="14120" max="14120" width="14.28515625" style="514" customWidth="1"/>
    <col min="14121" max="14121" width="11.5703125" style="514"/>
    <col min="14122" max="14122" width="61.7109375" style="514" customWidth="1"/>
    <col min="14123" max="14123" width="12.85546875" style="514" customWidth="1"/>
    <col min="14124" max="14124" width="13" style="514" customWidth="1"/>
    <col min="14125" max="14125" width="11.5703125" style="514"/>
    <col min="14126" max="14126" width="55.42578125" style="514" customWidth="1"/>
    <col min="14127" max="14127" width="17.5703125" style="514" customWidth="1"/>
    <col min="14128" max="14336" width="11.5703125" style="514"/>
    <col min="14337" max="14337" width="16.85546875" style="514" customWidth="1"/>
    <col min="14338" max="14338" width="15.140625" style="514" customWidth="1"/>
    <col min="14339" max="14339" width="21.5703125" style="514" customWidth="1"/>
    <col min="14340" max="14340" width="16" style="514" customWidth="1"/>
    <col min="14341" max="14341" width="45" style="514" customWidth="1"/>
    <col min="14342" max="14342" width="12.5703125" style="514" customWidth="1"/>
    <col min="14343" max="14344" width="15" style="514" customWidth="1"/>
    <col min="14345" max="14360" width="12.5703125" style="514" customWidth="1"/>
    <col min="14361" max="14361" width="26.28515625" style="514" customWidth="1"/>
    <col min="14362" max="14362" width="66.42578125" style="514" customWidth="1"/>
    <col min="14363" max="14363" width="24.28515625" style="514" customWidth="1"/>
    <col min="14364" max="14364" width="22.28515625" style="514" customWidth="1"/>
    <col min="14365" max="14365" width="14.85546875" style="514" customWidth="1"/>
    <col min="14366" max="14366" width="22" style="514" customWidth="1"/>
    <col min="14367" max="14367" width="92.140625" style="514" customWidth="1"/>
    <col min="14368" max="14368" width="13" style="514" customWidth="1"/>
    <col min="14369" max="14369" width="11.5703125" style="514"/>
    <col min="14370" max="14370" width="46.7109375" style="514" customWidth="1"/>
    <col min="14371" max="14371" width="17.5703125" style="514" customWidth="1"/>
    <col min="14372" max="14372" width="13.5703125" style="514" customWidth="1"/>
    <col min="14373" max="14373" width="11.5703125" style="514"/>
    <col min="14374" max="14374" width="62" style="514" customWidth="1"/>
    <col min="14375" max="14375" width="12.7109375" style="514" customWidth="1"/>
    <col min="14376" max="14376" width="14.28515625" style="514" customWidth="1"/>
    <col min="14377" max="14377" width="11.5703125" style="514"/>
    <col min="14378" max="14378" width="61.7109375" style="514" customWidth="1"/>
    <col min="14379" max="14379" width="12.85546875" style="514" customWidth="1"/>
    <col min="14380" max="14380" width="13" style="514" customWidth="1"/>
    <col min="14381" max="14381" width="11.5703125" style="514"/>
    <col min="14382" max="14382" width="55.42578125" style="514" customWidth="1"/>
    <col min="14383" max="14383" width="17.5703125" style="514" customWidth="1"/>
    <col min="14384" max="14592" width="11.5703125" style="514"/>
    <col min="14593" max="14593" width="16.85546875" style="514" customWidth="1"/>
    <col min="14594" max="14594" width="15.140625" style="514" customWidth="1"/>
    <col min="14595" max="14595" width="21.5703125" style="514" customWidth="1"/>
    <col min="14596" max="14596" width="16" style="514" customWidth="1"/>
    <col min="14597" max="14597" width="45" style="514" customWidth="1"/>
    <col min="14598" max="14598" width="12.5703125" style="514" customWidth="1"/>
    <col min="14599" max="14600" width="15" style="514" customWidth="1"/>
    <col min="14601" max="14616" width="12.5703125" style="514" customWidth="1"/>
    <col min="14617" max="14617" width="26.28515625" style="514" customWidth="1"/>
    <col min="14618" max="14618" width="66.42578125" style="514" customWidth="1"/>
    <col min="14619" max="14619" width="24.28515625" style="514" customWidth="1"/>
    <col min="14620" max="14620" width="22.28515625" style="514" customWidth="1"/>
    <col min="14621" max="14621" width="14.85546875" style="514" customWidth="1"/>
    <col min="14622" max="14622" width="22" style="514" customWidth="1"/>
    <col min="14623" max="14623" width="92.140625" style="514" customWidth="1"/>
    <col min="14624" max="14624" width="13" style="514" customWidth="1"/>
    <col min="14625" max="14625" width="11.5703125" style="514"/>
    <col min="14626" max="14626" width="46.7109375" style="514" customWidth="1"/>
    <col min="14627" max="14627" width="17.5703125" style="514" customWidth="1"/>
    <col min="14628" max="14628" width="13.5703125" style="514" customWidth="1"/>
    <col min="14629" max="14629" width="11.5703125" style="514"/>
    <col min="14630" max="14630" width="62" style="514" customWidth="1"/>
    <col min="14631" max="14631" width="12.7109375" style="514" customWidth="1"/>
    <col min="14632" max="14632" width="14.28515625" style="514" customWidth="1"/>
    <col min="14633" max="14633" width="11.5703125" style="514"/>
    <col min="14634" max="14634" width="61.7109375" style="514" customWidth="1"/>
    <col min="14635" max="14635" width="12.85546875" style="514" customWidth="1"/>
    <col min="14636" max="14636" width="13" style="514" customWidth="1"/>
    <col min="14637" max="14637" width="11.5703125" style="514"/>
    <col min="14638" max="14638" width="55.42578125" style="514" customWidth="1"/>
    <col min="14639" max="14639" width="17.5703125" style="514" customWidth="1"/>
    <col min="14640" max="14848" width="11.5703125" style="514"/>
    <col min="14849" max="14849" width="16.85546875" style="514" customWidth="1"/>
    <col min="14850" max="14850" width="15.140625" style="514" customWidth="1"/>
    <col min="14851" max="14851" width="21.5703125" style="514" customWidth="1"/>
    <col min="14852" max="14852" width="16" style="514" customWidth="1"/>
    <col min="14853" max="14853" width="45" style="514" customWidth="1"/>
    <col min="14854" max="14854" width="12.5703125" style="514" customWidth="1"/>
    <col min="14855" max="14856" width="15" style="514" customWidth="1"/>
    <col min="14857" max="14872" width="12.5703125" style="514" customWidth="1"/>
    <col min="14873" max="14873" width="26.28515625" style="514" customWidth="1"/>
    <col min="14874" max="14874" width="66.42578125" style="514" customWidth="1"/>
    <col min="14875" max="14875" width="24.28515625" style="514" customWidth="1"/>
    <col min="14876" max="14876" width="22.28515625" style="514" customWidth="1"/>
    <col min="14877" max="14877" width="14.85546875" style="514" customWidth="1"/>
    <col min="14878" max="14878" width="22" style="514" customWidth="1"/>
    <col min="14879" max="14879" width="92.140625" style="514" customWidth="1"/>
    <col min="14880" max="14880" width="13" style="514" customWidth="1"/>
    <col min="14881" max="14881" width="11.5703125" style="514"/>
    <col min="14882" max="14882" width="46.7109375" style="514" customWidth="1"/>
    <col min="14883" max="14883" width="17.5703125" style="514" customWidth="1"/>
    <col min="14884" max="14884" width="13.5703125" style="514" customWidth="1"/>
    <col min="14885" max="14885" width="11.5703125" style="514"/>
    <col min="14886" max="14886" width="62" style="514" customWidth="1"/>
    <col min="14887" max="14887" width="12.7109375" style="514" customWidth="1"/>
    <col min="14888" max="14888" width="14.28515625" style="514" customWidth="1"/>
    <col min="14889" max="14889" width="11.5703125" style="514"/>
    <col min="14890" max="14890" width="61.7109375" style="514" customWidth="1"/>
    <col min="14891" max="14891" width="12.85546875" style="514" customWidth="1"/>
    <col min="14892" max="14892" width="13" style="514" customWidth="1"/>
    <col min="14893" max="14893" width="11.5703125" style="514"/>
    <col min="14894" max="14894" width="55.42578125" style="514" customWidth="1"/>
    <col min="14895" max="14895" width="17.5703125" style="514" customWidth="1"/>
    <col min="14896" max="15104" width="11.5703125" style="514"/>
    <col min="15105" max="15105" width="16.85546875" style="514" customWidth="1"/>
    <col min="15106" max="15106" width="15.140625" style="514" customWidth="1"/>
    <col min="15107" max="15107" width="21.5703125" style="514" customWidth="1"/>
    <col min="15108" max="15108" width="16" style="514" customWidth="1"/>
    <col min="15109" max="15109" width="45" style="514" customWidth="1"/>
    <col min="15110" max="15110" width="12.5703125" style="514" customWidth="1"/>
    <col min="15111" max="15112" width="15" style="514" customWidth="1"/>
    <col min="15113" max="15128" width="12.5703125" style="514" customWidth="1"/>
    <col min="15129" max="15129" width="26.28515625" style="514" customWidth="1"/>
    <col min="15130" max="15130" width="66.42578125" style="514" customWidth="1"/>
    <col min="15131" max="15131" width="24.28515625" style="514" customWidth="1"/>
    <col min="15132" max="15132" width="22.28515625" style="514" customWidth="1"/>
    <col min="15133" max="15133" width="14.85546875" style="514" customWidth="1"/>
    <col min="15134" max="15134" width="22" style="514" customWidth="1"/>
    <col min="15135" max="15135" width="92.140625" style="514" customWidth="1"/>
    <col min="15136" max="15136" width="13" style="514" customWidth="1"/>
    <col min="15137" max="15137" width="11.5703125" style="514"/>
    <col min="15138" max="15138" width="46.7109375" style="514" customWidth="1"/>
    <col min="15139" max="15139" width="17.5703125" style="514" customWidth="1"/>
    <col min="15140" max="15140" width="13.5703125" style="514" customWidth="1"/>
    <col min="15141" max="15141" width="11.5703125" style="514"/>
    <col min="15142" max="15142" width="62" style="514" customWidth="1"/>
    <col min="15143" max="15143" width="12.7109375" style="514" customWidth="1"/>
    <col min="15144" max="15144" width="14.28515625" style="514" customWidth="1"/>
    <col min="15145" max="15145" width="11.5703125" style="514"/>
    <col min="15146" max="15146" width="61.7109375" style="514" customWidth="1"/>
    <col min="15147" max="15147" width="12.85546875" style="514" customWidth="1"/>
    <col min="15148" max="15148" width="13" style="514" customWidth="1"/>
    <col min="15149" max="15149" width="11.5703125" style="514"/>
    <col min="15150" max="15150" width="55.42578125" style="514" customWidth="1"/>
    <col min="15151" max="15151" width="17.5703125" style="514" customWidth="1"/>
    <col min="15152" max="15360" width="11.5703125" style="514"/>
    <col min="15361" max="15361" width="16.85546875" style="514" customWidth="1"/>
    <col min="15362" max="15362" width="15.140625" style="514" customWidth="1"/>
    <col min="15363" max="15363" width="21.5703125" style="514" customWidth="1"/>
    <col min="15364" max="15364" width="16" style="514" customWidth="1"/>
    <col min="15365" max="15365" width="45" style="514" customWidth="1"/>
    <col min="15366" max="15366" width="12.5703125" style="514" customWidth="1"/>
    <col min="15367" max="15368" width="15" style="514" customWidth="1"/>
    <col min="15369" max="15384" width="12.5703125" style="514" customWidth="1"/>
    <col min="15385" max="15385" width="26.28515625" style="514" customWidth="1"/>
    <col min="15386" max="15386" width="66.42578125" style="514" customWidth="1"/>
    <col min="15387" max="15387" width="24.28515625" style="514" customWidth="1"/>
    <col min="15388" max="15388" width="22.28515625" style="514" customWidth="1"/>
    <col min="15389" max="15389" width="14.85546875" style="514" customWidth="1"/>
    <col min="15390" max="15390" width="22" style="514" customWidth="1"/>
    <col min="15391" max="15391" width="92.140625" style="514" customWidth="1"/>
    <col min="15392" max="15392" width="13" style="514" customWidth="1"/>
    <col min="15393" max="15393" width="11.5703125" style="514"/>
    <col min="15394" max="15394" width="46.7109375" style="514" customWidth="1"/>
    <col min="15395" max="15395" width="17.5703125" style="514" customWidth="1"/>
    <col min="15396" max="15396" width="13.5703125" style="514" customWidth="1"/>
    <col min="15397" max="15397" width="11.5703125" style="514"/>
    <col min="15398" max="15398" width="62" style="514" customWidth="1"/>
    <col min="15399" max="15399" width="12.7109375" style="514" customWidth="1"/>
    <col min="15400" max="15400" width="14.28515625" style="514" customWidth="1"/>
    <col min="15401" max="15401" width="11.5703125" style="514"/>
    <col min="15402" max="15402" width="61.7109375" style="514" customWidth="1"/>
    <col min="15403" max="15403" width="12.85546875" style="514" customWidth="1"/>
    <col min="15404" max="15404" width="13" style="514" customWidth="1"/>
    <col min="15405" max="15405" width="11.5703125" style="514"/>
    <col min="15406" max="15406" width="55.42578125" style="514" customWidth="1"/>
    <col min="15407" max="15407" width="17.5703125" style="514" customWidth="1"/>
    <col min="15408" max="15616" width="11.5703125" style="514"/>
    <col min="15617" max="15617" width="16.85546875" style="514" customWidth="1"/>
    <col min="15618" max="15618" width="15.140625" style="514" customWidth="1"/>
    <col min="15619" max="15619" width="21.5703125" style="514" customWidth="1"/>
    <col min="15620" max="15620" width="16" style="514" customWidth="1"/>
    <col min="15621" max="15621" width="45" style="514" customWidth="1"/>
    <col min="15622" max="15622" width="12.5703125" style="514" customWidth="1"/>
    <col min="15623" max="15624" width="15" style="514" customWidth="1"/>
    <col min="15625" max="15640" width="12.5703125" style="514" customWidth="1"/>
    <col min="15641" max="15641" width="26.28515625" style="514" customWidth="1"/>
    <col min="15642" max="15642" width="66.42578125" style="514" customWidth="1"/>
    <col min="15643" max="15643" width="24.28515625" style="514" customWidth="1"/>
    <col min="15644" max="15644" width="22.28515625" style="514" customWidth="1"/>
    <col min="15645" max="15645" width="14.85546875" style="514" customWidth="1"/>
    <col min="15646" max="15646" width="22" style="514" customWidth="1"/>
    <col min="15647" max="15647" width="92.140625" style="514" customWidth="1"/>
    <col min="15648" max="15648" width="13" style="514" customWidth="1"/>
    <col min="15649" max="15649" width="11.5703125" style="514"/>
    <col min="15650" max="15650" width="46.7109375" style="514" customWidth="1"/>
    <col min="15651" max="15651" width="17.5703125" style="514" customWidth="1"/>
    <col min="15652" max="15652" width="13.5703125" style="514" customWidth="1"/>
    <col min="15653" max="15653" width="11.5703125" style="514"/>
    <col min="15654" max="15654" width="62" style="514" customWidth="1"/>
    <col min="15655" max="15655" width="12.7109375" style="514" customWidth="1"/>
    <col min="15656" max="15656" width="14.28515625" style="514" customWidth="1"/>
    <col min="15657" max="15657" width="11.5703125" style="514"/>
    <col min="15658" max="15658" width="61.7109375" style="514" customWidth="1"/>
    <col min="15659" max="15659" width="12.85546875" style="514" customWidth="1"/>
    <col min="15660" max="15660" width="13" style="514" customWidth="1"/>
    <col min="15661" max="15661" width="11.5703125" style="514"/>
    <col min="15662" max="15662" width="55.42578125" style="514" customWidth="1"/>
    <col min="15663" max="15663" width="17.5703125" style="514" customWidth="1"/>
    <col min="15664" max="15872" width="11.5703125" style="514"/>
    <col min="15873" max="15873" width="16.85546875" style="514" customWidth="1"/>
    <col min="15874" max="15874" width="15.140625" style="514" customWidth="1"/>
    <col min="15875" max="15875" width="21.5703125" style="514" customWidth="1"/>
    <col min="15876" max="15876" width="16" style="514" customWidth="1"/>
    <col min="15877" max="15877" width="45" style="514" customWidth="1"/>
    <col min="15878" max="15878" width="12.5703125" style="514" customWidth="1"/>
    <col min="15879" max="15880" width="15" style="514" customWidth="1"/>
    <col min="15881" max="15896" width="12.5703125" style="514" customWidth="1"/>
    <col min="15897" max="15897" width="26.28515625" style="514" customWidth="1"/>
    <col min="15898" max="15898" width="66.42578125" style="514" customWidth="1"/>
    <col min="15899" max="15899" width="24.28515625" style="514" customWidth="1"/>
    <col min="15900" max="15900" width="22.28515625" style="514" customWidth="1"/>
    <col min="15901" max="15901" width="14.85546875" style="514" customWidth="1"/>
    <col min="15902" max="15902" width="22" style="514" customWidth="1"/>
    <col min="15903" max="15903" width="92.140625" style="514" customWidth="1"/>
    <col min="15904" max="15904" width="13" style="514" customWidth="1"/>
    <col min="15905" max="15905" width="11.5703125" style="514"/>
    <col min="15906" max="15906" width="46.7109375" style="514" customWidth="1"/>
    <col min="15907" max="15907" width="17.5703125" style="514" customWidth="1"/>
    <col min="15908" max="15908" width="13.5703125" style="514" customWidth="1"/>
    <col min="15909" max="15909" width="11.5703125" style="514"/>
    <col min="15910" max="15910" width="62" style="514" customWidth="1"/>
    <col min="15911" max="15911" width="12.7109375" style="514" customWidth="1"/>
    <col min="15912" max="15912" width="14.28515625" style="514" customWidth="1"/>
    <col min="15913" max="15913" width="11.5703125" style="514"/>
    <col min="15914" max="15914" width="61.7109375" style="514" customWidth="1"/>
    <col min="15915" max="15915" width="12.85546875" style="514" customWidth="1"/>
    <col min="15916" max="15916" width="13" style="514" customWidth="1"/>
    <col min="15917" max="15917" width="11.5703125" style="514"/>
    <col min="15918" max="15918" width="55.42578125" style="514" customWidth="1"/>
    <col min="15919" max="15919" width="17.5703125" style="514" customWidth="1"/>
    <col min="15920" max="16128" width="11.5703125" style="514"/>
    <col min="16129" max="16129" width="16.85546875" style="514" customWidth="1"/>
    <col min="16130" max="16130" width="15.140625" style="514" customWidth="1"/>
    <col min="16131" max="16131" width="21.5703125" style="514" customWidth="1"/>
    <col min="16132" max="16132" width="16" style="514" customWidth="1"/>
    <col min="16133" max="16133" width="45" style="514" customWidth="1"/>
    <col min="16134" max="16134" width="12.5703125" style="514" customWidth="1"/>
    <col min="16135" max="16136" width="15" style="514" customWidth="1"/>
    <col min="16137" max="16152" width="12.5703125" style="514" customWidth="1"/>
    <col min="16153" max="16153" width="26.28515625" style="514" customWidth="1"/>
    <col min="16154" max="16154" width="66.42578125" style="514" customWidth="1"/>
    <col min="16155" max="16155" width="24.28515625" style="514" customWidth="1"/>
    <col min="16156" max="16156" width="22.28515625" style="514" customWidth="1"/>
    <col min="16157" max="16157" width="14.85546875" style="514" customWidth="1"/>
    <col min="16158" max="16158" width="22" style="514" customWidth="1"/>
    <col min="16159" max="16159" width="92.140625" style="514" customWidth="1"/>
    <col min="16160" max="16160" width="13" style="514" customWidth="1"/>
    <col min="16161" max="16161" width="11.5703125" style="514"/>
    <col min="16162" max="16162" width="46.7109375" style="514" customWidth="1"/>
    <col min="16163" max="16163" width="17.5703125" style="514" customWidth="1"/>
    <col min="16164" max="16164" width="13.5703125" style="514" customWidth="1"/>
    <col min="16165" max="16165" width="11.5703125" style="514"/>
    <col min="16166" max="16166" width="62" style="514" customWidth="1"/>
    <col min="16167" max="16167" width="12.7109375" style="514" customWidth="1"/>
    <col min="16168" max="16168" width="14.28515625" style="514" customWidth="1"/>
    <col min="16169" max="16169" width="11.5703125" style="514"/>
    <col min="16170" max="16170" width="61.7109375" style="514" customWidth="1"/>
    <col min="16171" max="16171" width="12.85546875" style="514" customWidth="1"/>
    <col min="16172" max="16172" width="13" style="514" customWidth="1"/>
    <col min="16173" max="16173" width="11.5703125" style="514"/>
    <col min="16174" max="16174" width="55.42578125" style="514" customWidth="1"/>
    <col min="16175" max="16175" width="17.5703125" style="514" customWidth="1"/>
    <col min="16176" max="16384" width="11.5703125" style="514"/>
  </cols>
  <sheetData>
    <row r="1" spans="1:47" ht="12.75" customHeight="1" thickTop="1" thickBot="1">
      <c r="A1" s="1508"/>
      <c r="B1" s="1508"/>
      <c r="C1" s="1508"/>
      <c r="D1" s="1508"/>
      <c r="E1" s="1508"/>
      <c r="F1" s="1509" t="s">
        <v>1262</v>
      </c>
      <c r="G1" s="1509"/>
      <c r="H1" s="1509"/>
      <c r="I1" s="1509"/>
      <c r="J1" s="1509"/>
      <c r="K1" s="1509"/>
      <c r="L1" s="1509"/>
      <c r="M1" s="1509"/>
      <c r="N1" s="1509"/>
      <c r="O1" s="1509"/>
      <c r="P1" s="1509"/>
      <c r="Q1" s="1509"/>
      <c r="R1" s="1509"/>
      <c r="S1" s="1509"/>
      <c r="T1" s="1509"/>
      <c r="U1" s="1509"/>
      <c r="V1" s="1509"/>
      <c r="W1" s="1509"/>
      <c r="X1" s="1509"/>
      <c r="Y1" s="1509"/>
      <c r="Z1" s="1509"/>
      <c r="AA1" s="1509"/>
      <c r="AB1" s="1509"/>
      <c r="AC1" s="1509"/>
      <c r="AD1" s="1361"/>
      <c r="AE1" s="1361"/>
    </row>
    <row r="2" spans="1:47" ht="12.75" customHeight="1" thickTop="1" thickBot="1">
      <c r="A2" s="1508"/>
      <c r="B2" s="1508"/>
      <c r="C2" s="1508"/>
      <c r="D2" s="1508"/>
      <c r="E2" s="1508"/>
      <c r="F2" s="1509" t="s">
        <v>1261</v>
      </c>
      <c r="G2" s="1509"/>
      <c r="H2" s="1509"/>
      <c r="I2" s="1509"/>
      <c r="J2" s="1509"/>
      <c r="K2" s="1509"/>
      <c r="L2" s="1509"/>
      <c r="M2" s="1509"/>
      <c r="N2" s="1509"/>
      <c r="O2" s="1509"/>
      <c r="P2" s="1509"/>
      <c r="Q2" s="1509"/>
      <c r="R2" s="1509"/>
      <c r="S2" s="1509"/>
      <c r="T2" s="1509"/>
      <c r="U2" s="1509"/>
      <c r="V2" s="1509"/>
      <c r="W2" s="1509"/>
      <c r="X2" s="1509"/>
      <c r="Y2" s="1509"/>
      <c r="Z2" s="1509"/>
      <c r="AA2" s="1509"/>
      <c r="AB2" s="1509"/>
      <c r="AC2" s="1509"/>
      <c r="AD2" s="1361"/>
      <c r="AE2" s="1361"/>
      <c r="AH2" s="1362"/>
    </row>
    <row r="3" spans="1:47" ht="15.6" customHeight="1" thickTop="1" thickBot="1">
      <c r="A3" s="1508"/>
      <c r="B3" s="1508"/>
      <c r="C3" s="1508"/>
      <c r="D3" s="1508"/>
      <c r="E3" s="1508"/>
      <c r="F3" s="1510" t="s">
        <v>2465</v>
      </c>
      <c r="G3" s="1510"/>
      <c r="H3" s="1510"/>
      <c r="I3" s="1510"/>
      <c r="J3" s="1510"/>
      <c r="K3" s="1510"/>
      <c r="L3" s="1510"/>
      <c r="M3" s="1510"/>
      <c r="N3" s="1510"/>
      <c r="O3" s="1510"/>
      <c r="P3" s="1510"/>
      <c r="Q3" s="1510"/>
      <c r="R3" s="1510"/>
      <c r="S3" s="1510"/>
      <c r="T3" s="1510"/>
      <c r="U3" s="1510"/>
      <c r="V3" s="1510"/>
      <c r="W3" s="1510"/>
      <c r="X3" s="1510"/>
      <c r="Y3" s="1510"/>
      <c r="Z3" s="1510"/>
      <c r="AA3" s="1510"/>
      <c r="AB3" s="1510"/>
      <c r="AC3" s="1510"/>
      <c r="AD3" s="1363"/>
      <c r="AE3" s="1363"/>
    </row>
    <row r="4" spans="1:47" ht="41.1" customHeight="1" thickTop="1" thickBot="1">
      <c r="A4" s="1511" t="s">
        <v>1260</v>
      </c>
      <c r="B4" s="1511"/>
      <c r="C4" s="1511"/>
      <c r="D4" s="1511"/>
      <c r="E4" s="1511"/>
      <c r="F4" s="1512" t="s">
        <v>2024</v>
      </c>
      <c r="G4" s="1512"/>
      <c r="H4" s="1512"/>
      <c r="I4" s="1512"/>
      <c r="J4" s="1512"/>
      <c r="K4" s="1512"/>
      <c r="L4" s="1512"/>
      <c r="M4" s="1512"/>
      <c r="N4" s="1512"/>
      <c r="O4" s="1512"/>
      <c r="P4" s="1512"/>
      <c r="Q4" s="1512"/>
      <c r="R4" s="1512"/>
      <c r="S4" s="1512"/>
      <c r="T4" s="1512"/>
      <c r="U4" s="1512"/>
      <c r="V4" s="1512"/>
      <c r="W4" s="1512"/>
      <c r="X4" s="1512"/>
      <c r="Y4" s="1512"/>
      <c r="Z4" s="1512"/>
      <c r="AA4" s="1512"/>
      <c r="AB4" s="1512"/>
      <c r="AC4" s="1512"/>
      <c r="AD4" s="1364"/>
      <c r="AE4" s="1364"/>
      <c r="AL4" s="1365"/>
    </row>
    <row r="5" spans="1:47" ht="15.6" customHeight="1" thickTop="1" thickBot="1">
      <c r="A5" s="1511" t="s">
        <v>598</v>
      </c>
      <c r="B5" s="1511"/>
      <c r="C5" s="1511"/>
      <c r="D5" s="1511"/>
      <c r="E5" s="1511"/>
      <c r="F5" s="1514" t="s">
        <v>2466</v>
      </c>
      <c r="G5" s="1514"/>
      <c r="H5" s="1514"/>
      <c r="I5" s="1514"/>
      <c r="J5" s="1514"/>
      <c r="K5" s="1514"/>
      <c r="L5" s="1514"/>
      <c r="M5" s="1514"/>
      <c r="N5" s="1514"/>
      <c r="O5" s="1514"/>
      <c r="P5" s="1514"/>
      <c r="Q5" s="1514"/>
      <c r="R5" s="1514"/>
      <c r="S5" s="1514"/>
      <c r="T5" s="1514"/>
      <c r="U5" s="1514"/>
      <c r="V5" s="1514"/>
      <c r="W5" s="1514"/>
      <c r="X5" s="1514"/>
      <c r="Y5" s="1514"/>
      <c r="Z5" s="1514"/>
      <c r="AA5" s="1514"/>
      <c r="AB5" s="1514"/>
      <c r="AC5" s="1514"/>
      <c r="AD5" s="1366"/>
      <c r="AE5" s="1366"/>
    </row>
    <row r="6" spans="1:47" ht="15.6" customHeight="1" thickTop="1" thickBot="1">
      <c r="A6" s="1515" t="s">
        <v>1639</v>
      </c>
      <c r="B6" s="1515"/>
      <c r="C6" s="1515"/>
      <c r="D6" s="1515"/>
      <c r="E6" s="1515"/>
      <c r="F6" s="1516">
        <v>42355</v>
      </c>
      <c r="G6" s="1516"/>
      <c r="H6" s="1516"/>
      <c r="I6" s="1516"/>
      <c r="J6" s="1516"/>
      <c r="K6" s="1516"/>
      <c r="L6" s="1516"/>
      <c r="M6" s="1516"/>
      <c r="N6" s="1516"/>
      <c r="O6" s="1516"/>
      <c r="P6" s="1516"/>
      <c r="Q6" s="1516"/>
      <c r="R6" s="1516"/>
      <c r="S6" s="1516"/>
      <c r="T6" s="1516"/>
      <c r="U6" s="1516"/>
      <c r="V6" s="1516"/>
      <c r="W6" s="1516"/>
      <c r="X6" s="1516"/>
      <c r="Y6" s="1516"/>
      <c r="Z6" s="1516"/>
      <c r="AA6" s="1516"/>
      <c r="AB6" s="1516"/>
      <c r="AC6" s="1516"/>
      <c r="AD6" s="1366"/>
      <c r="AE6" s="1366"/>
    </row>
    <row r="7" spans="1:47" ht="15.6" customHeight="1" thickTop="1" thickBot="1">
      <c r="A7" s="1511" t="s">
        <v>1257</v>
      </c>
      <c r="B7" s="1511"/>
      <c r="C7" s="1511"/>
      <c r="D7" s="1511"/>
      <c r="E7" s="1511"/>
      <c r="F7" s="1517" t="s">
        <v>2467</v>
      </c>
      <c r="G7" s="1517"/>
      <c r="H7" s="1517"/>
      <c r="I7" s="1517"/>
      <c r="J7" s="1517"/>
      <c r="K7" s="1517"/>
      <c r="L7" s="1517"/>
      <c r="M7" s="1517"/>
      <c r="N7" s="1517"/>
      <c r="O7" s="1517"/>
      <c r="P7" s="1517"/>
      <c r="Q7" s="1517"/>
      <c r="R7" s="1517"/>
      <c r="S7" s="1517"/>
      <c r="T7" s="1517"/>
      <c r="U7" s="1517"/>
      <c r="V7" s="1517"/>
      <c r="W7" s="1517"/>
      <c r="X7" s="1517"/>
      <c r="Y7" s="1517"/>
      <c r="Z7" s="1517"/>
      <c r="AA7" s="1517"/>
      <c r="AB7" s="1517"/>
      <c r="AC7" s="1517"/>
      <c r="AD7" s="1367"/>
      <c r="AE7" s="1367"/>
    </row>
    <row r="8" spans="1:47" ht="15.6" customHeight="1" thickTop="1" thickBot="1">
      <c r="A8" s="1518" t="s">
        <v>1255</v>
      </c>
      <c r="B8" s="1518" t="s">
        <v>1641</v>
      </c>
      <c r="C8" s="1519" t="s">
        <v>256</v>
      </c>
      <c r="D8" s="1520" t="s">
        <v>1279</v>
      </c>
      <c r="E8" s="1521" t="s">
        <v>1253</v>
      </c>
      <c r="F8" s="1513" t="s">
        <v>1252</v>
      </c>
      <c r="G8" s="1521" t="s">
        <v>1251</v>
      </c>
      <c r="H8" s="1521" t="s">
        <v>1250</v>
      </c>
      <c r="I8" s="1519" t="s">
        <v>1249</v>
      </c>
      <c r="J8" s="1519"/>
      <c r="K8" s="1519"/>
      <c r="L8" s="1519"/>
      <c r="M8" s="1519"/>
      <c r="N8" s="1519"/>
      <c r="O8" s="1519"/>
      <c r="P8" s="1519"/>
      <c r="Q8" s="1519"/>
      <c r="R8" s="1519"/>
      <c r="S8" s="1519"/>
      <c r="T8" s="1519"/>
      <c r="U8" s="1519"/>
      <c r="V8" s="1519"/>
      <c r="W8" s="1519"/>
      <c r="X8" s="1519"/>
      <c r="Y8" s="1519" t="s">
        <v>544</v>
      </c>
      <c r="Z8" s="1519"/>
      <c r="AA8" s="1519"/>
      <c r="AB8" s="1519"/>
      <c r="AC8" s="1519"/>
      <c r="AD8" s="1519"/>
      <c r="AE8" s="1519"/>
      <c r="AF8" s="1368"/>
      <c r="AG8" s="1368"/>
      <c r="AH8" s="1368"/>
      <c r="AI8" s="1368"/>
      <c r="AJ8" s="1368"/>
      <c r="AK8" s="1368"/>
      <c r="AL8" s="1368"/>
      <c r="AM8" s="1368"/>
      <c r="AN8" s="1368"/>
      <c r="AO8" s="1368"/>
      <c r="AP8" s="1368"/>
      <c r="AQ8" s="1368"/>
      <c r="AR8" s="1368"/>
      <c r="AS8" s="1368"/>
      <c r="AT8" s="1368"/>
      <c r="AU8" s="1368"/>
    </row>
    <row r="9" spans="1:47" ht="53.65" customHeight="1" thickTop="1" thickBot="1">
      <c r="A9" s="1518"/>
      <c r="B9" s="1518"/>
      <c r="C9" s="1519"/>
      <c r="D9" s="1520"/>
      <c r="E9" s="1521"/>
      <c r="F9" s="1513"/>
      <c r="G9" s="1521"/>
      <c r="H9" s="1521"/>
      <c r="I9" s="1519" t="s">
        <v>1267</v>
      </c>
      <c r="J9" s="1519"/>
      <c r="K9" s="1519"/>
      <c r="L9" s="1519" t="s">
        <v>1268</v>
      </c>
      <c r="M9" s="1519"/>
      <c r="N9" s="1519"/>
      <c r="O9" s="1519" t="s">
        <v>1269</v>
      </c>
      <c r="P9" s="1519"/>
      <c r="Q9" s="1519"/>
      <c r="R9" s="1519" t="s">
        <v>1270</v>
      </c>
      <c r="S9" s="1519"/>
      <c r="T9" s="1519"/>
      <c r="U9" s="1519" t="s">
        <v>1238</v>
      </c>
      <c r="V9" s="1519"/>
      <c r="W9" s="1519"/>
      <c r="X9" s="1369" t="s">
        <v>1642</v>
      </c>
      <c r="Y9" s="1521" t="s">
        <v>1237</v>
      </c>
      <c r="Z9" s="1521" t="s">
        <v>2027</v>
      </c>
      <c r="AA9" s="1519" t="s">
        <v>1236</v>
      </c>
      <c r="AB9" s="1519"/>
      <c r="AC9" s="1522" t="s">
        <v>2028</v>
      </c>
      <c r="AD9" s="1522" t="s">
        <v>2029</v>
      </c>
      <c r="AE9" s="1522" t="s">
        <v>1644</v>
      </c>
      <c r="AF9" s="1368"/>
      <c r="AG9" s="1368"/>
      <c r="AH9" s="1368"/>
      <c r="AI9" s="1368"/>
      <c r="AJ9" s="1368"/>
      <c r="AK9" s="1368"/>
      <c r="AL9" s="1368"/>
      <c r="AM9" s="1368"/>
      <c r="AN9" s="1368"/>
      <c r="AO9" s="1368"/>
      <c r="AP9" s="1368"/>
      <c r="AQ9" s="1368"/>
      <c r="AR9" s="1368"/>
      <c r="AS9" s="1368"/>
      <c r="AT9" s="1368"/>
      <c r="AU9" s="1368"/>
    </row>
    <row r="10" spans="1:47" ht="29.85" customHeight="1" thickTop="1" thickBot="1">
      <c r="A10" s="1518"/>
      <c r="B10" s="1518"/>
      <c r="C10" s="1519"/>
      <c r="D10" s="1520"/>
      <c r="E10" s="1521"/>
      <c r="F10" s="1513"/>
      <c r="G10" s="1521"/>
      <c r="H10" s="1521"/>
      <c r="I10" s="1521" t="s">
        <v>1232</v>
      </c>
      <c r="J10" s="1521" t="s">
        <v>1272</v>
      </c>
      <c r="K10" s="1519" t="s">
        <v>1273</v>
      </c>
      <c r="L10" s="1519" t="s">
        <v>1232</v>
      </c>
      <c r="M10" s="1519" t="s">
        <v>1272</v>
      </c>
      <c r="N10" s="1519" t="s">
        <v>1273</v>
      </c>
      <c r="O10" s="1519" t="s">
        <v>1232</v>
      </c>
      <c r="P10" s="1519" t="s">
        <v>1272</v>
      </c>
      <c r="Q10" s="1519" t="s">
        <v>1273</v>
      </c>
      <c r="R10" s="1519" t="s">
        <v>1232</v>
      </c>
      <c r="S10" s="1519" t="s">
        <v>1272</v>
      </c>
      <c r="T10" s="1519" t="s">
        <v>1273</v>
      </c>
      <c r="U10" s="1519" t="s">
        <v>1232</v>
      </c>
      <c r="V10" s="1519" t="s">
        <v>1272</v>
      </c>
      <c r="W10" s="1519" t="s">
        <v>1273</v>
      </c>
      <c r="X10" s="1529">
        <f>SUM(X12:X61)</f>
        <v>0</v>
      </c>
      <c r="Y10" s="1521"/>
      <c r="Z10" s="1521"/>
      <c r="AA10" s="1522" t="s">
        <v>2030</v>
      </c>
      <c r="AB10" s="1522" t="s">
        <v>2031</v>
      </c>
      <c r="AC10" s="1522"/>
      <c r="AD10" s="1522"/>
      <c r="AE10" s="1522"/>
      <c r="AF10" s="1525" t="s">
        <v>1274</v>
      </c>
      <c r="AG10" s="1525" t="s">
        <v>1274</v>
      </c>
      <c r="AH10" s="1525" t="s">
        <v>1274</v>
      </c>
      <c r="AI10" s="1525" t="s">
        <v>1274</v>
      </c>
      <c r="AJ10" s="1526" t="s">
        <v>1275</v>
      </c>
      <c r="AK10" s="1526" t="s">
        <v>1274</v>
      </c>
      <c r="AL10" s="1526" t="s">
        <v>1274</v>
      </c>
      <c r="AM10" s="1526" t="s">
        <v>1274</v>
      </c>
      <c r="AN10" s="1526" t="s">
        <v>1276</v>
      </c>
      <c r="AO10" s="1526" t="s">
        <v>1276</v>
      </c>
      <c r="AP10" s="1526" t="s">
        <v>1276</v>
      </c>
      <c r="AQ10" s="1526" t="s">
        <v>1276</v>
      </c>
      <c r="AR10" s="1526" t="s">
        <v>1277</v>
      </c>
      <c r="AS10" s="1526" t="s">
        <v>1276</v>
      </c>
      <c r="AT10" s="1526" t="s">
        <v>1276</v>
      </c>
      <c r="AU10" s="1526" t="s">
        <v>1276</v>
      </c>
    </row>
    <row r="11" spans="1:47" ht="42.75" customHeight="1" thickTop="1" thickBot="1">
      <c r="A11" s="1518"/>
      <c r="B11" s="1518"/>
      <c r="C11" s="1370" t="s">
        <v>1645</v>
      </c>
      <c r="D11" s="1520"/>
      <c r="E11" s="1521"/>
      <c r="F11" s="1513"/>
      <c r="G11" s="1521"/>
      <c r="H11" s="1521"/>
      <c r="I11" s="1521"/>
      <c r="J11" s="1521"/>
      <c r="K11" s="1519"/>
      <c r="L11" s="1519"/>
      <c r="M11" s="1519"/>
      <c r="N11" s="1519"/>
      <c r="O11" s="1519"/>
      <c r="P11" s="1519"/>
      <c r="Q11" s="1519"/>
      <c r="R11" s="1519"/>
      <c r="S11" s="1519"/>
      <c r="T11" s="1519"/>
      <c r="U11" s="1519"/>
      <c r="V11" s="1519"/>
      <c r="W11" s="1519"/>
      <c r="X11" s="1529"/>
      <c r="Y11" s="1521"/>
      <c r="Z11" s="1521"/>
      <c r="AA11" s="1522"/>
      <c r="AB11" s="1522"/>
      <c r="AC11" s="1522"/>
      <c r="AD11" s="1522"/>
      <c r="AE11" s="1522"/>
      <c r="AF11" s="1371" t="s">
        <v>1280</v>
      </c>
      <c r="AG11" s="1371" t="s">
        <v>1281</v>
      </c>
      <c r="AH11" s="1371" t="s">
        <v>1282</v>
      </c>
      <c r="AI11" s="1371" t="s">
        <v>1283</v>
      </c>
      <c r="AJ11" s="1371" t="s">
        <v>1280</v>
      </c>
      <c r="AK11" s="1371" t="s">
        <v>1281</v>
      </c>
      <c r="AL11" s="1371" t="s">
        <v>1282</v>
      </c>
      <c r="AM11" s="1371" t="s">
        <v>1283</v>
      </c>
      <c r="AN11" s="1371" t="s">
        <v>1280</v>
      </c>
      <c r="AO11" s="1371" t="s">
        <v>1281</v>
      </c>
      <c r="AP11" s="1371" t="s">
        <v>1282</v>
      </c>
      <c r="AQ11" s="1371" t="s">
        <v>1283</v>
      </c>
      <c r="AR11" s="1371" t="s">
        <v>1280</v>
      </c>
      <c r="AS11" s="1371" t="s">
        <v>1281</v>
      </c>
      <c r="AT11" s="1371" t="s">
        <v>1282</v>
      </c>
      <c r="AU11" s="1371" t="s">
        <v>1283</v>
      </c>
    </row>
    <row r="12" spans="1:47" ht="129.19999999999999" customHeight="1" thickTop="1" thickBot="1">
      <c r="A12" s="1527" t="s">
        <v>1646</v>
      </c>
      <c r="B12" s="1528"/>
      <c r="C12" s="1528" t="s">
        <v>1284</v>
      </c>
      <c r="D12" s="1372">
        <v>8</v>
      </c>
      <c r="E12" s="1356" t="s">
        <v>2032</v>
      </c>
      <c r="F12" s="1373">
        <v>0.03</v>
      </c>
      <c r="G12" s="1356" t="s">
        <v>538</v>
      </c>
      <c r="H12" s="1356" t="s">
        <v>532</v>
      </c>
      <c r="I12" s="1374">
        <v>0</v>
      </c>
      <c r="J12" s="1375">
        <f>AG12</f>
        <v>0</v>
      </c>
      <c r="K12" s="1376" t="str">
        <f>IF(ISERROR(J12/I12),"",(J12/I12))</f>
        <v/>
      </c>
      <c r="L12" s="1377">
        <v>1</v>
      </c>
      <c r="M12" s="1378">
        <f>AK12</f>
        <v>0</v>
      </c>
      <c r="N12" s="1379">
        <f>IF(ISERROR(M12/L12),"",(M12/L12))</f>
        <v>0</v>
      </c>
      <c r="O12" s="1374">
        <v>0</v>
      </c>
      <c r="P12" s="1375">
        <f>AO12</f>
        <v>0</v>
      </c>
      <c r="Q12" s="1376" t="str">
        <f>IF(ISERROR(P12/O12),"",(P12/O12))</f>
        <v/>
      </c>
      <c r="R12" s="1377">
        <v>1</v>
      </c>
      <c r="S12" s="1378">
        <f>AS12</f>
        <v>0</v>
      </c>
      <c r="T12" s="1379">
        <f>IF(ISERROR(S12/R12),"",(S12/R12))</f>
        <v>0</v>
      </c>
      <c r="U12" s="1380">
        <f t="shared" ref="U12:V14" si="0">SUM(I12,L12,O12,R12)</f>
        <v>2</v>
      </c>
      <c r="V12" s="1380">
        <f t="shared" si="0"/>
        <v>0</v>
      </c>
      <c r="W12" s="1381">
        <f>IF((IF(ISERROR(V12/U12),0,(V12/U12)))&gt;1,1,(IF(ISERROR(V12/U12),0,(V12/U12))))</f>
        <v>0</v>
      </c>
      <c r="X12" s="1382">
        <f>F12*W12</f>
        <v>0</v>
      </c>
      <c r="Y12" s="1383" t="s">
        <v>1648</v>
      </c>
      <c r="Z12" s="1383" t="s">
        <v>2033</v>
      </c>
      <c r="AA12" s="1384" t="s">
        <v>1649</v>
      </c>
      <c r="AB12" s="1385" t="s">
        <v>1289</v>
      </c>
      <c r="AC12" s="1385" t="s">
        <v>542</v>
      </c>
      <c r="AD12" s="1051" t="s">
        <v>2034</v>
      </c>
      <c r="AE12" s="1385"/>
      <c r="AF12" s="1386">
        <f t="shared" ref="AF12:AF61" si="1">I12</f>
        <v>0</v>
      </c>
      <c r="AG12" s="1386"/>
      <c r="AH12" s="1387"/>
      <c r="AI12" s="1387"/>
      <c r="AJ12" s="1388">
        <f t="shared" ref="AJ12:AJ61" si="2">L12</f>
        <v>1</v>
      </c>
      <c r="AK12" s="1388"/>
      <c r="AL12" s="1389"/>
      <c r="AM12" s="1390"/>
      <c r="AN12" s="1386">
        <f t="shared" ref="AN12:AN57" si="3">O12</f>
        <v>0</v>
      </c>
      <c r="AO12" s="1386"/>
      <c r="AP12" s="1387"/>
      <c r="AQ12" s="1387"/>
      <c r="AR12" s="1388">
        <f t="shared" ref="AR12:AR57" si="4">R12</f>
        <v>1</v>
      </c>
      <c r="AS12" s="1391"/>
      <c r="AT12" s="1392"/>
      <c r="AU12" s="1392"/>
    </row>
    <row r="13" spans="1:47" ht="169.7" customHeight="1" thickTop="1" thickBot="1">
      <c r="A13" s="1527"/>
      <c r="B13" s="1528"/>
      <c r="C13" s="1528"/>
      <c r="D13" s="1372">
        <v>9</v>
      </c>
      <c r="E13" s="1356" t="s">
        <v>2468</v>
      </c>
      <c r="F13" s="1373">
        <v>0.02</v>
      </c>
      <c r="G13" s="1356" t="s">
        <v>1286</v>
      </c>
      <c r="H13" s="1356" t="s">
        <v>532</v>
      </c>
      <c r="I13" s="1374">
        <v>1</v>
      </c>
      <c r="J13" s="1375">
        <f>AG13</f>
        <v>0</v>
      </c>
      <c r="K13" s="1376">
        <f>IF(ISERROR(J13/I13),"",(J13/I13))</f>
        <v>0</v>
      </c>
      <c r="L13" s="1377">
        <v>0</v>
      </c>
      <c r="M13" s="1378">
        <f>AK13</f>
        <v>0</v>
      </c>
      <c r="N13" s="1379" t="str">
        <f>IF(ISERROR(M13/L13),"",(M13/L13))</f>
        <v/>
      </c>
      <c r="O13" s="1374">
        <v>0</v>
      </c>
      <c r="P13" s="1375">
        <f>AO13</f>
        <v>0</v>
      </c>
      <c r="Q13" s="1376" t="str">
        <f>IF(ISERROR(P13/O13),"",(P13/O13))</f>
        <v/>
      </c>
      <c r="R13" s="1377">
        <v>0</v>
      </c>
      <c r="S13" s="1378">
        <f>AS13</f>
        <v>0</v>
      </c>
      <c r="T13" s="1379" t="str">
        <f>IF(ISERROR(S13/R13),"",(S13/R13))</f>
        <v/>
      </c>
      <c r="U13" s="1380">
        <f t="shared" si="0"/>
        <v>1</v>
      </c>
      <c r="V13" s="1380">
        <f t="shared" si="0"/>
        <v>0</v>
      </c>
      <c r="W13" s="1381">
        <f>IF((IF(ISERROR(V13/U13),0,(V13/U13)))&gt;1,1,(IF(ISERROR(V13/U13),0,(V13/U13))))</f>
        <v>0</v>
      </c>
      <c r="X13" s="1382">
        <f>F13*W13</f>
        <v>0</v>
      </c>
      <c r="Y13" s="1383" t="s">
        <v>1655</v>
      </c>
      <c r="Z13" s="1383" t="s">
        <v>2040</v>
      </c>
      <c r="AA13" s="1384" t="s">
        <v>1656</v>
      </c>
      <c r="AB13" s="1384" t="s">
        <v>1657</v>
      </c>
      <c r="AC13" s="1385" t="s">
        <v>542</v>
      </c>
      <c r="AD13" s="1051" t="s">
        <v>2041</v>
      </c>
      <c r="AE13" s="1385"/>
      <c r="AF13" s="1386">
        <f t="shared" si="1"/>
        <v>1</v>
      </c>
      <c r="AG13" s="1386"/>
      <c r="AH13" s="1387"/>
      <c r="AI13" s="1387"/>
      <c r="AJ13" s="1388">
        <f t="shared" si="2"/>
        <v>0</v>
      </c>
      <c r="AK13" s="1388"/>
      <c r="AL13" s="1389"/>
      <c r="AM13" s="1390"/>
      <c r="AN13" s="1386">
        <f t="shared" si="3"/>
        <v>0</v>
      </c>
      <c r="AO13" s="1386"/>
      <c r="AP13" s="1387"/>
      <c r="AQ13" s="1387"/>
      <c r="AR13" s="1388">
        <f t="shared" si="4"/>
        <v>0</v>
      </c>
      <c r="AS13" s="1388"/>
      <c r="AT13" s="1393"/>
      <c r="AU13" s="1393"/>
    </row>
    <row r="14" spans="1:47" ht="125.85" customHeight="1" thickTop="1" thickBot="1">
      <c r="A14" s="1527"/>
      <c r="B14" s="1528"/>
      <c r="C14" s="1528"/>
      <c r="D14" s="1372">
        <v>10</v>
      </c>
      <c r="E14" s="1356" t="s">
        <v>2469</v>
      </c>
      <c r="F14" s="1373">
        <v>0.02</v>
      </c>
      <c r="G14" s="1356" t="s">
        <v>1286</v>
      </c>
      <c r="H14" s="1356" t="s">
        <v>532</v>
      </c>
      <c r="I14" s="1374">
        <v>0</v>
      </c>
      <c r="J14" s="1375">
        <f>AG14</f>
        <v>0</v>
      </c>
      <c r="K14" s="1394" t="str">
        <f>IF(ISERROR(J14/I14),"",(J14/I14))</f>
        <v/>
      </c>
      <c r="L14" s="1377">
        <v>2</v>
      </c>
      <c r="M14" s="1378">
        <f>AK14</f>
        <v>0</v>
      </c>
      <c r="N14" s="1379">
        <f>IF(ISERROR(M14/L14),"",(M14/L14))</f>
        <v>0</v>
      </c>
      <c r="O14" s="1374">
        <v>2</v>
      </c>
      <c r="P14" s="1375">
        <f>AO14</f>
        <v>0</v>
      </c>
      <c r="Q14" s="1394">
        <f>IF(ISERROR(P14/O14),"",(P14/O14))</f>
        <v>0</v>
      </c>
      <c r="R14" s="1377">
        <v>2</v>
      </c>
      <c r="S14" s="1378">
        <f>AS14</f>
        <v>0</v>
      </c>
      <c r="T14" s="1379">
        <f>IF(ISERROR(S14/R14),"",(S14/R14))</f>
        <v>0</v>
      </c>
      <c r="U14" s="1380">
        <f t="shared" si="0"/>
        <v>6</v>
      </c>
      <c r="V14" s="1380">
        <f t="shared" si="0"/>
        <v>0</v>
      </c>
      <c r="W14" s="1381">
        <f>IF((IF(ISERROR(V14/U14),0,(V14/U14)))&gt;1,1,(IF(ISERROR(V14/U14),0,(V14/U14))))</f>
        <v>0</v>
      </c>
      <c r="X14" s="1382">
        <f>F14*W14</f>
        <v>0</v>
      </c>
      <c r="Y14" s="1385" t="s">
        <v>1661</v>
      </c>
      <c r="Z14" s="1385" t="s">
        <v>2045</v>
      </c>
      <c r="AA14" s="1385" t="s">
        <v>2046</v>
      </c>
      <c r="AB14" s="1385" t="s">
        <v>2047</v>
      </c>
      <c r="AC14" s="1385" t="s">
        <v>542</v>
      </c>
      <c r="AD14" s="1051" t="s">
        <v>2048</v>
      </c>
      <c r="AE14" s="1385"/>
      <c r="AF14" s="1386">
        <f t="shared" si="1"/>
        <v>0</v>
      </c>
      <c r="AG14" s="1386"/>
      <c r="AH14" s="1395"/>
      <c r="AI14" s="1395"/>
      <c r="AJ14" s="1388">
        <f t="shared" si="2"/>
        <v>2</v>
      </c>
      <c r="AK14" s="1388"/>
      <c r="AL14" s="1396"/>
      <c r="AM14" s="1390"/>
      <c r="AN14" s="1386">
        <f t="shared" si="3"/>
        <v>2</v>
      </c>
      <c r="AO14" s="1386"/>
      <c r="AP14" s="1395"/>
      <c r="AQ14" s="1395"/>
      <c r="AR14" s="1388">
        <f t="shared" si="4"/>
        <v>2</v>
      </c>
      <c r="AS14" s="1388"/>
      <c r="AT14" s="1393"/>
      <c r="AU14" s="1393"/>
    </row>
    <row r="15" spans="1:47" ht="58.7" customHeight="1" thickBot="1">
      <c r="A15" s="1530"/>
      <c r="B15" s="1530"/>
      <c r="C15" s="1397" t="s">
        <v>1667</v>
      </c>
      <c r="D15" s="1530"/>
      <c r="E15" s="1530"/>
      <c r="F15" s="1530"/>
      <c r="G15" s="1530"/>
      <c r="H15" s="1530"/>
      <c r="I15" s="1530"/>
      <c r="J15" s="1530"/>
      <c r="K15" s="1530"/>
      <c r="L15" s="1530"/>
      <c r="M15" s="1530"/>
      <c r="N15" s="1530"/>
      <c r="O15" s="1530"/>
      <c r="P15" s="1530"/>
      <c r="Q15" s="1530"/>
      <c r="R15" s="1530"/>
      <c r="S15" s="1530"/>
      <c r="T15" s="1530"/>
      <c r="U15" s="1530"/>
      <c r="V15" s="1530"/>
      <c r="W15" s="1530"/>
      <c r="X15" s="1530"/>
      <c r="Y15" s="1530"/>
      <c r="Z15" s="1530"/>
      <c r="AA15" s="1530"/>
      <c r="AB15" s="1530"/>
      <c r="AC15" s="1530"/>
      <c r="AD15" s="1530"/>
      <c r="AE15" s="1530"/>
      <c r="AF15" s="1530">
        <f t="shared" si="1"/>
        <v>0</v>
      </c>
      <c r="AG15" s="1530"/>
      <c r="AH15" s="1530"/>
      <c r="AI15" s="1530"/>
      <c r="AJ15" s="1530">
        <f t="shared" si="2"/>
        <v>0</v>
      </c>
      <c r="AK15" s="1530"/>
      <c r="AL15" s="1530"/>
      <c r="AM15" s="1530"/>
      <c r="AN15" s="1530">
        <f t="shared" si="3"/>
        <v>0</v>
      </c>
      <c r="AO15" s="1530"/>
      <c r="AP15" s="1530"/>
      <c r="AQ15" s="1530"/>
      <c r="AR15" s="1530">
        <f t="shared" si="4"/>
        <v>0</v>
      </c>
      <c r="AS15" s="1530"/>
      <c r="AT15" s="1530"/>
      <c r="AU15" s="1530"/>
    </row>
    <row r="16" spans="1:47" s="758" customFormat="1" ht="159" customHeight="1" thickBot="1">
      <c r="A16" s="1527" t="s">
        <v>1646</v>
      </c>
      <c r="B16" s="1528"/>
      <c r="C16" s="1528" t="s">
        <v>1310</v>
      </c>
      <c r="D16" s="1398">
        <v>1</v>
      </c>
      <c r="E16" s="1398" t="s">
        <v>2470</v>
      </c>
      <c r="F16" s="1399">
        <v>0.02</v>
      </c>
      <c r="G16" s="1400" t="s">
        <v>537</v>
      </c>
      <c r="H16" s="1400" t="s">
        <v>531</v>
      </c>
      <c r="I16" s="1401">
        <v>1</v>
      </c>
      <c r="J16" s="1402">
        <f t="shared" ref="J16:J22" si="5">AG16</f>
        <v>0</v>
      </c>
      <c r="K16" s="1394">
        <f t="shared" ref="K16:K22" si="6">IF(ISERROR(J16/I16),"",(J16/I16))</f>
        <v>0</v>
      </c>
      <c r="L16" s="1403">
        <v>1</v>
      </c>
      <c r="M16" s="1404">
        <f t="shared" ref="M16:M22" si="7">AK16</f>
        <v>0</v>
      </c>
      <c r="N16" s="1405">
        <f t="shared" ref="N16:N22" si="8">IF(ISERROR(M16/L16),"",(M16/L16))</f>
        <v>0</v>
      </c>
      <c r="O16" s="1401">
        <v>1</v>
      </c>
      <c r="P16" s="1402">
        <f t="shared" ref="P16:P22" si="9">AO16</f>
        <v>0</v>
      </c>
      <c r="Q16" s="1394">
        <f t="shared" ref="Q16:Q22" si="10">IF(ISERROR(P16/O16),"",(P16/O16))</f>
        <v>0</v>
      </c>
      <c r="R16" s="1403">
        <v>1</v>
      </c>
      <c r="S16" s="1406">
        <f t="shared" ref="S16:S22" si="11">AS16</f>
        <v>0</v>
      </c>
      <c r="T16" s="1405">
        <f t="shared" ref="T16:T22" si="12">IF(ISERROR(S16/R16),"",(S16/R16))</f>
        <v>0</v>
      </c>
      <c r="U16" s="1382">
        <f>SUM(I16,L16,O16,R16)/4</f>
        <v>1</v>
      </c>
      <c r="V16" s="1407">
        <f>SUM(J16,M16,P16,S16)/4</f>
        <v>0</v>
      </c>
      <c r="W16" s="1408">
        <f t="shared" ref="W16:W22" si="13">IF((IF(ISERROR(V16/U16),0,(V16/U16)))&gt;1,1,(IF(ISERROR(V16/U16),0,(V16/U16))))</f>
        <v>0</v>
      </c>
      <c r="X16" s="1382">
        <f t="shared" ref="X16:X22" si="14">F16*W16</f>
        <v>0</v>
      </c>
      <c r="Y16" s="1409" t="s">
        <v>2471</v>
      </c>
      <c r="Z16" s="1409" t="s">
        <v>2472</v>
      </c>
      <c r="AA16" s="1398" t="s">
        <v>2473</v>
      </c>
      <c r="AB16" s="1398" t="s">
        <v>2057</v>
      </c>
      <c r="AC16" s="1400" t="s">
        <v>542</v>
      </c>
      <c r="AD16" s="1398" t="s">
        <v>1680</v>
      </c>
      <c r="AE16" s="1398"/>
      <c r="AF16" s="1410">
        <f t="shared" si="1"/>
        <v>1</v>
      </c>
      <c r="AG16" s="1410"/>
      <c r="AH16" s="1411"/>
      <c r="AI16" s="1411"/>
      <c r="AJ16" s="1412">
        <f t="shared" si="2"/>
        <v>1</v>
      </c>
      <c r="AK16" s="1413"/>
      <c r="AL16" s="1414"/>
      <c r="AM16" s="1414"/>
      <c r="AN16" s="1410">
        <f t="shared" si="3"/>
        <v>1</v>
      </c>
      <c r="AO16" s="1410"/>
      <c r="AP16" s="1411"/>
      <c r="AQ16" s="1411"/>
      <c r="AR16" s="1412">
        <f t="shared" si="4"/>
        <v>1</v>
      </c>
      <c r="AS16" s="1415"/>
      <c r="AT16" s="1414"/>
      <c r="AU16" s="1414"/>
    </row>
    <row r="17" spans="1:47" ht="111.4" customHeight="1" thickTop="1" thickBot="1">
      <c r="A17" s="1527"/>
      <c r="B17" s="1527"/>
      <c r="C17" s="1528"/>
      <c r="D17" s="1372">
        <v>2</v>
      </c>
      <c r="E17" s="1372" t="s">
        <v>2474</v>
      </c>
      <c r="F17" s="1416">
        <v>0.03</v>
      </c>
      <c r="G17" s="1356" t="s">
        <v>537</v>
      </c>
      <c r="H17" s="1356" t="s">
        <v>529</v>
      </c>
      <c r="I17" s="1401">
        <v>0.2</v>
      </c>
      <c r="J17" s="1402">
        <f t="shared" si="5"/>
        <v>0</v>
      </c>
      <c r="K17" s="1394">
        <f t="shared" si="6"/>
        <v>0</v>
      </c>
      <c r="L17" s="1417">
        <v>0.45</v>
      </c>
      <c r="M17" s="1418">
        <f t="shared" si="7"/>
        <v>0</v>
      </c>
      <c r="N17" s="1379">
        <f t="shared" si="8"/>
        <v>0</v>
      </c>
      <c r="O17" s="1401">
        <v>0.8</v>
      </c>
      <c r="P17" s="1402">
        <f t="shared" si="9"/>
        <v>0</v>
      </c>
      <c r="Q17" s="1394">
        <f t="shared" si="10"/>
        <v>0</v>
      </c>
      <c r="R17" s="1417">
        <v>0.97</v>
      </c>
      <c r="S17" s="1418">
        <f t="shared" si="11"/>
        <v>0</v>
      </c>
      <c r="T17" s="1379">
        <f t="shared" si="12"/>
        <v>0</v>
      </c>
      <c r="U17" s="1382">
        <f>R17</f>
        <v>0.97</v>
      </c>
      <c r="V17" s="1407">
        <f>P17</f>
        <v>0</v>
      </c>
      <c r="W17" s="1419">
        <f t="shared" si="13"/>
        <v>0</v>
      </c>
      <c r="X17" s="1382">
        <f t="shared" si="14"/>
        <v>0</v>
      </c>
      <c r="Y17" s="1372" t="s">
        <v>2064</v>
      </c>
      <c r="Z17" s="1372" t="s">
        <v>2475</v>
      </c>
      <c r="AA17" s="1372" t="s">
        <v>2066</v>
      </c>
      <c r="AB17" s="1372" t="s">
        <v>2067</v>
      </c>
      <c r="AC17" s="1420" t="s">
        <v>542</v>
      </c>
      <c r="AD17" s="1385" t="s">
        <v>2068</v>
      </c>
      <c r="AE17" s="1114" t="s">
        <v>2476</v>
      </c>
      <c r="AF17" s="1410">
        <f t="shared" si="1"/>
        <v>0.2</v>
      </c>
      <c r="AG17" s="1410"/>
      <c r="AH17" s="1411"/>
      <c r="AI17" s="1411"/>
      <c r="AJ17" s="1421">
        <f t="shared" si="2"/>
        <v>0.45</v>
      </c>
      <c r="AK17" s="1421"/>
      <c r="AL17" s="1422"/>
      <c r="AM17" s="1390"/>
      <c r="AN17" s="1410">
        <f t="shared" si="3"/>
        <v>0.8</v>
      </c>
      <c r="AO17" s="1410"/>
      <c r="AP17" s="1411"/>
      <c r="AQ17" s="1411"/>
      <c r="AR17" s="1423">
        <f t="shared" si="4"/>
        <v>0.97</v>
      </c>
      <c r="AS17" s="1423"/>
      <c r="AT17" s="1424"/>
      <c r="AU17" s="1424"/>
    </row>
    <row r="18" spans="1:47" s="758" customFormat="1" ht="98.45" customHeight="1" thickBot="1">
      <c r="A18" s="1527"/>
      <c r="B18" s="1527"/>
      <c r="C18" s="1528"/>
      <c r="D18" s="1398">
        <v>3</v>
      </c>
      <c r="E18" s="1398" t="s">
        <v>2477</v>
      </c>
      <c r="F18" s="1399">
        <v>0.03</v>
      </c>
      <c r="G18" s="1400" t="s">
        <v>537</v>
      </c>
      <c r="H18" s="1400" t="s">
        <v>529</v>
      </c>
      <c r="I18" s="1401">
        <v>0.01</v>
      </c>
      <c r="J18" s="1402">
        <f t="shared" si="5"/>
        <v>0</v>
      </c>
      <c r="K18" s="1394">
        <f t="shared" si="6"/>
        <v>0</v>
      </c>
      <c r="L18" s="1403">
        <v>0.06</v>
      </c>
      <c r="M18" s="1425">
        <f t="shared" si="7"/>
        <v>0</v>
      </c>
      <c r="N18" s="1405">
        <f t="shared" si="8"/>
        <v>0</v>
      </c>
      <c r="O18" s="1401">
        <v>0.16</v>
      </c>
      <c r="P18" s="1402">
        <f t="shared" si="9"/>
        <v>0</v>
      </c>
      <c r="Q18" s="1394">
        <f t="shared" si="10"/>
        <v>0</v>
      </c>
      <c r="R18" s="1403">
        <v>0.4</v>
      </c>
      <c r="S18" s="1425">
        <f t="shared" si="11"/>
        <v>0</v>
      </c>
      <c r="T18" s="1405">
        <f t="shared" si="12"/>
        <v>0</v>
      </c>
      <c r="U18" s="1382">
        <f>R18</f>
        <v>0.4</v>
      </c>
      <c r="V18" s="1407">
        <f>P18</f>
        <v>0</v>
      </c>
      <c r="W18" s="1419">
        <f t="shared" si="13"/>
        <v>0</v>
      </c>
      <c r="X18" s="1382">
        <f t="shared" si="14"/>
        <v>0</v>
      </c>
      <c r="Y18" s="1398" t="s">
        <v>2074</v>
      </c>
      <c r="Z18" s="1398" t="s">
        <v>2075</v>
      </c>
      <c r="AA18" s="1398" t="s">
        <v>2076</v>
      </c>
      <c r="AB18" s="1398" t="s">
        <v>2077</v>
      </c>
      <c r="AC18" s="1426" t="s">
        <v>542</v>
      </c>
      <c r="AD18" s="1427" t="s">
        <v>2078</v>
      </c>
      <c r="AE18" s="1065" t="s">
        <v>2476</v>
      </c>
      <c r="AF18" s="1410">
        <f t="shared" si="1"/>
        <v>0.01</v>
      </c>
      <c r="AG18" s="1410"/>
      <c r="AH18" s="1411"/>
      <c r="AI18" s="1411"/>
      <c r="AJ18" s="1413">
        <f t="shared" si="2"/>
        <v>0.06</v>
      </c>
      <c r="AK18" s="1413"/>
      <c r="AL18" s="1422"/>
      <c r="AM18" s="1414"/>
      <c r="AN18" s="1410">
        <f t="shared" si="3"/>
        <v>0.16</v>
      </c>
      <c r="AO18" s="1410"/>
      <c r="AP18" s="1411"/>
      <c r="AQ18" s="1411"/>
      <c r="AR18" s="1412">
        <f t="shared" si="4"/>
        <v>0.4</v>
      </c>
      <c r="AS18" s="1412"/>
      <c r="AT18" s="1424"/>
      <c r="AU18" s="1424"/>
    </row>
    <row r="19" spans="1:47" s="758" customFormat="1" ht="101.45" customHeight="1" thickBot="1">
      <c r="A19" s="1527"/>
      <c r="B19" s="1527"/>
      <c r="C19" s="1528"/>
      <c r="D19" s="1398">
        <v>4</v>
      </c>
      <c r="E19" s="1398" t="s">
        <v>2478</v>
      </c>
      <c r="F19" s="1399">
        <v>0.03</v>
      </c>
      <c r="G19" s="1400" t="s">
        <v>537</v>
      </c>
      <c r="H19" s="1400" t="s">
        <v>529</v>
      </c>
      <c r="I19" s="1401">
        <v>0.03</v>
      </c>
      <c r="J19" s="1402">
        <f t="shared" si="5"/>
        <v>0</v>
      </c>
      <c r="K19" s="1394">
        <f t="shared" si="6"/>
        <v>0</v>
      </c>
      <c r="L19" s="1403">
        <v>0.27</v>
      </c>
      <c r="M19" s="1425">
        <f t="shared" si="7"/>
        <v>0</v>
      </c>
      <c r="N19" s="1405">
        <f t="shared" si="8"/>
        <v>0</v>
      </c>
      <c r="O19" s="1401">
        <v>0.5</v>
      </c>
      <c r="P19" s="1402">
        <f t="shared" si="9"/>
        <v>0</v>
      </c>
      <c r="Q19" s="1394">
        <f t="shared" si="10"/>
        <v>0</v>
      </c>
      <c r="R19" s="1403">
        <v>0.93</v>
      </c>
      <c r="S19" s="1425">
        <f t="shared" si="11"/>
        <v>0</v>
      </c>
      <c r="T19" s="1405">
        <f t="shared" si="12"/>
        <v>0</v>
      </c>
      <c r="U19" s="1382">
        <f>R19</f>
        <v>0.93</v>
      </c>
      <c r="V19" s="1407">
        <f>P19</f>
        <v>0</v>
      </c>
      <c r="W19" s="1419">
        <f t="shared" si="13"/>
        <v>0</v>
      </c>
      <c r="X19" s="1382">
        <f t="shared" si="14"/>
        <v>0</v>
      </c>
      <c r="Y19" s="1398" t="s">
        <v>2479</v>
      </c>
      <c r="Z19" s="1398" t="s">
        <v>2480</v>
      </c>
      <c r="AA19" s="1398" t="s">
        <v>2086</v>
      </c>
      <c r="AB19" s="1398" t="s">
        <v>2087</v>
      </c>
      <c r="AC19" s="1426" t="s">
        <v>542</v>
      </c>
      <c r="AD19" s="1427" t="s">
        <v>2088</v>
      </c>
      <c r="AE19" s="1065" t="s">
        <v>2481</v>
      </c>
      <c r="AF19" s="1410">
        <f t="shared" si="1"/>
        <v>0.03</v>
      </c>
      <c r="AG19" s="1410"/>
      <c r="AH19" s="1411"/>
      <c r="AI19" s="1411"/>
      <c r="AJ19" s="1413">
        <f t="shared" si="2"/>
        <v>0.27</v>
      </c>
      <c r="AK19" s="1413"/>
      <c r="AL19" s="1422"/>
      <c r="AM19" s="1414"/>
      <c r="AN19" s="1410">
        <f t="shared" si="3"/>
        <v>0.5</v>
      </c>
      <c r="AO19" s="1410"/>
      <c r="AP19" s="1411"/>
      <c r="AQ19" s="1411"/>
      <c r="AR19" s="1412">
        <f t="shared" si="4"/>
        <v>0.93</v>
      </c>
      <c r="AS19" s="1428"/>
      <c r="AT19" s="1414"/>
      <c r="AU19" s="1414"/>
    </row>
    <row r="20" spans="1:47" s="758" customFormat="1" ht="92.45" customHeight="1" thickBot="1">
      <c r="A20" s="1527"/>
      <c r="B20" s="1527"/>
      <c r="C20" s="1528"/>
      <c r="D20" s="1398">
        <v>5</v>
      </c>
      <c r="E20" s="1398" t="s">
        <v>2482</v>
      </c>
      <c r="F20" s="1399">
        <v>0.03</v>
      </c>
      <c r="G20" s="1400" t="s">
        <v>537</v>
      </c>
      <c r="H20" s="1400" t="s">
        <v>531</v>
      </c>
      <c r="I20" s="1401">
        <v>0.97</v>
      </c>
      <c r="J20" s="1402">
        <f t="shared" si="5"/>
        <v>0</v>
      </c>
      <c r="K20" s="1394">
        <f t="shared" si="6"/>
        <v>0</v>
      </c>
      <c r="L20" s="1403">
        <v>0.97</v>
      </c>
      <c r="M20" s="1425">
        <f t="shared" si="7"/>
        <v>0</v>
      </c>
      <c r="N20" s="1405">
        <f t="shared" si="8"/>
        <v>0</v>
      </c>
      <c r="O20" s="1401">
        <v>0.97</v>
      </c>
      <c r="P20" s="1402">
        <f t="shared" si="9"/>
        <v>0</v>
      </c>
      <c r="Q20" s="1394">
        <f t="shared" si="10"/>
        <v>0</v>
      </c>
      <c r="R20" s="1403">
        <v>0.97</v>
      </c>
      <c r="S20" s="1425">
        <f t="shared" si="11"/>
        <v>0</v>
      </c>
      <c r="T20" s="1405">
        <f t="shared" si="12"/>
        <v>0</v>
      </c>
      <c r="U20" s="1382">
        <f>SUM(I20,L20,O20,R20)/4</f>
        <v>0.97</v>
      </c>
      <c r="V20" s="1407">
        <f>SUM(J20,M20,P20,S20)/4</f>
        <v>0</v>
      </c>
      <c r="W20" s="1419">
        <f t="shared" si="13"/>
        <v>0</v>
      </c>
      <c r="X20" s="1382">
        <f t="shared" si="14"/>
        <v>0</v>
      </c>
      <c r="Y20" s="1398" t="s">
        <v>1715</v>
      </c>
      <c r="Z20" s="1398" t="s">
        <v>2094</v>
      </c>
      <c r="AA20" s="1398" t="s">
        <v>1716</v>
      </c>
      <c r="AB20" s="1398" t="s">
        <v>1717</v>
      </c>
      <c r="AC20" s="1426" t="s">
        <v>542</v>
      </c>
      <c r="AD20" s="1427" t="s">
        <v>2096</v>
      </c>
      <c r="AE20" s="1427"/>
      <c r="AF20" s="1410">
        <f t="shared" si="1"/>
        <v>0.97</v>
      </c>
      <c r="AG20" s="1410"/>
      <c r="AH20" s="1411"/>
      <c r="AI20" s="1411"/>
      <c r="AJ20" s="1413">
        <f t="shared" si="2"/>
        <v>0.97</v>
      </c>
      <c r="AK20" s="1413"/>
      <c r="AL20" s="1429"/>
      <c r="AM20" s="1414"/>
      <c r="AN20" s="1410">
        <f t="shared" si="3"/>
        <v>0.97</v>
      </c>
      <c r="AO20" s="1410"/>
      <c r="AP20" s="1411"/>
      <c r="AQ20" s="1411"/>
      <c r="AR20" s="1413">
        <f t="shared" si="4"/>
        <v>0.97</v>
      </c>
      <c r="AS20" s="1413"/>
      <c r="AT20" s="1430"/>
      <c r="AU20" s="1414"/>
    </row>
    <row r="21" spans="1:47" ht="163.15" customHeight="1" thickBot="1">
      <c r="A21" s="1527"/>
      <c r="B21" s="1527"/>
      <c r="C21" s="1528"/>
      <c r="D21" s="1372">
        <v>6</v>
      </c>
      <c r="E21" s="1372" t="s">
        <v>2483</v>
      </c>
      <c r="F21" s="1416">
        <v>0.02</v>
      </c>
      <c r="G21" s="1431" t="s">
        <v>537</v>
      </c>
      <c r="H21" s="1431" t="s">
        <v>531</v>
      </c>
      <c r="I21" s="1401">
        <v>1</v>
      </c>
      <c r="J21" s="1402">
        <f t="shared" si="5"/>
        <v>0</v>
      </c>
      <c r="K21" s="1394">
        <f t="shared" si="6"/>
        <v>0</v>
      </c>
      <c r="L21" s="1417">
        <v>1</v>
      </c>
      <c r="M21" s="1418">
        <f t="shared" si="7"/>
        <v>0</v>
      </c>
      <c r="N21" s="1379">
        <f t="shared" si="8"/>
        <v>0</v>
      </c>
      <c r="O21" s="1401">
        <v>1</v>
      </c>
      <c r="P21" s="1402">
        <f t="shared" si="9"/>
        <v>0</v>
      </c>
      <c r="Q21" s="1394">
        <f t="shared" si="10"/>
        <v>0</v>
      </c>
      <c r="R21" s="1417">
        <v>1</v>
      </c>
      <c r="S21" s="1418">
        <f t="shared" si="11"/>
        <v>0</v>
      </c>
      <c r="T21" s="1379">
        <f t="shared" si="12"/>
        <v>0</v>
      </c>
      <c r="U21" s="1382">
        <f>SUM(I21,L21,O21,R21)/4</f>
        <v>1</v>
      </c>
      <c r="V21" s="1382">
        <f>SUM(J21,M21,P21,S21)/4</f>
        <v>0</v>
      </c>
      <c r="W21" s="1419">
        <f t="shared" si="13"/>
        <v>0</v>
      </c>
      <c r="X21" s="1382">
        <f t="shared" si="14"/>
        <v>0</v>
      </c>
      <c r="Y21" s="1372" t="s">
        <v>2484</v>
      </c>
      <c r="Z21" s="1372" t="s">
        <v>2485</v>
      </c>
      <c r="AA21" s="1356" t="s">
        <v>2486</v>
      </c>
      <c r="AB21" s="1372" t="s">
        <v>2487</v>
      </c>
      <c r="AC21" s="1420" t="s">
        <v>542</v>
      </c>
      <c r="AD21" s="1385" t="s">
        <v>2104</v>
      </c>
      <c r="AE21" s="1385" t="s">
        <v>2105</v>
      </c>
      <c r="AF21" s="1410">
        <f t="shared" si="1"/>
        <v>1</v>
      </c>
      <c r="AG21" s="1410"/>
      <c r="AH21" s="1411"/>
      <c r="AI21" s="1411"/>
      <c r="AJ21" s="1421">
        <f t="shared" si="2"/>
        <v>1</v>
      </c>
      <c r="AK21" s="1421"/>
      <c r="AL21" s="1396"/>
      <c r="AM21" s="1432"/>
      <c r="AN21" s="1410">
        <f t="shared" si="3"/>
        <v>1</v>
      </c>
      <c r="AO21" s="1410"/>
      <c r="AP21" s="1411"/>
      <c r="AQ21" s="1411"/>
      <c r="AR21" s="1421">
        <f t="shared" si="4"/>
        <v>1</v>
      </c>
      <c r="AS21" s="1433"/>
      <c r="AT21" s="1432"/>
      <c r="AU21" s="1414"/>
    </row>
    <row r="22" spans="1:47" ht="168.6" customHeight="1" thickBot="1">
      <c r="A22" s="1527"/>
      <c r="B22" s="1527"/>
      <c r="C22" s="1528"/>
      <c r="D22" s="1372">
        <v>7</v>
      </c>
      <c r="E22" s="1372" t="s">
        <v>2488</v>
      </c>
      <c r="F22" s="1416">
        <v>0.02</v>
      </c>
      <c r="G22" s="1431" t="s">
        <v>537</v>
      </c>
      <c r="H22" s="1431" t="s">
        <v>529</v>
      </c>
      <c r="I22" s="1401">
        <v>1</v>
      </c>
      <c r="J22" s="1402">
        <f t="shared" si="5"/>
        <v>0</v>
      </c>
      <c r="K22" s="1394">
        <f t="shared" si="6"/>
        <v>0</v>
      </c>
      <c r="L22" s="1417">
        <v>1</v>
      </c>
      <c r="M22" s="1418">
        <f t="shared" si="7"/>
        <v>0</v>
      </c>
      <c r="N22" s="1379">
        <f t="shared" si="8"/>
        <v>0</v>
      </c>
      <c r="O22" s="1401">
        <v>1</v>
      </c>
      <c r="P22" s="1402">
        <f t="shared" si="9"/>
        <v>0</v>
      </c>
      <c r="Q22" s="1394">
        <f t="shared" si="10"/>
        <v>0</v>
      </c>
      <c r="R22" s="1417">
        <v>1</v>
      </c>
      <c r="S22" s="1418">
        <f t="shared" si="11"/>
        <v>0</v>
      </c>
      <c r="T22" s="1379">
        <f t="shared" si="12"/>
        <v>0</v>
      </c>
      <c r="U22" s="1382">
        <f>R22</f>
        <v>1</v>
      </c>
      <c r="V22" s="1382">
        <f>P22</f>
        <v>0</v>
      </c>
      <c r="W22" s="1419">
        <f t="shared" si="13"/>
        <v>0</v>
      </c>
      <c r="X22" s="1382">
        <f t="shared" si="14"/>
        <v>0</v>
      </c>
      <c r="Y22" s="1372" t="s">
        <v>2489</v>
      </c>
      <c r="Z22" s="1372" t="s">
        <v>2490</v>
      </c>
      <c r="AA22" s="1356" t="s">
        <v>2491</v>
      </c>
      <c r="AB22" s="1372" t="s">
        <v>2492</v>
      </c>
      <c r="AC22" s="1420" t="s">
        <v>542</v>
      </c>
      <c r="AD22" s="1385" t="s">
        <v>2104</v>
      </c>
      <c r="AE22" s="1385" t="s">
        <v>2493</v>
      </c>
      <c r="AF22" s="1410">
        <f t="shared" si="1"/>
        <v>1</v>
      </c>
      <c r="AG22" s="1410"/>
      <c r="AH22" s="1411"/>
      <c r="AI22" s="1411"/>
      <c r="AJ22" s="1421">
        <f t="shared" si="2"/>
        <v>1</v>
      </c>
      <c r="AK22" s="1421"/>
      <c r="AL22" s="1429"/>
      <c r="AM22" s="1432"/>
      <c r="AN22" s="1410">
        <f t="shared" si="3"/>
        <v>1</v>
      </c>
      <c r="AO22" s="1410"/>
      <c r="AP22" s="1411"/>
      <c r="AQ22" s="1411"/>
      <c r="AR22" s="1421">
        <f t="shared" si="4"/>
        <v>1</v>
      </c>
      <c r="AS22" s="1433"/>
      <c r="AT22" s="1432"/>
      <c r="AU22" s="1414"/>
    </row>
    <row r="23" spans="1:47" ht="51.4" customHeight="1" thickBot="1">
      <c r="A23" s="1523"/>
      <c r="B23" s="1523"/>
      <c r="C23" s="1397" t="s">
        <v>1755</v>
      </c>
      <c r="D23" s="1434"/>
      <c r="E23" s="1524"/>
      <c r="F23" s="1524"/>
      <c r="G23" s="1524"/>
      <c r="H23" s="1524"/>
      <c r="I23" s="1524"/>
      <c r="J23" s="1524"/>
      <c r="K23" s="1524"/>
      <c r="L23" s="1524"/>
      <c r="M23" s="1524"/>
      <c r="N23" s="1524"/>
      <c r="O23" s="1524"/>
      <c r="P23" s="1524"/>
      <c r="Q23" s="1524"/>
      <c r="R23" s="1524"/>
      <c r="S23" s="1524"/>
      <c r="T23" s="1524"/>
      <c r="U23" s="1524"/>
      <c r="V23" s="1524"/>
      <c r="W23" s="1524"/>
      <c r="X23" s="1524"/>
      <c r="Y23" s="1524"/>
      <c r="Z23" s="1524"/>
      <c r="AA23" s="1524"/>
      <c r="AB23" s="1524"/>
      <c r="AC23" s="1524"/>
      <c r="AD23" s="1524"/>
      <c r="AE23" s="1524"/>
      <c r="AF23" s="1524">
        <f t="shared" si="1"/>
        <v>0</v>
      </c>
      <c r="AG23" s="1524"/>
      <c r="AH23" s="1524"/>
      <c r="AI23" s="1524"/>
      <c r="AJ23" s="1524">
        <f t="shared" si="2"/>
        <v>0</v>
      </c>
      <c r="AK23" s="1524"/>
      <c r="AL23" s="1524"/>
      <c r="AM23" s="1524"/>
      <c r="AN23" s="1524">
        <f t="shared" si="3"/>
        <v>0</v>
      </c>
      <c r="AO23" s="1524"/>
      <c r="AP23" s="1524"/>
      <c r="AQ23" s="1524"/>
      <c r="AR23" s="1524">
        <f t="shared" si="4"/>
        <v>0</v>
      </c>
      <c r="AS23" s="1524"/>
      <c r="AT23" s="1524"/>
      <c r="AU23" s="1524"/>
    </row>
    <row r="24" spans="1:47" ht="189.95" customHeight="1" thickBot="1">
      <c r="A24" s="1531" t="s">
        <v>2494</v>
      </c>
      <c r="B24" s="1531"/>
      <c r="C24" s="1531" t="s">
        <v>1357</v>
      </c>
      <c r="D24" s="1390">
        <v>1</v>
      </c>
      <c r="E24" s="1372" t="s">
        <v>2495</v>
      </c>
      <c r="F24" s="1435">
        <v>0.01</v>
      </c>
      <c r="G24" s="1356" t="s">
        <v>537</v>
      </c>
      <c r="H24" s="1356" t="s">
        <v>531</v>
      </c>
      <c r="I24" s="1401">
        <v>1</v>
      </c>
      <c r="J24" s="1436">
        <f t="shared" ref="J24:J43" si="15">AG24</f>
        <v>0</v>
      </c>
      <c r="K24" s="1394">
        <f t="shared" ref="K24:K40" si="16">IF(ISERROR(J24/I24),"",(J24/I24))</f>
        <v>0</v>
      </c>
      <c r="L24" s="1417">
        <v>1</v>
      </c>
      <c r="M24" s="1437">
        <f t="shared" ref="M24:M43" si="17">AK24</f>
        <v>0</v>
      </c>
      <c r="N24" s="1379">
        <f t="shared" ref="N24:N40" si="18">IF(ISERROR(M24/L24),"",(M24/L24))</f>
        <v>0</v>
      </c>
      <c r="O24" s="1401">
        <v>1</v>
      </c>
      <c r="P24" s="1436">
        <f t="shared" ref="P24:P43" si="19">AO24</f>
        <v>0</v>
      </c>
      <c r="Q24" s="1394">
        <f t="shared" ref="Q24:Q40" si="20">IF(ISERROR(P24/O24),"",(P24/O24))</f>
        <v>0</v>
      </c>
      <c r="R24" s="1417">
        <v>1</v>
      </c>
      <c r="S24" s="1437">
        <f t="shared" ref="S24:S43" si="21">AS24</f>
        <v>0</v>
      </c>
      <c r="T24" s="1379">
        <f t="shared" ref="T24:T40" si="22">IF(ISERROR(S24/R24),"",(S24/R24))</f>
        <v>0</v>
      </c>
      <c r="U24" s="1438">
        <f>SUM(I24,L24,O24,R24)/4</f>
        <v>1</v>
      </c>
      <c r="V24" s="1438">
        <f>SUM(J24,M24,P24,S24)/4</f>
        <v>0</v>
      </c>
      <c r="W24" s="1419">
        <f t="shared" ref="W24:W40" si="23">IF((IF(ISERROR(V24/U24),0,(V24/U24)))&gt;1,1,(IF(ISERROR(V24/U24),0,(V24/U24))))</f>
        <v>0</v>
      </c>
      <c r="X24" s="1382">
        <f t="shared" ref="X24:X43" si="24">F24*W24</f>
        <v>0</v>
      </c>
      <c r="Y24" s="1372" t="s">
        <v>2117</v>
      </c>
      <c r="Z24" s="1372" t="s">
        <v>2118</v>
      </c>
      <c r="AA24" s="1372" t="s">
        <v>2119</v>
      </c>
      <c r="AB24" s="1372" t="s">
        <v>2120</v>
      </c>
      <c r="AC24" s="1356" t="s">
        <v>542</v>
      </c>
      <c r="AD24" s="1372" t="s">
        <v>2121</v>
      </c>
      <c r="AE24" s="1372" t="s">
        <v>2496</v>
      </c>
      <c r="AF24" s="1410">
        <f t="shared" si="1"/>
        <v>1</v>
      </c>
      <c r="AG24" s="1410"/>
      <c r="AH24" s="1395"/>
      <c r="AI24" s="1395"/>
      <c r="AJ24" s="1421">
        <f t="shared" si="2"/>
        <v>1</v>
      </c>
      <c r="AK24" s="1421"/>
      <c r="AL24" s="1439"/>
      <c r="AM24" s="1432"/>
      <c r="AN24" s="1410">
        <f t="shared" si="3"/>
        <v>1</v>
      </c>
      <c r="AO24" s="1410"/>
      <c r="AP24" s="1395"/>
      <c r="AQ24" s="1395"/>
      <c r="AR24" s="1421">
        <f t="shared" si="4"/>
        <v>1</v>
      </c>
      <c r="AS24" s="1421"/>
      <c r="AT24" s="1432"/>
      <c r="AU24" s="1432"/>
    </row>
    <row r="25" spans="1:47" ht="168.2" customHeight="1" thickBot="1">
      <c r="A25" s="1531"/>
      <c r="B25" s="1531"/>
      <c r="C25" s="1531"/>
      <c r="D25" s="1390">
        <v>2</v>
      </c>
      <c r="E25" s="1372" t="s">
        <v>2497</v>
      </c>
      <c r="F25" s="1435">
        <v>0</v>
      </c>
      <c r="G25" s="1356" t="s">
        <v>537</v>
      </c>
      <c r="H25" s="1356" t="s">
        <v>532</v>
      </c>
      <c r="I25" s="1401">
        <v>0</v>
      </c>
      <c r="J25" s="1402">
        <f t="shared" si="15"/>
        <v>0</v>
      </c>
      <c r="K25" s="1394" t="str">
        <f t="shared" si="16"/>
        <v/>
      </c>
      <c r="L25" s="1417">
        <v>0</v>
      </c>
      <c r="M25" s="1418">
        <f t="shared" si="17"/>
        <v>0</v>
      </c>
      <c r="N25" s="1379" t="str">
        <f t="shared" si="18"/>
        <v/>
      </c>
      <c r="O25" s="1401">
        <v>0</v>
      </c>
      <c r="P25" s="1402">
        <f t="shared" si="19"/>
        <v>0</v>
      </c>
      <c r="Q25" s="1394" t="str">
        <f t="shared" si="20"/>
        <v/>
      </c>
      <c r="R25" s="1417">
        <v>0</v>
      </c>
      <c r="S25" s="1418">
        <f t="shared" si="21"/>
        <v>0</v>
      </c>
      <c r="T25" s="1379" t="str">
        <f t="shared" si="22"/>
        <v/>
      </c>
      <c r="U25" s="1382">
        <f t="shared" ref="U25:V37" si="25">SUM(I25,L25,O25,R25)</f>
        <v>0</v>
      </c>
      <c r="V25" s="1382">
        <f t="shared" si="25"/>
        <v>0</v>
      </c>
      <c r="W25" s="1419">
        <f t="shared" si="23"/>
        <v>0</v>
      </c>
      <c r="X25" s="1382">
        <f t="shared" si="24"/>
        <v>0</v>
      </c>
      <c r="Y25" s="1426" t="s">
        <v>2498</v>
      </c>
      <c r="Z25" s="1426" t="s">
        <v>2130</v>
      </c>
      <c r="AA25" s="1427" t="s">
        <v>2131</v>
      </c>
      <c r="AB25" s="1427" t="s">
        <v>2132</v>
      </c>
      <c r="AC25" s="1356" t="s">
        <v>542</v>
      </c>
      <c r="AD25" s="1372" t="s">
        <v>2133</v>
      </c>
      <c r="AE25" s="1440" t="s">
        <v>2499</v>
      </c>
      <c r="AF25" s="1410">
        <f t="shared" si="1"/>
        <v>0</v>
      </c>
      <c r="AG25" s="1410"/>
      <c r="AH25" s="1395"/>
      <c r="AI25" s="1395"/>
      <c r="AJ25" s="1421">
        <f t="shared" si="2"/>
        <v>0</v>
      </c>
      <c r="AK25" s="1421"/>
      <c r="AL25" s="1389"/>
      <c r="AM25" s="1390"/>
      <c r="AN25" s="1410">
        <f t="shared" si="3"/>
        <v>0</v>
      </c>
      <c r="AO25" s="1410"/>
      <c r="AP25" s="1395"/>
      <c r="AQ25" s="1395"/>
      <c r="AR25" s="1421">
        <f t="shared" si="4"/>
        <v>0</v>
      </c>
      <c r="AS25" s="1421"/>
      <c r="AT25" s="1424"/>
      <c r="AU25" s="1424"/>
    </row>
    <row r="26" spans="1:47" ht="169.35" customHeight="1" thickBot="1">
      <c r="A26" s="1531"/>
      <c r="B26" s="1531"/>
      <c r="C26" s="1531"/>
      <c r="D26" s="1390">
        <v>3</v>
      </c>
      <c r="E26" s="1372" t="s">
        <v>2500</v>
      </c>
      <c r="F26" s="1435">
        <v>0</v>
      </c>
      <c r="G26" s="1356" t="s">
        <v>537</v>
      </c>
      <c r="H26" s="1356" t="s">
        <v>532</v>
      </c>
      <c r="I26" s="1401">
        <v>0</v>
      </c>
      <c r="J26" s="1402">
        <f t="shared" si="15"/>
        <v>0</v>
      </c>
      <c r="K26" s="1394" t="str">
        <f t="shared" si="16"/>
        <v/>
      </c>
      <c r="L26" s="1417">
        <v>0</v>
      </c>
      <c r="M26" s="1418">
        <f t="shared" si="17"/>
        <v>0</v>
      </c>
      <c r="N26" s="1379" t="str">
        <f t="shared" si="18"/>
        <v/>
      </c>
      <c r="O26" s="1401">
        <v>0</v>
      </c>
      <c r="P26" s="1402">
        <f t="shared" si="19"/>
        <v>0</v>
      </c>
      <c r="Q26" s="1394" t="str">
        <f t="shared" si="20"/>
        <v/>
      </c>
      <c r="R26" s="1417">
        <v>0</v>
      </c>
      <c r="S26" s="1418">
        <f t="shared" si="21"/>
        <v>0</v>
      </c>
      <c r="T26" s="1379" t="str">
        <f t="shared" si="22"/>
        <v/>
      </c>
      <c r="U26" s="1382">
        <f t="shared" si="25"/>
        <v>0</v>
      </c>
      <c r="V26" s="1382">
        <f t="shared" si="25"/>
        <v>0</v>
      </c>
      <c r="W26" s="1382">
        <f t="shared" si="23"/>
        <v>0</v>
      </c>
      <c r="X26" s="1382">
        <f t="shared" si="24"/>
        <v>0</v>
      </c>
      <c r="Y26" s="1426" t="s">
        <v>2501</v>
      </c>
      <c r="Z26" s="1426" t="s">
        <v>2137</v>
      </c>
      <c r="AA26" s="1427" t="s">
        <v>2131</v>
      </c>
      <c r="AB26" s="1427" t="s">
        <v>2138</v>
      </c>
      <c r="AC26" s="1356" t="s">
        <v>542</v>
      </c>
      <c r="AD26" s="1372" t="s">
        <v>2133</v>
      </c>
      <c r="AE26" s="1372" t="s">
        <v>2502</v>
      </c>
      <c r="AF26" s="1410">
        <f t="shared" si="1"/>
        <v>0</v>
      </c>
      <c r="AG26" s="1410"/>
      <c r="AH26" s="1395"/>
      <c r="AI26" s="1395"/>
      <c r="AJ26" s="1421">
        <f t="shared" si="2"/>
        <v>0</v>
      </c>
      <c r="AK26" s="1421"/>
      <c r="AL26" s="1389"/>
      <c r="AM26" s="1390"/>
      <c r="AN26" s="1410">
        <f t="shared" si="3"/>
        <v>0</v>
      </c>
      <c r="AO26" s="1410"/>
      <c r="AP26" s="1395"/>
      <c r="AQ26" s="1395"/>
      <c r="AR26" s="1421">
        <f t="shared" si="4"/>
        <v>0</v>
      </c>
      <c r="AS26" s="1421"/>
      <c r="AT26" s="1393"/>
      <c r="AU26" s="1393"/>
    </row>
    <row r="27" spans="1:47" ht="192.6" customHeight="1" thickBot="1">
      <c r="A27" s="1531"/>
      <c r="B27" s="1531"/>
      <c r="C27" s="1531"/>
      <c r="D27" s="1390">
        <v>4</v>
      </c>
      <c r="E27" s="1372" t="s">
        <v>2503</v>
      </c>
      <c r="F27" s="1435">
        <v>0</v>
      </c>
      <c r="G27" s="1356" t="s">
        <v>537</v>
      </c>
      <c r="H27" s="1356" t="s">
        <v>532</v>
      </c>
      <c r="I27" s="1401">
        <v>0</v>
      </c>
      <c r="J27" s="1436">
        <f t="shared" si="15"/>
        <v>0</v>
      </c>
      <c r="K27" s="1394" t="str">
        <f t="shared" si="16"/>
        <v/>
      </c>
      <c r="L27" s="1417">
        <v>0</v>
      </c>
      <c r="M27" s="1437">
        <f t="shared" si="17"/>
        <v>0</v>
      </c>
      <c r="N27" s="1379" t="str">
        <f t="shared" si="18"/>
        <v/>
      </c>
      <c r="O27" s="1401">
        <v>0</v>
      </c>
      <c r="P27" s="1436">
        <f t="shared" si="19"/>
        <v>0</v>
      </c>
      <c r="Q27" s="1394" t="str">
        <f t="shared" si="20"/>
        <v/>
      </c>
      <c r="R27" s="1417">
        <v>0</v>
      </c>
      <c r="S27" s="1437">
        <f t="shared" si="21"/>
        <v>0</v>
      </c>
      <c r="T27" s="1379" t="str">
        <f t="shared" si="22"/>
        <v/>
      </c>
      <c r="U27" s="1438">
        <f t="shared" si="25"/>
        <v>0</v>
      </c>
      <c r="V27" s="1438">
        <f t="shared" si="25"/>
        <v>0</v>
      </c>
      <c r="W27" s="1382">
        <f t="shared" si="23"/>
        <v>0</v>
      </c>
      <c r="X27" s="1382">
        <f t="shared" si="24"/>
        <v>0</v>
      </c>
      <c r="Y27" s="1426" t="s">
        <v>2504</v>
      </c>
      <c r="Z27" s="1426" t="s">
        <v>2142</v>
      </c>
      <c r="AA27" s="1427" t="s">
        <v>2143</v>
      </c>
      <c r="AB27" s="1427" t="s">
        <v>2144</v>
      </c>
      <c r="AC27" s="1356" t="s">
        <v>542</v>
      </c>
      <c r="AD27" s="1372" t="s">
        <v>2133</v>
      </c>
      <c r="AE27" s="1372" t="s">
        <v>2505</v>
      </c>
      <c r="AF27" s="1410">
        <f t="shared" si="1"/>
        <v>0</v>
      </c>
      <c r="AG27" s="1410"/>
      <c r="AH27" s="1395"/>
      <c r="AI27" s="1395"/>
      <c r="AJ27" s="1421">
        <f t="shared" si="2"/>
        <v>0</v>
      </c>
      <c r="AK27" s="1421"/>
      <c r="AL27" s="1429"/>
      <c r="AM27" s="1432"/>
      <c r="AN27" s="1410">
        <f t="shared" si="3"/>
        <v>0</v>
      </c>
      <c r="AO27" s="1410"/>
      <c r="AP27" s="1395"/>
      <c r="AQ27" s="1395"/>
      <c r="AR27" s="1421">
        <f t="shared" si="4"/>
        <v>0</v>
      </c>
      <c r="AS27" s="1421"/>
      <c r="AT27" s="1432"/>
      <c r="AU27" s="1432"/>
    </row>
    <row r="28" spans="1:47" ht="212.65" customHeight="1" thickBot="1">
      <c r="A28" s="1531"/>
      <c r="B28" s="1531"/>
      <c r="C28" s="1531"/>
      <c r="D28" s="1390">
        <v>5</v>
      </c>
      <c r="E28" s="1356" t="s">
        <v>2506</v>
      </c>
      <c r="F28" s="1435">
        <v>0.04</v>
      </c>
      <c r="G28" s="1356" t="s">
        <v>538</v>
      </c>
      <c r="H28" s="1356" t="s">
        <v>532</v>
      </c>
      <c r="I28" s="1374">
        <v>15</v>
      </c>
      <c r="J28" s="1441">
        <f t="shared" si="15"/>
        <v>0</v>
      </c>
      <c r="K28" s="1394">
        <f t="shared" si="16"/>
        <v>0</v>
      </c>
      <c r="L28" s="1377">
        <v>23</v>
      </c>
      <c r="M28" s="1442">
        <f t="shared" si="17"/>
        <v>0</v>
      </c>
      <c r="N28" s="1379">
        <f t="shared" si="18"/>
        <v>0</v>
      </c>
      <c r="O28" s="1374">
        <v>23</v>
      </c>
      <c r="P28" s="1441">
        <f t="shared" si="19"/>
        <v>0</v>
      </c>
      <c r="Q28" s="1394">
        <f t="shared" si="20"/>
        <v>0</v>
      </c>
      <c r="R28" s="1377">
        <v>23</v>
      </c>
      <c r="S28" s="1442">
        <f t="shared" si="21"/>
        <v>0</v>
      </c>
      <c r="T28" s="1379">
        <f t="shared" si="22"/>
        <v>0</v>
      </c>
      <c r="U28" s="1443">
        <f t="shared" si="25"/>
        <v>84</v>
      </c>
      <c r="V28" s="1443">
        <f t="shared" si="25"/>
        <v>0</v>
      </c>
      <c r="W28" s="1382">
        <f t="shared" si="23"/>
        <v>0</v>
      </c>
      <c r="X28" s="1382">
        <f t="shared" si="24"/>
        <v>0</v>
      </c>
      <c r="Y28" s="1426" t="s">
        <v>2147</v>
      </c>
      <c r="Z28" s="1426" t="s">
        <v>2507</v>
      </c>
      <c r="AA28" s="1427" t="s">
        <v>2149</v>
      </c>
      <c r="AB28" s="1426" t="s">
        <v>2150</v>
      </c>
      <c r="AC28" s="1356" t="s">
        <v>542</v>
      </c>
      <c r="AD28" s="1372" t="s">
        <v>2133</v>
      </c>
      <c r="AE28" s="1372" t="s">
        <v>2508</v>
      </c>
      <c r="AF28" s="1444">
        <f t="shared" si="1"/>
        <v>15</v>
      </c>
      <c r="AG28" s="1444"/>
      <c r="AH28" s="1395"/>
      <c r="AI28" s="1395"/>
      <c r="AJ28" s="1445">
        <f t="shared" si="2"/>
        <v>23</v>
      </c>
      <c r="AK28" s="1445"/>
      <c r="AL28" s="1439"/>
      <c r="AM28" s="1432"/>
      <c r="AN28" s="1444">
        <f t="shared" si="3"/>
        <v>23</v>
      </c>
      <c r="AO28" s="1444"/>
      <c r="AP28" s="1395"/>
      <c r="AQ28" s="1395"/>
      <c r="AR28" s="1445">
        <f t="shared" si="4"/>
        <v>23</v>
      </c>
      <c r="AS28" s="1445"/>
      <c r="AT28" s="1424"/>
      <c r="AU28" s="1424"/>
    </row>
    <row r="29" spans="1:47" ht="212.65" customHeight="1" thickBot="1">
      <c r="A29" s="1531"/>
      <c r="B29" s="1531"/>
      <c r="C29" s="1531"/>
      <c r="D29" s="1390">
        <v>6</v>
      </c>
      <c r="E29" s="1356" t="s">
        <v>2509</v>
      </c>
      <c r="F29" s="1435">
        <v>0.04</v>
      </c>
      <c r="G29" s="1356" t="s">
        <v>537</v>
      </c>
      <c r="H29" s="1356" t="s">
        <v>532</v>
      </c>
      <c r="I29" s="1401">
        <v>0.03</v>
      </c>
      <c r="J29" s="1402">
        <f t="shared" si="15"/>
        <v>0</v>
      </c>
      <c r="K29" s="1394">
        <f t="shared" si="16"/>
        <v>0</v>
      </c>
      <c r="L29" s="1417">
        <v>0.04</v>
      </c>
      <c r="M29" s="1418">
        <f t="shared" si="17"/>
        <v>0</v>
      </c>
      <c r="N29" s="1379">
        <f t="shared" si="18"/>
        <v>0</v>
      </c>
      <c r="O29" s="1401">
        <v>0.04</v>
      </c>
      <c r="P29" s="1402">
        <f t="shared" si="19"/>
        <v>0</v>
      </c>
      <c r="Q29" s="1394">
        <f t="shared" si="20"/>
        <v>0</v>
      </c>
      <c r="R29" s="1417">
        <v>0.02</v>
      </c>
      <c r="S29" s="1418">
        <f t="shared" si="21"/>
        <v>0</v>
      </c>
      <c r="T29" s="1379">
        <f t="shared" si="22"/>
        <v>0</v>
      </c>
      <c r="U29" s="1382">
        <f t="shared" si="25"/>
        <v>0.13</v>
      </c>
      <c r="V29" s="1382">
        <f t="shared" si="25"/>
        <v>0</v>
      </c>
      <c r="W29" s="1382">
        <f t="shared" si="23"/>
        <v>0</v>
      </c>
      <c r="X29" s="1382">
        <f t="shared" si="24"/>
        <v>0</v>
      </c>
      <c r="Y29" s="1426" t="s">
        <v>2510</v>
      </c>
      <c r="Z29" s="1426" t="s">
        <v>2159</v>
      </c>
      <c r="AA29" s="1427" t="s">
        <v>2160</v>
      </c>
      <c r="AB29" s="1427" t="s">
        <v>2161</v>
      </c>
      <c r="AC29" s="1356" t="s">
        <v>542</v>
      </c>
      <c r="AD29" s="1372" t="s">
        <v>2133</v>
      </c>
      <c r="AE29" s="1372" t="s">
        <v>2511</v>
      </c>
      <c r="AF29" s="1410">
        <f t="shared" si="1"/>
        <v>0.03</v>
      </c>
      <c r="AG29" s="1410"/>
      <c r="AH29" s="1395"/>
      <c r="AI29" s="1395"/>
      <c r="AJ29" s="1421">
        <f t="shared" si="2"/>
        <v>0.04</v>
      </c>
      <c r="AK29" s="1421"/>
      <c r="AL29" s="1439"/>
      <c r="AM29" s="1432"/>
      <c r="AN29" s="1410">
        <f t="shared" si="3"/>
        <v>0.04</v>
      </c>
      <c r="AO29" s="1410"/>
      <c r="AP29" s="1395"/>
      <c r="AQ29" s="1395"/>
      <c r="AR29" s="1421">
        <f t="shared" si="4"/>
        <v>0.02</v>
      </c>
      <c r="AS29" s="1421"/>
      <c r="AT29" s="1424"/>
      <c r="AU29" s="1424"/>
    </row>
    <row r="30" spans="1:47" ht="212.65" customHeight="1" thickBot="1">
      <c r="A30" s="1531"/>
      <c r="B30" s="1531"/>
      <c r="C30" s="1531"/>
      <c r="D30" s="1390">
        <v>7</v>
      </c>
      <c r="E30" s="1356" t="s">
        <v>2167</v>
      </c>
      <c r="F30" s="1435">
        <v>0.04</v>
      </c>
      <c r="G30" s="1356" t="s">
        <v>538</v>
      </c>
      <c r="H30" s="1356" t="s">
        <v>532</v>
      </c>
      <c r="I30" s="1374">
        <v>15</v>
      </c>
      <c r="J30" s="1441">
        <f t="shared" si="15"/>
        <v>0</v>
      </c>
      <c r="K30" s="1394">
        <f t="shared" si="16"/>
        <v>0</v>
      </c>
      <c r="L30" s="1377">
        <v>30</v>
      </c>
      <c r="M30" s="1442">
        <f t="shared" si="17"/>
        <v>0</v>
      </c>
      <c r="N30" s="1379">
        <f t="shared" si="18"/>
        <v>0</v>
      </c>
      <c r="O30" s="1374">
        <v>30</v>
      </c>
      <c r="P30" s="1441">
        <f t="shared" si="19"/>
        <v>0</v>
      </c>
      <c r="Q30" s="1394">
        <f t="shared" si="20"/>
        <v>0</v>
      </c>
      <c r="R30" s="1377">
        <v>25</v>
      </c>
      <c r="S30" s="1442">
        <f t="shared" si="21"/>
        <v>0</v>
      </c>
      <c r="T30" s="1379">
        <f t="shared" si="22"/>
        <v>0</v>
      </c>
      <c r="U30" s="1443">
        <f t="shared" si="25"/>
        <v>100</v>
      </c>
      <c r="V30" s="1443">
        <f t="shared" si="25"/>
        <v>0</v>
      </c>
      <c r="W30" s="1382">
        <f t="shared" si="23"/>
        <v>0</v>
      </c>
      <c r="X30" s="1382">
        <f t="shared" si="24"/>
        <v>0</v>
      </c>
      <c r="Y30" s="1426" t="s">
        <v>2168</v>
      </c>
      <c r="Z30" s="1426" t="s">
        <v>2512</v>
      </c>
      <c r="AA30" s="1427" t="s">
        <v>2149</v>
      </c>
      <c r="AB30" s="1427" t="s">
        <v>2150</v>
      </c>
      <c r="AC30" s="1356" t="s">
        <v>542</v>
      </c>
      <c r="AD30" s="1372" t="s">
        <v>2133</v>
      </c>
      <c r="AE30" s="1372" t="s">
        <v>2513</v>
      </c>
      <c r="AF30" s="1444">
        <f t="shared" si="1"/>
        <v>15</v>
      </c>
      <c r="AG30" s="1444"/>
      <c r="AH30" s="1395"/>
      <c r="AI30" s="1395"/>
      <c r="AJ30" s="1445">
        <f t="shared" si="2"/>
        <v>30</v>
      </c>
      <c r="AK30" s="1445"/>
      <c r="AL30" s="1429"/>
      <c r="AM30" s="1432"/>
      <c r="AN30" s="1444">
        <f t="shared" si="3"/>
        <v>30</v>
      </c>
      <c r="AO30" s="1444"/>
      <c r="AP30" s="1395"/>
      <c r="AQ30" s="1395"/>
      <c r="AR30" s="1445">
        <f t="shared" si="4"/>
        <v>25</v>
      </c>
      <c r="AS30" s="1445"/>
      <c r="AT30" s="1424"/>
      <c r="AU30" s="1424"/>
    </row>
    <row r="31" spans="1:47" ht="212.65" customHeight="1" thickBot="1">
      <c r="A31" s="1531"/>
      <c r="B31" s="1531"/>
      <c r="C31" s="1531"/>
      <c r="D31" s="1446">
        <v>8</v>
      </c>
      <c r="E31" s="1356" t="s">
        <v>2514</v>
      </c>
      <c r="F31" s="1435">
        <v>0</v>
      </c>
      <c r="G31" s="1356" t="s">
        <v>537</v>
      </c>
      <c r="H31" s="1356" t="s">
        <v>532</v>
      </c>
      <c r="I31" s="1401">
        <v>0</v>
      </c>
      <c r="J31" s="1402">
        <f t="shared" si="15"/>
        <v>0</v>
      </c>
      <c r="K31" s="1394" t="str">
        <f t="shared" si="16"/>
        <v/>
      </c>
      <c r="L31" s="1417">
        <v>0</v>
      </c>
      <c r="M31" s="1418">
        <f t="shared" si="17"/>
        <v>0</v>
      </c>
      <c r="N31" s="1379" t="str">
        <f t="shared" si="18"/>
        <v/>
      </c>
      <c r="O31" s="1401">
        <v>0</v>
      </c>
      <c r="P31" s="1402">
        <f t="shared" si="19"/>
        <v>0</v>
      </c>
      <c r="Q31" s="1394" t="str">
        <f t="shared" si="20"/>
        <v/>
      </c>
      <c r="R31" s="1417">
        <v>0</v>
      </c>
      <c r="S31" s="1418">
        <f t="shared" si="21"/>
        <v>0</v>
      </c>
      <c r="T31" s="1379" t="str">
        <f t="shared" si="22"/>
        <v/>
      </c>
      <c r="U31" s="1382">
        <f t="shared" si="25"/>
        <v>0</v>
      </c>
      <c r="V31" s="1382">
        <f t="shared" si="25"/>
        <v>0</v>
      </c>
      <c r="W31" s="1382">
        <f t="shared" si="23"/>
        <v>0</v>
      </c>
      <c r="X31" s="1382">
        <f t="shared" si="24"/>
        <v>0</v>
      </c>
      <c r="Y31" s="1426" t="s">
        <v>2515</v>
      </c>
      <c r="Z31" s="1426" t="s">
        <v>2516</v>
      </c>
      <c r="AA31" s="1427" t="s">
        <v>2517</v>
      </c>
      <c r="AB31" s="1426" t="s">
        <v>2518</v>
      </c>
      <c r="AC31" s="1356" t="s">
        <v>542</v>
      </c>
      <c r="AD31" s="1372" t="s">
        <v>2133</v>
      </c>
      <c r="AE31" s="1440" t="s">
        <v>2519</v>
      </c>
      <c r="AF31" s="1410">
        <f t="shared" si="1"/>
        <v>0</v>
      </c>
      <c r="AG31" s="1410"/>
      <c r="AH31" s="1395"/>
      <c r="AI31" s="1395"/>
      <c r="AJ31" s="1421">
        <f t="shared" si="2"/>
        <v>0</v>
      </c>
      <c r="AK31" s="1421"/>
      <c r="AL31" s="1439"/>
      <c r="AM31" s="1432"/>
      <c r="AN31" s="1410">
        <f t="shared" si="3"/>
        <v>0</v>
      </c>
      <c r="AO31" s="1410"/>
      <c r="AP31" s="1395"/>
      <c r="AQ31" s="1395"/>
      <c r="AR31" s="1421">
        <f t="shared" si="4"/>
        <v>0</v>
      </c>
      <c r="AS31" s="1421"/>
      <c r="AT31" s="1424"/>
      <c r="AU31" s="1424"/>
    </row>
    <row r="32" spans="1:47" ht="212.65" customHeight="1" thickBot="1">
      <c r="A32" s="1531"/>
      <c r="B32" s="1531"/>
      <c r="C32" s="1531"/>
      <c r="D32" s="1390">
        <v>9</v>
      </c>
      <c r="E32" s="1356" t="s">
        <v>2520</v>
      </c>
      <c r="F32" s="1435">
        <v>0.04</v>
      </c>
      <c r="G32" s="1356" t="s">
        <v>537</v>
      </c>
      <c r="H32" s="1356" t="s">
        <v>532</v>
      </c>
      <c r="I32" s="1401">
        <v>0.13</v>
      </c>
      <c r="J32" s="1402">
        <f t="shared" si="15"/>
        <v>0</v>
      </c>
      <c r="K32" s="1394">
        <f t="shared" si="16"/>
        <v>0</v>
      </c>
      <c r="L32" s="1417">
        <v>0.18</v>
      </c>
      <c r="M32" s="1418">
        <f t="shared" si="17"/>
        <v>0</v>
      </c>
      <c r="N32" s="1379">
        <f t="shared" si="18"/>
        <v>0</v>
      </c>
      <c r="O32" s="1401">
        <v>0.18</v>
      </c>
      <c r="P32" s="1402">
        <f t="shared" si="19"/>
        <v>0</v>
      </c>
      <c r="Q32" s="1394">
        <f t="shared" si="20"/>
        <v>0</v>
      </c>
      <c r="R32" s="1417">
        <v>0.11</v>
      </c>
      <c r="S32" s="1418">
        <f t="shared" si="21"/>
        <v>0</v>
      </c>
      <c r="T32" s="1379">
        <f t="shared" si="22"/>
        <v>0</v>
      </c>
      <c r="U32" s="1382">
        <f t="shared" si="25"/>
        <v>0.6</v>
      </c>
      <c r="V32" s="1382">
        <f t="shared" si="25"/>
        <v>0</v>
      </c>
      <c r="W32" s="1382">
        <f t="shared" si="23"/>
        <v>0</v>
      </c>
      <c r="X32" s="1382">
        <f t="shared" si="24"/>
        <v>0</v>
      </c>
      <c r="Y32" s="1426" t="s">
        <v>2521</v>
      </c>
      <c r="Z32" s="1426" t="s">
        <v>2522</v>
      </c>
      <c r="AA32" s="1427" t="s">
        <v>2523</v>
      </c>
      <c r="AB32" s="1426" t="s">
        <v>2524</v>
      </c>
      <c r="AC32" s="1356" t="s">
        <v>542</v>
      </c>
      <c r="AD32" s="1372" t="s">
        <v>2133</v>
      </c>
      <c r="AE32" s="1372" t="s">
        <v>2525</v>
      </c>
      <c r="AF32" s="1410">
        <f t="shared" si="1"/>
        <v>0.13</v>
      </c>
      <c r="AG32" s="1410"/>
      <c r="AH32" s="1395"/>
      <c r="AI32" s="1395"/>
      <c r="AJ32" s="1421">
        <f t="shared" si="2"/>
        <v>0.18</v>
      </c>
      <c r="AK32" s="1421"/>
      <c r="AL32" s="1439"/>
      <c r="AM32" s="1432"/>
      <c r="AN32" s="1410">
        <f t="shared" si="3"/>
        <v>0.18</v>
      </c>
      <c r="AO32" s="1410"/>
      <c r="AP32" s="1395"/>
      <c r="AQ32" s="1395"/>
      <c r="AR32" s="1421">
        <f t="shared" si="4"/>
        <v>0.11</v>
      </c>
      <c r="AS32" s="1421"/>
      <c r="AT32" s="1424"/>
      <c r="AU32" s="1424"/>
    </row>
    <row r="33" spans="1:47" ht="212.65" customHeight="1" thickBot="1">
      <c r="A33" s="1531"/>
      <c r="B33" s="1531"/>
      <c r="C33" s="1531"/>
      <c r="D33" s="1390">
        <v>10</v>
      </c>
      <c r="E33" s="1356" t="s">
        <v>2191</v>
      </c>
      <c r="F33" s="1435">
        <v>0.04</v>
      </c>
      <c r="G33" s="1356" t="s">
        <v>538</v>
      </c>
      <c r="H33" s="1356" t="s">
        <v>532</v>
      </c>
      <c r="I33" s="1374">
        <v>5</v>
      </c>
      <c r="J33" s="1441">
        <f t="shared" si="15"/>
        <v>0</v>
      </c>
      <c r="K33" s="1394">
        <f t="shared" si="16"/>
        <v>0</v>
      </c>
      <c r="L33" s="1377">
        <v>6</v>
      </c>
      <c r="M33" s="1442">
        <f t="shared" si="17"/>
        <v>0</v>
      </c>
      <c r="N33" s="1379">
        <f t="shared" si="18"/>
        <v>0</v>
      </c>
      <c r="O33" s="1374">
        <v>6</v>
      </c>
      <c r="P33" s="1441">
        <f t="shared" si="19"/>
        <v>0</v>
      </c>
      <c r="Q33" s="1394">
        <f t="shared" si="20"/>
        <v>0</v>
      </c>
      <c r="R33" s="1377">
        <v>5</v>
      </c>
      <c r="S33" s="1442">
        <f t="shared" si="21"/>
        <v>0</v>
      </c>
      <c r="T33" s="1379">
        <f t="shared" si="22"/>
        <v>0</v>
      </c>
      <c r="U33" s="1443">
        <f t="shared" si="25"/>
        <v>22</v>
      </c>
      <c r="V33" s="1443">
        <f t="shared" si="25"/>
        <v>0</v>
      </c>
      <c r="W33" s="1382">
        <f t="shared" si="23"/>
        <v>0</v>
      </c>
      <c r="X33" s="1382">
        <f t="shared" si="24"/>
        <v>0</v>
      </c>
      <c r="Y33" s="1426" t="s">
        <v>2192</v>
      </c>
      <c r="Z33" s="1426" t="s">
        <v>2193</v>
      </c>
      <c r="AA33" s="1427" t="s">
        <v>2194</v>
      </c>
      <c r="AB33" s="1426" t="s">
        <v>2195</v>
      </c>
      <c r="AC33" s="1356" t="s">
        <v>542</v>
      </c>
      <c r="AD33" s="1177" t="s">
        <v>2196</v>
      </c>
      <c r="AE33" s="1372" t="s">
        <v>2197</v>
      </c>
      <c r="AF33" s="1444">
        <f t="shared" si="1"/>
        <v>5</v>
      </c>
      <c r="AG33" s="1444"/>
      <c r="AH33" s="1395"/>
      <c r="AI33" s="1395"/>
      <c r="AJ33" s="1445">
        <f t="shared" si="2"/>
        <v>6</v>
      </c>
      <c r="AK33" s="1445"/>
      <c r="AL33" s="1439"/>
      <c r="AM33" s="1432"/>
      <c r="AN33" s="1444">
        <f t="shared" si="3"/>
        <v>6</v>
      </c>
      <c r="AO33" s="1444"/>
      <c r="AP33" s="1395"/>
      <c r="AQ33" s="1395"/>
      <c r="AR33" s="1445">
        <f t="shared" si="4"/>
        <v>5</v>
      </c>
      <c r="AS33" s="1445"/>
      <c r="AT33" s="1424"/>
      <c r="AU33" s="1424"/>
    </row>
    <row r="34" spans="1:47" ht="127.5" customHeight="1" thickBot="1">
      <c r="A34" s="1531"/>
      <c r="B34" s="1531"/>
      <c r="C34" s="1531"/>
      <c r="D34" s="1390">
        <v>11</v>
      </c>
      <c r="E34" s="1356" t="s">
        <v>2202</v>
      </c>
      <c r="F34" s="1435">
        <v>0.04</v>
      </c>
      <c r="G34" s="1356" t="s">
        <v>538</v>
      </c>
      <c r="H34" s="1356" t="s">
        <v>532</v>
      </c>
      <c r="I34" s="1374">
        <v>0</v>
      </c>
      <c r="J34" s="1441">
        <f t="shared" si="15"/>
        <v>0</v>
      </c>
      <c r="K34" s="1394" t="str">
        <f t="shared" si="16"/>
        <v/>
      </c>
      <c r="L34" s="1377">
        <v>1</v>
      </c>
      <c r="M34" s="1442">
        <f t="shared" si="17"/>
        <v>0</v>
      </c>
      <c r="N34" s="1379">
        <f t="shared" si="18"/>
        <v>0</v>
      </c>
      <c r="O34" s="1374">
        <v>1</v>
      </c>
      <c r="P34" s="1441">
        <f t="shared" si="19"/>
        <v>0</v>
      </c>
      <c r="Q34" s="1394">
        <f t="shared" si="20"/>
        <v>0</v>
      </c>
      <c r="R34" s="1377">
        <v>1</v>
      </c>
      <c r="S34" s="1442">
        <f t="shared" si="21"/>
        <v>0</v>
      </c>
      <c r="T34" s="1379">
        <f t="shared" si="22"/>
        <v>0</v>
      </c>
      <c r="U34" s="1443">
        <f t="shared" si="25"/>
        <v>3</v>
      </c>
      <c r="V34" s="1443">
        <f t="shared" si="25"/>
        <v>0</v>
      </c>
      <c r="W34" s="1382">
        <f t="shared" si="23"/>
        <v>0</v>
      </c>
      <c r="X34" s="1382">
        <f t="shared" si="24"/>
        <v>0</v>
      </c>
      <c r="Y34" s="1426" t="s">
        <v>2203</v>
      </c>
      <c r="Z34" s="1426" t="s">
        <v>2204</v>
      </c>
      <c r="AA34" s="1427" t="s">
        <v>2194</v>
      </c>
      <c r="AB34" s="1426" t="s">
        <v>2195</v>
      </c>
      <c r="AC34" s="1356" t="s">
        <v>542</v>
      </c>
      <c r="AD34" s="1177" t="s">
        <v>2196</v>
      </c>
      <c r="AE34" s="1372" t="s">
        <v>2205</v>
      </c>
      <c r="AF34" s="1444">
        <f t="shared" si="1"/>
        <v>0</v>
      </c>
      <c r="AG34" s="1444"/>
      <c r="AH34" s="1411"/>
      <c r="AI34" s="1411"/>
      <c r="AJ34" s="1445">
        <f t="shared" si="2"/>
        <v>1</v>
      </c>
      <c r="AK34" s="1445"/>
      <c r="AL34" s="1389"/>
      <c r="AM34" s="1390"/>
      <c r="AN34" s="1444">
        <f t="shared" si="3"/>
        <v>1</v>
      </c>
      <c r="AO34" s="1444"/>
      <c r="AP34" s="1411"/>
      <c r="AQ34" s="1411"/>
      <c r="AR34" s="1445">
        <f t="shared" si="4"/>
        <v>1</v>
      </c>
      <c r="AS34" s="1445"/>
      <c r="AT34" s="1414"/>
      <c r="AU34" s="1414"/>
    </row>
    <row r="35" spans="1:47" s="980" customFormat="1" ht="141.19999999999999" customHeight="1" thickTop="1" thickBot="1">
      <c r="A35" s="1531"/>
      <c r="B35" s="1531"/>
      <c r="C35" s="1531"/>
      <c r="D35" s="1390">
        <v>12</v>
      </c>
      <c r="E35" s="1356" t="s">
        <v>2526</v>
      </c>
      <c r="F35" s="1435">
        <v>0.03</v>
      </c>
      <c r="G35" s="1356" t="s">
        <v>538</v>
      </c>
      <c r="H35" s="1356" t="s">
        <v>532</v>
      </c>
      <c r="I35" s="1374">
        <v>10</v>
      </c>
      <c r="J35" s="1441">
        <f t="shared" si="15"/>
        <v>0</v>
      </c>
      <c r="K35" s="1394">
        <f t="shared" si="16"/>
        <v>0</v>
      </c>
      <c r="L35" s="1377">
        <v>10</v>
      </c>
      <c r="M35" s="1442">
        <f t="shared" si="17"/>
        <v>0</v>
      </c>
      <c r="N35" s="1379">
        <f t="shared" si="18"/>
        <v>0</v>
      </c>
      <c r="O35" s="1374">
        <v>10</v>
      </c>
      <c r="P35" s="1441">
        <f t="shared" si="19"/>
        <v>0</v>
      </c>
      <c r="Q35" s="1394">
        <f t="shared" si="20"/>
        <v>0</v>
      </c>
      <c r="R35" s="1377">
        <v>10</v>
      </c>
      <c r="S35" s="1442">
        <f t="shared" si="21"/>
        <v>0</v>
      </c>
      <c r="T35" s="1379">
        <f t="shared" si="22"/>
        <v>0</v>
      </c>
      <c r="U35" s="1443">
        <f t="shared" si="25"/>
        <v>40</v>
      </c>
      <c r="V35" s="1443">
        <f t="shared" si="25"/>
        <v>0</v>
      </c>
      <c r="W35" s="1382">
        <f t="shared" si="23"/>
        <v>0</v>
      </c>
      <c r="X35" s="1382">
        <f t="shared" si="24"/>
        <v>0</v>
      </c>
      <c r="Y35" s="1385" t="s">
        <v>1833</v>
      </c>
      <c r="Z35" s="1385" t="s">
        <v>2211</v>
      </c>
      <c r="AA35" s="1385" t="s">
        <v>1834</v>
      </c>
      <c r="AB35" s="1385" t="s">
        <v>1835</v>
      </c>
      <c r="AC35" s="1356" t="s">
        <v>542</v>
      </c>
      <c r="AD35" s="1174" t="s">
        <v>2212</v>
      </c>
      <c r="AE35" s="1372" t="s">
        <v>2213</v>
      </c>
      <c r="AF35" s="1444">
        <f t="shared" si="1"/>
        <v>10</v>
      </c>
      <c r="AG35" s="1444"/>
      <c r="AH35" s="1411"/>
      <c r="AI35" s="1411"/>
      <c r="AJ35" s="1445">
        <f t="shared" si="2"/>
        <v>10</v>
      </c>
      <c r="AK35" s="1445"/>
      <c r="AL35" s="1447"/>
      <c r="AM35" s="1390"/>
      <c r="AN35" s="1444">
        <f t="shared" si="3"/>
        <v>10</v>
      </c>
      <c r="AO35" s="1444"/>
      <c r="AP35" s="1411"/>
      <c r="AQ35" s="1411"/>
      <c r="AR35" s="1445">
        <f t="shared" si="4"/>
        <v>10</v>
      </c>
      <c r="AS35" s="1445"/>
      <c r="AT35" s="1392"/>
      <c r="AU35" s="1392"/>
    </row>
    <row r="36" spans="1:47" s="980" customFormat="1" ht="162.6" customHeight="1" thickBot="1">
      <c r="A36" s="1531"/>
      <c r="B36" s="1531"/>
      <c r="C36" s="1531"/>
      <c r="D36" s="1390">
        <v>13</v>
      </c>
      <c r="E36" s="1356" t="s">
        <v>2527</v>
      </c>
      <c r="F36" s="1435">
        <v>0.04</v>
      </c>
      <c r="G36" s="1356" t="s">
        <v>538</v>
      </c>
      <c r="H36" s="1356" t="s">
        <v>532</v>
      </c>
      <c r="I36" s="1374">
        <v>10</v>
      </c>
      <c r="J36" s="1441">
        <f t="shared" si="15"/>
        <v>0</v>
      </c>
      <c r="K36" s="1394">
        <f t="shared" si="16"/>
        <v>0</v>
      </c>
      <c r="L36" s="1377">
        <v>10</v>
      </c>
      <c r="M36" s="1448">
        <f t="shared" si="17"/>
        <v>0</v>
      </c>
      <c r="N36" s="1379">
        <f t="shared" si="18"/>
        <v>0</v>
      </c>
      <c r="O36" s="1374">
        <v>10</v>
      </c>
      <c r="P36" s="1441">
        <f t="shared" si="19"/>
        <v>0</v>
      </c>
      <c r="Q36" s="1394">
        <f t="shared" si="20"/>
        <v>0</v>
      </c>
      <c r="R36" s="1377">
        <v>10</v>
      </c>
      <c r="S36" s="1448">
        <f t="shared" si="21"/>
        <v>0</v>
      </c>
      <c r="T36" s="1379">
        <f t="shared" si="22"/>
        <v>0</v>
      </c>
      <c r="U36" s="1443">
        <f t="shared" si="25"/>
        <v>40</v>
      </c>
      <c r="V36" s="1443">
        <f t="shared" si="25"/>
        <v>0</v>
      </c>
      <c r="W36" s="1382">
        <f t="shared" si="23"/>
        <v>0</v>
      </c>
      <c r="X36" s="1382">
        <f t="shared" si="24"/>
        <v>0</v>
      </c>
      <c r="Y36" s="1385" t="s">
        <v>1844</v>
      </c>
      <c r="Z36" s="1385" t="s">
        <v>2219</v>
      </c>
      <c r="AA36" s="1385" t="s">
        <v>1845</v>
      </c>
      <c r="AB36" s="1385" t="s">
        <v>1835</v>
      </c>
      <c r="AC36" s="1356" t="s">
        <v>542</v>
      </c>
      <c r="AD36" s="1185" t="s">
        <v>1847</v>
      </c>
      <c r="AE36" s="1372" t="s">
        <v>2220</v>
      </c>
      <c r="AF36" s="1444">
        <f t="shared" si="1"/>
        <v>10</v>
      </c>
      <c r="AG36" s="1444"/>
      <c r="AH36" s="1411"/>
      <c r="AI36" s="1411"/>
      <c r="AJ36" s="1449">
        <f t="shared" si="2"/>
        <v>10</v>
      </c>
      <c r="AK36" s="1450"/>
      <c r="AL36" s="1447"/>
      <c r="AM36" s="1390"/>
      <c r="AN36" s="1444">
        <f t="shared" si="3"/>
        <v>10</v>
      </c>
      <c r="AO36" s="1444"/>
      <c r="AP36" s="1411"/>
      <c r="AQ36" s="1411"/>
      <c r="AR36" s="1445">
        <f t="shared" si="4"/>
        <v>10</v>
      </c>
      <c r="AS36" s="1445"/>
      <c r="AT36" s="1392"/>
      <c r="AU36" s="1392"/>
    </row>
    <row r="37" spans="1:47" s="980" customFormat="1" ht="141.75" customHeight="1" thickBot="1">
      <c r="A37" s="1531"/>
      <c r="B37" s="1531"/>
      <c r="C37" s="1531"/>
      <c r="D37" s="1390">
        <v>14</v>
      </c>
      <c r="E37" s="1400" t="s">
        <v>2528</v>
      </c>
      <c r="F37" s="1435">
        <v>0.04</v>
      </c>
      <c r="G37" s="1356" t="s">
        <v>538</v>
      </c>
      <c r="H37" s="1356" t="s">
        <v>532</v>
      </c>
      <c r="I37" s="1374">
        <v>27</v>
      </c>
      <c r="J37" s="1441">
        <f t="shared" si="15"/>
        <v>0</v>
      </c>
      <c r="K37" s="1394">
        <f t="shared" si="16"/>
        <v>0</v>
      </c>
      <c r="L37" s="1377">
        <v>27</v>
      </c>
      <c r="M37" s="1442">
        <f t="shared" si="17"/>
        <v>0</v>
      </c>
      <c r="N37" s="1379">
        <f t="shared" si="18"/>
        <v>0</v>
      </c>
      <c r="O37" s="1374">
        <v>27</v>
      </c>
      <c r="P37" s="1441">
        <f t="shared" si="19"/>
        <v>0</v>
      </c>
      <c r="Q37" s="1394">
        <f t="shared" si="20"/>
        <v>0</v>
      </c>
      <c r="R37" s="1377">
        <v>27</v>
      </c>
      <c r="S37" s="1442">
        <f t="shared" si="21"/>
        <v>0</v>
      </c>
      <c r="T37" s="1379">
        <f t="shared" si="22"/>
        <v>0</v>
      </c>
      <c r="U37" s="1443">
        <f t="shared" si="25"/>
        <v>108</v>
      </c>
      <c r="V37" s="1443">
        <f t="shared" si="25"/>
        <v>0</v>
      </c>
      <c r="W37" s="1382">
        <f t="shared" si="23"/>
        <v>0</v>
      </c>
      <c r="X37" s="1382">
        <f t="shared" si="24"/>
        <v>0</v>
      </c>
      <c r="Y37" s="1385" t="s">
        <v>1851</v>
      </c>
      <c r="Z37" s="1385" t="s">
        <v>2225</v>
      </c>
      <c r="AA37" s="1385" t="s">
        <v>2226</v>
      </c>
      <c r="AB37" s="1385" t="s">
        <v>2227</v>
      </c>
      <c r="AC37" s="1356" t="s">
        <v>542</v>
      </c>
      <c r="AD37" s="1153" t="s">
        <v>1847</v>
      </c>
      <c r="AE37" s="1372" t="s">
        <v>2228</v>
      </c>
      <c r="AF37" s="1444">
        <f t="shared" si="1"/>
        <v>27</v>
      </c>
      <c r="AG37" s="1444"/>
      <c r="AH37" s="1411"/>
      <c r="AI37" s="1411"/>
      <c r="AJ37" s="1445">
        <f t="shared" si="2"/>
        <v>27</v>
      </c>
      <c r="AK37" s="1451"/>
      <c r="AL37" s="1447"/>
      <c r="AM37" s="1390"/>
      <c r="AN37" s="1444">
        <f t="shared" si="3"/>
        <v>27</v>
      </c>
      <c r="AO37" s="1444"/>
      <c r="AP37" s="1411"/>
      <c r="AQ37" s="1411"/>
      <c r="AR37" s="1445">
        <f t="shared" si="4"/>
        <v>27</v>
      </c>
      <c r="AS37" s="1445"/>
      <c r="AT37" s="1392"/>
      <c r="AU37" s="1392"/>
    </row>
    <row r="38" spans="1:47" ht="255" customHeight="1" thickBot="1">
      <c r="A38" s="1531"/>
      <c r="B38" s="1531"/>
      <c r="C38" s="1531"/>
      <c r="D38" s="1390">
        <v>15</v>
      </c>
      <c r="E38" s="1400" t="s">
        <v>2529</v>
      </c>
      <c r="F38" s="1435">
        <v>0.01</v>
      </c>
      <c r="G38" s="1356" t="s">
        <v>537</v>
      </c>
      <c r="H38" s="1356" t="s">
        <v>529</v>
      </c>
      <c r="I38" s="1401">
        <v>0</v>
      </c>
      <c r="J38" s="1402">
        <f t="shared" si="15"/>
        <v>0</v>
      </c>
      <c r="K38" s="1394" t="str">
        <f t="shared" si="16"/>
        <v/>
      </c>
      <c r="L38" s="1417">
        <v>0</v>
      </c>
      <c r="M38" s="1418">
        <f t="shared" si="17"/>
        <v>0</v>
      </c>
      <c r="N38" s="1379" t="str">
        <f t="shared" si="18"/>
        <v/>
      </c>
      <c r="O38" s="1401">
        <v>0</v>
      </c>
      <c r="P38" s="1402">
        <f t="shared" si="19"/>
        <v>0</v>
      </c>
      <c r="Q38" s="1394" t="str">
        <f t="shared" si="20"/>
        <v/>
      </c>
      <c r="R38" s="1417">
        <v>0.01</v>
      </c>
      <c r="S38" s="1418">
        <f t="shared" si="21"/>
        <v>0</v>
      </c>
      <c r="T38" s="1379">
        <f t="shared" si="22"/>
        <v>0</v>
      </c>
      <c r="U38" s="1382">
        <f>R38</f>
        <v>0.01</v>
      </c>
      <c r="V38" s="1382">
        <f>P38</f>
        <v>0</v>
      </c>
      <c r="W38" s="1382">
        <f t="shared" si="23"/>
        <v>0</v>
      </c>
      <c r="X38" s="1382">
        <f t="shared" si="24"/>
        <v>0</v>
      </c>
      <c r="Y38" s="1427" t="s">
        <v>2530</v>
      </c>
      <c r="Z38" s="1427" t="s">
        <v>2531</v>
      </c>
      <c r="AA38" s="1427" t="s">
        <v>2532</v>
      </c>
      <c r="AB38" s="1427" t="s">
        <v>2533</v>
      </c>
      <c r="AC38" s="1356" t="s">
        <v>540</v>
      </c>
      <c r="AD38" s="1372" t="s">
        <v>2534</v>
      </c>
      <c r="AE38" s="1372" t="s">
        <v>2237</v>
      </c>
      <c r="AF38" s="1410">
        <f t="shared" si="1"/>
        <v>0</v>
      </c>
      <c r="AG38" s="1410"/>
      <c r="AH38" s="1395"/>
      <c r="AI38" s="1395"/>
      <c r="AJ38" s="1421">
        <f t="shared" si="2"/>
        <v>0</v>
      </c>
      <c r="AK38" s="1413"/>
      <c r="AL38" s="1439"/>
      <c r="AM38" s="1390"/>
      <c r="AN38" s="1410">
        <f t="shared" si="3"/>
        <v>0</v>
      </c>
      <c r="AO38" s="1410"/>
      <c r="AP38" s="1395"/>
      <c r="AQ38" s="1395"/>
      <c r="AR38" s="1423">
        <f t="shared" si="4"/>
        <v>0.01</v>
      </c>
      <c r="AS38" s="1423"/>
      <c r="AT38" s="1452"/>
      <c r="AU38" s="1393"/>
    </row>
    <row r="39" spans="1:47" ht="204" customHeight="1" thickTop="1" thickBot="1">
      <c r="A39" s="1531"/>
      <c r="B39" s="1531"/>
      <c r="C39" s="1531"/>
      <c r="D39" s="1390">
        <v>16</v>
      </c>
      <c r="E39" s="1400" t="s">
        <v>2535</v>
      </c>
      <c r="F39" s="1435">
        <v>0.04</v>
      </c>
      <c r="G39" s="1356" t="s">
        <v>537</v>
      </c>
      <c r="H39" s="1356" t="s">
        <v>532</v>
      </c>
      <c r="I39" s="1401">
        <v>0.05</v>
      </c>
      <c r="J39" s="1402">
        <f t="shared" si="15"/>
        <v>0</v>
      </c>
      <c r="K39" s="1394">
        <f t="shared" si="16"/>
        <v>0</v>
      </c>
      <c r="L39" s="1417">
        <v>7.0000000000000007E-2</v>
      </c>
      <c r="M39" s="1418">
        <f t="shared" si="17"/>
        <v>0</v>
      </c>
      <c r="N39" s="1379">
        <f t="shared" si="18"/>
        <v>0</v>
      </c>
      <c r="O39" s="1401">
        <v>7.0000000000000007E-2</v>
      </c>
      <c r="P39" s="1402">
        <f t="shared" si="19"/>
        <v>0</v>
      </c>
      <c r="Q39" s="1394">
        <f t="shared" si="20"/>
        <v>0</v>
      </c>
      <c r="R39" s="1417">
        <v>0.06</v>
      </c>
      <c r="S39" s="1418">
        <f t="shared" si="21"/>
        <v>0</v>
      </c>
      <c r="T39" s="1379">
        <f t="shared" si="22"/>
        <v>0</v>
      </c>
      <c r="U39" s="1382">
        <f>SUM(I39,L39,O39,R39)</f>
        <v>0.25</v>
      </c>
      <c r="V39" s="1407">
        <f>SUM(J39,M39,P39,S39)</f>
        <v>0</v>
      </c>
      <c r="W39" s="1382">
        <f t="shared" si="23"/>
        <v>0</v>
      </c>
      <c r="X39" s="1382">
        <f t="shared" si="24"/>
        <v>0</v>
      </c>
      <c r="Y39" s="1427" t="s">
        <v>2536</v>
      </c>
      <c r="Z39" s="1427" t="s">
        <v>2537</v>
      </c>
      <c r="AA39" s="1427" t="s">
        <v>2538</v>
      </c>
      <c r="AB39" s="1427" t="s">
        <v>2539</v>
      </c>
      <c r="AC39" s="1356" t="s">
        <v>542</v>
      </c>
      <c r="AD39" s="1174" t="s">
        <v>2245</v>
      </c>
      <c r="AE39" s="1372" t="s">
        <v>2540</v>
      </c>
      <c r="AF39" s="1410">
        <f t="shared" si="1"/>
        <v>0.05</v>
      </c>
      <c r="AG39" s="1410"/>
      <c r="AH39" s="1395"/>
      <c r="AI39" s="1395"/>
      <c r="AJ39" s="1421">
        <f t="shared" si="2"/>
        <v>7.0000000000000007E-2</v>
      </c>
      <c r="AK39" s="1413"/>
      <c r="AL39" s="1439"/>
      <c r="AM39" s="1390"/>
      <c r="AN39" s="1410">
        <f t="shared" si="3"/>
        <v>7.0000000000000007E-2</v>
      </c>
      <c r="AO39" s="1410"/>
      <c r="AP39" s="1395"/>
      <c r="AQ39" s="1395"/>
      <c r="AR39" s="1423">
        <f t="shared" si="4"/>
        <v>0.06</v>
      </c>
      <c r="AS39" s="1423"/>
      <c r="AT39" s="1432"/>
      <c r="AU39" s="1432"/>
    </row>
    <row r="40" spans="1:47" ht="153" customHeight="1" thickBot="1">
      <c r="A40" s="1531"/>
      <c r="B40" s="1531"/>
      <c r="C40" s="1531"/>
      <c r="D40" s="1390">
        <v>17</v>
      </c>
      <c r="E40" s="1400" t="s">
        <v>2541</v>
      </c>
      <c r="F40" s="1435">
        <v>0.04</v>
      </c>
      <c r="G40" s="1356" t="s">
        <v>537</v>
      </c>
      <c r="H40" s="1356" t="s">
        <v>529</v>
      </c>
      <c r="I40" s="1401">
        <v>0.01</v>
      </c>
      <c r="J40" s="1402">
        <f t="shared" si="15"/>
        <v>0</v>
      </c>
      <c r="K40" s="1394">
        <f t="shared" si="16"/>
        <v>0</v>
      </c>
      <c r="L40" s="1417">
        <v>0.06</v>
      </c>
      <c r="M40" s="1418">
        <f t="shared" si="17"/>
        <v>0</v>
      </c>
      <c r="N40" s="1379">
        <f t="shared" si="18"/>
        <v>0</v>
      </c>
      <c r="O40" s="1401">
        <v>0.13</v>
      </c>
      <c r="P40" s="1402">
        <f t="shared" si="19"/>
        <v>0</v>
      </c>
      <c r="Q40" s="1394">
        <f t="shared" si="20"/>
        <v>0</v>
      </c>
      <c r="R40" s="1417">
        <v>0.2</v>
      </c>
      <c r="S40" s="1418">
        <f t="shared" si="21"/>
        <v>0</v>
      </c>
      <c r="T40" s="1379">
        <f t="shared" si="22"/>
        <v>0</v>
      </c>
      <c r="U40" s="1382">
        <f>R40</f>
        <v>0.2</v>
      </c>
      <c r="V40" s="1407">
        <f>P40</f>
        <v>0</v>
      </c>
      <c r="W40" s="1382">
        <f t="shared" si="23"/>
        <v>0</v>
      </c>
      <c r="X40" s="1382">
        <f t="shared" si="24"/>
        <v>0</v>
      </c>
      <c r="Y40" s="1427" t="s">
        <v>2542</v>
      </c>
      <c r="Z40" s="1427" t="s">
        <v>2543</v>
      </c>
      <c r="AA40" s="1427" t="s">
        <v>2544</v>
      </c>
      <c r="AB40" s="1427" t="s">
        <v>2545</v>
      </c>
      <c r="AC40" s="1356" t="s">
        <v>542</v>
      </c>
      <c r="AD40" s="1372" t="s">
        <v>2236</v>
      </c>
      <c r="AE40" s="1372" t="s">
        <v>2246</v>
      </c>
      <c r="AF40" s="1410">
        <f t="shared" si="1"/>
        <v>0.01</v>
      </c>
      <c r="AG40" s="1410"/>
      <c r="AH40" s="1395"/>
      <c r="AI40" s="1395"/>
      <c r="AJ40" s="1421">
        <f t="shared" si="2"/>
        <v>0.06</v>
      </c>
      <c r="AK40" s="1413"/>
      <c r="AL40" s="1429"/>
      <c r="AM40" s="1390"/>
      <c r="AN40" s="1410">
        <f t="shared" si="3"/>
        <v>0.13</v>
      </c>
      <c r="AO40" s="1410"/>
      <c r="AP40" s="1395"/>
      <c r="AQ40" s="1395"/>
      <c r="AR40" s="1423">
        <f t="shared" si="4"/>
        <v>0.2</v>
      </c>
      <c r="AS40" s="1423"/>
      <c r="AT40" s="1432"/>
      <c r="AU40" s="1432"/>
    </row>
    <row r="41" spans="1:47" ht="168" customHeight="1" thickTop="1" thickBot="1">
      <c r="A41" s="1531"/>
      <c r="B41" s="1531"/>
      <c r="C41" s="1531"/>
      <c r="D41" s="1390">
        <v>18</v>
      </c>
      <c r="E41" s="1356" t="s">
        <v>2546</v>
      </c>
      <c r="F41" s="1435">
        <v>0.02</v>
      </c>
      <c r="G41" s="1356" t="s">
        <v>538</v>
      </c>
      <c r="H41" s="1356" t="s">
        <v>531</v>
      </c>
      <c r="I41" s="1374">
        <v>15</v>
      </c>
      <c r="J41" s="1441">
        <f t="shared" si="15"/>
        <v>0</v>
      </c>
      <c r="K41" s="1453" t="str">
        <f>IF(ISERROR(I41/J41),"",(I41/J41))</f>
        <v/>
      </c>
      <c r="L41" s="1377">
        <v>15</v>
      </c>
      <c r="M41" s="1442">
        <f t="shared" si="17"/>
        <v>0</v>
      </c>
      <c r="N41" s="1454" t="str">
        <f>IF(ISERROR(L41/M41),"",(L41/M41))</f>
        <v/>
      </c>
      <c r="O41" s="1374">
        <v>15</v>
      </c>
      <c r="P41" s="1441">
        <f t="shared" si="19"/>
        <v>0</v>
      </c>
      <c r="Q41" s="1453" t="str">
        <f>IF(ISERROR(O41/P41),"",(O41/P41))</f>
        <v/>
      </c>
      <c r="R41" s="1377">
        <v>15</v>
      </c>
      <c r="S41" s="1442">
        <f t="shared" si="21"/>
        <v>0</v>
      </c>
      <c r="T41" s="1454" t="str">
        <f>IF(ISERROR(R41/S41),"",(R41/S41))</f>
        <v/>
      </c>
      <c r="U41" s="1443">
        <f>SUM(I41,L41,O41,R41)/4</f>
        <v>15</v>
      </c>
      <c r="V41" s="1443">
        <f>SUM(J41,M41,P41,S41)/4</f>
        <v>0</v>
      </c>
      <c r="W41" s="1455">
        <f>IF(SUM(K41,N41,Q41,T41)/4&gt;1,1,SUM(K41,N41,Q41,T41)/4)</f>
        <v>0</v>
      </c>
      <c r="X41" s="1455">
        <f t="shared" si="24"/>
        <v>0</v>
      </c>
      <c r="Y41" s="1427" t="s">
        <v>2547</v>
      </c>
      <c r="Z41" s="1427" t="s">
        <v>2548</v>
      </c>
      <c r="AA41" s="1427" t="s">
        <v>2549</v>
      </c>
      <c r="AB41" s="1426" t="s">
        <v>2550</v>
      </c>
      <c r="AC41" s="1356" t="s">
        <v>541</v>
      </c>
      <c r="AD41" s="1174" t="s">
        <v>2267</v>
      </c>
      <c r="AE41" s="1372" t="s">
        <v>2268</v>
      </c>
      <c r="AF41" s="1444">
        <f t="shared" si="1"/>
        <v>15</v>
      </c>
      <c r="AG41" s="1444"/>
      <c r="AH41" s="1395"/>
      <c r="AI41" s="1395"/>
      <c r="AJ41" s="1445">
        <f t="shared" si="2"/>
        <v>15</v>
      </c>
      <c r="AK41" s="1445"/>
      <c r="AL41" s="1447"/>
      <c r="AM41" s="1432"/>
      <c r="AN41" s="1444">
        <f t="shared" si="3"/>
        <v>15</v>
      </c>
      <c r="AO41" s="1444"/>
      <c r="AP41" s="1395"/>
      <c r="AQ41" s="1395"/>
      <c r="AR41" s="1449">
        <f t="shared" si="4"/>
        <v>15</v>
      </c>
      <c r="AS41" s="1449"/>
      <c r="AT41" s="1393"/>
      <c r="AU41" s="1432"/>
    </row>
    <row r="42" spans="1:47" ht="168" customHeight="1" thickTop="1" thickBot="1">
      <c r="A42" s="1531"/>
      <c r="B42" s="1531"/>
      <c r="C42" s="1531"/>
      <c r="D42" s="1390">
        <v>19</v>
      </c>
      <c r="E42" s="1356" t="s">
        <v>2551</v>
      </c>
      <c r="F42" s="1435">
        <v>0.03</v>
      </c>
      <c r="G42" s="1356" t="s">
        <v>537</v>
      </c>
      <c r="H42" s="1356" t="s">
        <v>531</v>
      </c>
      <c r="I42" s="1401">
        <v>0.7</v>
      </c>
      <c r="J42" s="1402">
        <f t="shared" si="15"/>
        <v>0</v>
      </c>
      <c r="K42" s="1394">
        <f>IF(ISERROR(J42/I42),"",(J42/I42))</f>
        <v>0</v>
      </c>
      <c r="L42" s="1417">
        <v>0.7</v>
      </c>
      <c r="M42" s="1418">
        <f t="shared" si="17"/>
        <v>0</v>
      </c>
      <c r="N42" s="1379">
        <f>IF(ISERROR(M42/L42),"",(M42/L42))</f>
        <v>0</v>
      </c>
      <c r="O42" s="1401">
        <v>0.7</v>
      </c>
      <c r="P42" s="1402">
        <f t="shared" si="19"/>
        <v>0</v>
      </c>
      <c r="Q42" s="1394">
        <f>IF(ISERROR(P42/O42),"",(P42/O42))</f>
        <v>0</v>
      </c>
      <c r="R42" s="1417">
        <v>0.7</v>
      </c>
      <c r="S42" s="1418">
        <f t="shared" si="21"/>
        <v>0</v>
      </c>
      <c r="T42" s="1379">
        <f>IF(ISERROR(S42/R42),"",(S42/R42))</f>
        <v>0</v>
      </c>
      <c r="U42" s="1382">
        <f>SUM(I42,L42,O42,R42)/4</f>
        <v>0.7</v>
      </c>
      <c r="V42" s="1382">
        <f>SUM(J42,M42,P42,S42)/4</f>
        <v>0</v>
      </c>
      <c r="W42" s="1382">
        <f>IF((IF(ISERROR(V42/U42),0,(V42/U42)))&gt;1,1,(IF(ISERROR(V42/U42),0,(V42/U42))))</f>
        <v>0</v>
      </c>
      <c r="X42" s="1382">
        <f t="shared" si="24"/>
        <v>0</v>
      </c>
      <c r="Y42" s="1427" t="s">
        <v>1892</v>
      </c>
      <c r="Z42" s="1427" t="s">
        <v>2552</v>
      </c>
      <c r="AA42" s="1427" t="s">
        <v>1893</v>
      </c>
      <c r="AB42" s="1427" t="s">
        <v>1894</v>
      </c>
      <c r="AC42" s="1356" t="s">
        <v>542</v>
      </c>
      <c r="AD42" s="1174" t="s">
        <v>2277</v>
      </c>
      <c r="AE42" s="1372" t="s">
        <v>2278</v>
      </c>
      <c r="AF42" s="1410">
        <f t="shared" si="1"/>
        <v>0.7</v>
      </c>
      <c r="AG42" s="1410"/>
      <c r="AH42" s="1395"/>
      <c r="AI42" s="1395"/>
      <c r="AJ42" s="1421">
        <f t="shared" si="2"/>
        <v>0.7</v>
      </c>
      <c r="AK42" s="1421"/>
      <c r="AL42" s="1389"/>
      <c r="AM42" s="1390"/>
      <c r="AN42" s="1410">
        <f t="shared" si="3"/>
        <v>0.7</v>
      </c>
      <c r="AO42" s="1410"/>
      <c r="AP42" s="1395"/>
      <c r="AQ42" s="1395"/>
      <c r="AR42" s="1423">
        <f t="shared" si="4"/>
        <v>0.7</v>
      </c>
      <c r="AS42" s="1423"/>
      <c r="AT42" s="1456"/>
      <c r="AU42" s="1432"/>
    </row>
    <row r="43" spans="1:47" ht="181.35" customHeight="1" thickBot="1">
      <c r="A43" s="1531"/>
      <c r="B43" s="1531"/>
      <c r="C43" s="1531"/>
      <c r="D43" s="1390">
        <v>20</v>
      </c>
      <c r="E43" s="1457" t="s">
        <v>2553</v>
      </c>
      <c r="F43" s="1435">
        <v>0.03</v>
      </c>
      <c r="G43" s="1356" t="s">
        <v>538</v>
      </c>
      <c r="H43" s="1356" t="s">
        <v>532</v>
      </c>
      <c r="I43" s="1374">
        <v>20</v>
      </c>
      <c r="J43" s="1441">
        <f t="shared" si="15"/>
        <v>0</v>
      </c>
      <c r="K43" s="1458">
        <f>IF(ISERROR(J43/I43),"",(J43/I43))</f>
        <v>0</v>
      </c>
      <c r="L43" s="1377">
        <v>30</v>
      </c>
      <c r="M43" s="1442">
        <f t="shared" si="17"/>
        <v>0</v>
      </c>
      <c r="N43" s="1448">
        <f>IF(ISERROR(M43/L43),"",(M43/L43))</f>
        <v>0</v>
      </c>
      <c r="O43" s="1374">
        <v>30</v>
      </c>
      <c r="P43" s="1441">
        <f t="shared" si="19"/>
        <v>0</v>
      </c>
      <c r="Q43" s="1458">
        <f>IF(ISERROR(P43/O43),"",(P43/O43))</f>
        <v>0</v>
      </c>
      <c r="R43" s="1377">
        <v>30</v>
      </c>
      <c r="S43" s="1442">
        <f t="shared" si="21"/>
        <v>0</v>
      </c>
      <c r="T43" s="1448">
        <f>IF(ISERROR(S43/R43),"",(S43/R43))</f>
        <v>0</v>
      </c>
      <c r="U43" s="1443">
        <f>SUM(I43,L43,O43,R43)</f>
        <v>110</v>
      </c>
      <c r="V43" s="1443">
        <f>SUM(J43,M43,P43,S43)</f>
        <v>0</v>
      </c>
      <c r="W43" s="1382">
        <f>IF((IF(ISERROR(V43/U43),0,(V43/U43)))&gt;1,1,(IF(ISERROR(V43/U43),0,(V43/U43))))</f>
        <v>0</v>
      </c>
      <c r="X43" s="1382">
        <f t="shared" si="24"/>
        <v>0</v>
      </c>
      <c r="Y43" s="1427" t="s">
        <v>2554</v>
      </c>
      <c r="Z43" s="1427" t="s">
        <v>2555</v>
      </c>
      <c r="AA43" s="1427" t="s">
        <v>2556</v>
      </c>
      <c r="AB43" s="1427" t="s">
        <v>2557</v>
      </c>
      <c r="AC43" s="1356" t="s">
        <v>542</v>
      </c>
      <c r="AD43" s="1372" t="s">
        <v>2558</v>
      </c>
      <c r="AE43" s="1372"/>
      <c r="AF43" s="1444">
        <f t="shared" si="1"/>
        <v>20</v>
      </c>
      <c r="AG43" s="1444"/>
      <c r="AH43" s="1459"/>
      <c r="AI43" s="1459"/>
      <c r="AJ43" s="1445">
        <f t="shared" si="2"/>
        <v>30</v>
      </c>
      <c r="AK43" s="1445"/>
      <c r="AL43" s="1460"/>
      <c r="AM43" s="1461"/>
      <c r="AN43" s="1444">
        <f t="shared" si="3"/>
        <v>30</v>
      </c>
      <c r="AO43" s="1444"/>
      <c r="AP43" s="1459"/>
      <c r="AQ43" s="1459"/>
      <c r="AR43" s="1445">
        <f t="shared" si="4"/>
        <v>30</v>
      </c>
      <c r="AS43" s="1445"/>
      <c r="AT43" s="1462"/>
      <c r="AU43" s="1461"/>
    </row>
    <row r="44" spans="1:47" ht="61.5" customHeight="1" thickBot="1">
      <c r="A44" s="1463"/>
      <c r="B44" s="1463"/>
      <c r="C44" s="1397" t="s">
        <v>1755</v>
      </c>
      <c r="D44" s="1530"/>
      <c r="E44" s="1530"/>
      <c r="F44" s="1530">
        <v>0.03</v>
      </c>
      <c r="G44" s="1530"/>
      <c r="H44" s="1530"/>
      <c r="I44" s="1530"/>
      <c r="J44" s="1530"/>
      <c r="K44" s="1530"/>
      <c r="L44" s="1530"/>
      <c r="M44" s="1530"/>
      <c r="N44" s="1530"/>
      <c r="O44" s="1530"/>
      <c r="P44" s="1530"/>
      <c r="Q44" s="1530"/>
      <c r="R44" s="1530"/>
      <c r="S44" s="1530"/>
      <c r="T44" s="1530"/>
      <c r="U44" s="1530"/>
      <c r="V44" s="1530"/>
      <c r="W44" s="1530"/>
      <c r="X44" s="1530"/>
      <c r="Y44" s="1530"/>
      <c r="Z44" s="1530"/>
      <c r="AA44" s="1530"/>
      <c r="AB44" s="1530"/>
      <c r="AC44" s="1530"/>
      <c r="AD44" s="1530"/>
      <c r="AE44" s="1530"/>
      <c r="AF44" s="1530">
        <f t="shared" si="1"/>
        <v>0</v>
      </c>
      <c r="AG44" s="1530"/>
      <c r="AH44" s="1530"/>
      <c r="AI44" s="1530"/>
      <c r="AJ44" s="1530">
        <f t="shared" si="2"/>
        <v>0</v>
      </c>
      <c r="AK44" s="1530"/>
      <c r="AL44" s="1530"/>
      <c r="AM44" s="1530"/>
      <c r="AN44" s="1530">
        <f t="shared" si="3"/>
        <v>0</v>
      </c>
      <c r="AO44" s="1530"/>
      <c r="AP44" s="1530"/>
      <c r="AQ44" s="1530"/>
      <c r="AR44" s="1530">
        <f t="shared" si="4"/>
        <v>0</v>
      </c>
      <c r="AS44" s="1530"/>
      <c r="AT44" s="1530"/>
      <c r="AU44" s="1530"/>
    </row>
    <row r="45" spans="1:47" ht="117.2" customHeight="1" thickBot="1">
      <c r="A45" s="1531" t="s">
        <v>2559</v>
      </c>
      <c r="B45" s="1531" t="s">
        <v>1904</v>
      </c>
      <c r="C45" s="1531" t="s">
        <v>1475</v>
      </c>
      <c r="D45" s="1390">
        <v>1</v>
      </c>
      <c r="E45" s="1398" t="s">
        <v>2560</v>
      </c>
      <c r="F45" s="1435">
        <v>0.03</v>
      </c>
      <c r="G45" s="1356" t="s">
        <v>538</v>
      </c>
      <c r="H45" s="1356" t="s">
        <v>532</v>
      </c>
      <c r="I45" s="1464">
        <v>40</v>
      </c>
      <c r="J45" s="1441">
        <f t="shared" ref="J45:J54" si="26">AG45</f>
        <v>0</v>
      </c>
      <c r="K45" s="1394">
        <f t="shared" ref="K45:K54" si="27">IF(ISERROR(J45/I45),"",(J45/I45))</f>
        <v>0</v>
      </c>
      <c r="L45" s="1465">
        <v>90</v>
      </c>
      <c r="M45" s="1466">
        <f t="shared" ref="M45:M54" si="28">AK45</f>
        <v>0</v>
      </c>
      <c r="N45" s="1379">
        <f t="shared" ref="N45:N54" si="29">IF(ISERROR(M45/L45),"",(M45/L45))</f>
        <v>0</v>
      </c>
      <c r="O45" s="1464">
        <v>90</v>
      </c>
      <c r="P45" s="1441">
        <f t="shared" ref="P45:P54" si="30">AO45</f>
        <v>0</v>
      </c>
      <c r="Q45" s="1394">
        <f t="shared" ref="Q45:Q54" si="31">IF(ISERROR(P45/O45),"",(P45/O45))</f>
        <v>0</v>
      </c>
      <c r="R45" s="1465">
        <v>60</v>
      </c>
      <c r="S45" s="1442">
        <f t="shared" ref="S45:S54" si="32">AS45</f>
        <v>0</v>
      </c>
      <c r="T45" s="1379">
        <f t="shared" ref="T45:T54" si="33">IF(ISERROR(S45/R45),"",(S45/R45))</f>
        <v>0</v>
      </c>
      <c r="U45" s="1443">
        <f>SUM(I45,L45,O45,R45)</f>
        <v>280</v>
      </c>
      <c r="V45" s="1467">
        <f>SUM(J45,M45,P45,S45)</f>
        <v>0</v>
      </c>
      <c r="W45" s="1382">
        <f t="shared" ref="W45:W54" si="34">IF((IF(ISERROR(V45/U45),0,(V45/U45)))&gt;1,1,(IF(ISERROR(V45/U45),0,(V45/U45))))</f>
        <v>0</v>
      </c>
      <c r="X45" s="1382">
        <f t="shared" ref="X45:X54" si="35">F45*W45</f>
        <v>0</v>
      </c>
      <c r="Y45" s="1356" t="s">
        <v>2285</v>
      </c>
      <c r="Z45" s="1356" t="s">
        <v>2286</v>
      </c>
      <c r="AA45" s="1372" t="s">
        <v>1907</v>
      </c>
      <c r="AB45" s="1372" t="s">
        <v>1908</v>
      </c>
      <c r="AC45" s="1356" t="s">
        <v>542</v>
      </c>
      <c r="AD45" s="1212" t="s">
        <v>1910</v>
      </c>
      <c r="AE45" s="1213" t="s">
        <v>2561</v>
      </c>
      <c r="AF45" s="1444">
        <f t="shared" si="1"/>
        <v>40</v>
      </c>
      <c r="AG45" s="1444"/>
      <c r="AH45" s="1395"/>
      <c r="AI45" s="1395"/>
      <c r="AJ45" s="1445">
        <f t="shared" si="2"/>
        <v>90</v>
      </c>
      <c r="AK45" s="1468"/>
      <c r="AL45" s="1447"/>
      <c r="AM45" s="1432"/>
      <c r="AN45" s="1444">
        <f t="shared" si="3"/>
        <v>90</v>
      </c>
      <c r="AO45" s="1444"/>
      <c r="AP45" s="1395"/>
      <c r="AQ45" s="1395"/>
      <c r="AR45" s="1445">
        <f t="shared" si="4"/>
        <v>60</v>
      </c>
      <c r="AS45" s="1445"/>
      <c r="AT45" s="1469"/>
      <c r="AU45" s="1470"/>
    </row>
    <row r="46" spans="1:47" ht="154.5" customHeight="1" thickTop="1" thickBot="1">
      <c r="A46" s="1531"/>
      <c r="B46" s="1531"/>
      <c r="C46" s="1531"/>
      <c r="D46" s="1390">
        <v>2</v>
      </c>
      <c r="E46" s="1398" t="s">
        <v>2562</v>
      </c>
      <c r="F46" s="1435">
        <v>0.01</v>
      </c>
      <c r="G46" s="1356" t="s">
        <v>538</v>
      </c>
      <c r="H46" s="1356" t="s">
        <v>532</v>
      </c>
      <c r="I46" s="1464">
        <v>20</v>
      </c>
      <c r="J46" s="1441">
        <f t="shared" si="26"/>
        <v>0</v>
      </c>
      <c r="K46" s="1394">
        <f t="shared" si="27"/>
        <v>0</v>
      </c>
      <c r="L46" s="1465">
        <v>20</v>
      </c>
      <c r="M46" s="1442">
        <f t="shared" si="28"/>
        <v>0</v>
      </c>
      <c r="N46" s="1379">
        <f t="shared" si="29"/>
        <v>0</v>
      </c>
      <c r="O46" s="1464">
        <v>20</v>
      </c>
      <c r="P46" s="1441">
        <f t="shared" si="30"/>
        <v>0</v>
      </c>
      <c r="Q46" s="1394">
        <f t="shared" si="31"/>
        <v>0</v>
      </c>
      <c r="R46" s="1465">
        <v>20</v>
      </c>
      <c r="S46" s="1442">
        <f t="shared" si="32"/>
        <v>0</v>
      </c>
      <c r="T46" s="1379">
        <f t="shared" si="33"/>
        <v>0</v>
      </c>
      <c r="U46" s="1443">
        <f>SUM(I46,L46,O46,R46)</f>
        <v>80</v>
      </c>
      <c r="V46" s="1443">
        <f>SUM(J46,M46,P46,S46)</f>
        <v>0</v>
      </c>
      <c r="W46" s="1382">
        <f t="shared" si="34"/>
        <v>0</v>
      </c>
      <c r="X46" s="1382">
        <f t="shared" si="35"/>
        <v>0</v>
      </c>
      <c r="Y46" s="1356" t="s">
        <v>2292</v>
      </c>
      <c r="Z46" s="1356" t="s">
        <v>2293</v>
      </c>
      <c r="AA46" s="1372" t="s">
        <v>2294</v>
      </c>
      <c r="AB46" s="1372" t="s">
        <v>2295</v>
      </c>
      <c r="AC46" s="1356" t="s">
        <v>542</v>
      </c>
      <c r="AD46" s="959" t="s">
        <v>2296</v>
      </c>
      <c r="AE46" s="1221" t="s">
        <v>2297</v>
      </c>
      <c r="AF46" s="1444">
        <f t="shared" si="1"/>
        <v>20</v>
      </c>
      <c r="AG46" s="1444"/>
      <c r="AH46" s="1395"/>
      <c r="AI46" s="1395"/>
      <c r="AJ46" s="1445">
        <f t="shared" si="2"/>
        <v>20</v>
      </c>
      <c r="AK46" s="1445"/>
      <c r="AL46" s="1447"/>
      <c r="AM46" s="1432"/>
      <c r="AN46" s="1444">
        <f t="shared" si="3"/>
        <v>20</v>
      </c>
      <c r="AO46" s="1444"/>
      <c r="AP46" s="1395"/>
      <c r="AQ46" s="1395"/>
      <c r="AR46" s="1445">
        <f t="shared" si="4"/>
        <v>20</v>
      </c>
      <c r="AS46" s="1445"/>
      <c r="AT46" s="1471"/>
      <c r="AU46" s="1470"/>
    </row>
    <row r="47" spans="1:47" ht="151.5" customHeight="1" thickBot="1">
      <c r="A47" s="1531"/>
      <c r="B47" s="1531"/>
      <c r="C47" s="1531"/>
      <c r="D47" s="1390">
        <v>3</v>
      </c>
      <c r="E47" s="1398" t="s">
        <v>2563</v>
      </c>
      <c r="F47" s="1472">
        <v>0.01</v>
      </c>
      <c r="G47" s="1400" t="s">
        <v>537</v>
      </c>
      <c r="H47" s="1400" t="s">
        <v>531</v>
      </c>
      <c r="I47" s="1473">
        <v>0.85</v>
      </c>
      <c r="J47" s="1436">
        <f t="shared" si="26"/>
        <v>0</v>
      </c>
      <c r="K47" s="1394">
        <f t="shared" si="27"/>
        <v>0</v>
      </c>
      <c r="L47" s="1474">
        <v>0.85</v>
      </c>
      <c r="M47" s="1420">
        <f t="shared" si="28"/>
        <v>0</v>
      </c>
      <c r="N47" s="1379">
        <f t="shared" si="29"/>
        <v>0</v>
      </c>
      <c r="O47" s="1473">
        <v>0.85</v>
      </c>
      <c r="P47" s="1436">
        <f t="shared" si="30"/>
        <v>0</v>
      </c>
      <c r="Q47" s="1394">
        <f t="shared" si="31"/>
        <v>0</v>
      </c>
      <c r="R47" s="1474">
        <v>0.85</v>
      </c>
      <c r="S47" s="1420">
        <f t="shared" si="32"/>
        <v>0</v>
      </c>
      <c r="T47" s="1379">
        <f t="shared" si="33"/>
        <v>0</v>
      </c>
      <c r="U47" s="1438">
        <f>SUM(I47,L47,O47,R47)/4</f>
        <v>0.85</v>
      </c>
      <c r="V47" s="1438">
        <f>SUM(J47,M47,P47,S47)/4</f>
        <v>0</v>
      </c>
      <c r="W47" s="1382">
        <f t="shared" si="34"/>
        <v>0</v>
      </c>
      <c r="X47" s="1382">
        <f t="shared" si="35"/>
        <v>0</v>
      </c>
      <c r="Y47" s="1475" t="s">
        <v>1922</v>
      </c>
      <c r="Z47" s="1475" t="s">
        <v>2302</v>
      </c>
      <c r="AA47" s="1398" t="s">
        <v>2303</v>
      </c>
      <c r="AB47" s="1398" t="s">
        <v>1924</v>
      </c>
      <c r="AC47" s="1426" t="s">
        <v>540</v>
      </c>
      <c r="AD47" s="1385" t="s">
        <v>1925</v>
      </c>
      <c r="AE47" s="1385"/>
      <c r="AF47" s="1410">
        <f t="shared" si="1"/>
        <v>0.85</v>
      </c>
      <c r="AG47" s="1410"/>
      <c r="AH47" s="1395"/>
      <c r="AI47" s="1395"/>
      <c r="AJ47" s="1421">
        <f t="shared" si="2"/>
        <v>0.85</v>
      </c>
      <c r="AK47" s="1421"/>
      <c r="AL47" s="1447"/>
      <c r="AM47" s="1432"/>
      <c r="AN47" s="1410">
        <f t="shared" si="3"/>
        <v>0.85</v>
      </c>
      <c r="AO47" s="1410"/>
      <c r="AP47" s="1395"/>
      <c r="AQ47" s="1395"/>
      <c r="AR47" s="1421">
        <f t="shared" si="4"/>
        <v>0.85</v>
      </c>
      <c r="AS47" s="1421"/>
      <c r="AT47" s="1469"/>
      <c r="AU47" s="1470"/>
    </row>
    <row r="48" spans="1:47" ht="91.5" customHeight="1" thickBot="1">
      <c r="A48" s="1531"/>
      <c r="B48" s="1531"/>
      <c r="C48" s="1531"/>
      <c r="D48" s="1390">
        <v>4</v>
      </c>
      <c r="E48" s="1398" t="s">
        <v>2564</v>
      </c>
      <c r="F48" s="1472">
        <v>0</v>
      </c>
      <c r="G48" s="1400" t="s">
        <v>538</v>
      </c>
      <c r="H48" s="1400" t="s">
        <v>532</v>
      </c>
      <c r="I48" s="1476">
        <v>0</v>
      </c>
      <c r="J48" s="1375">
        <f t="shared" si="26"/>
        <v>0</v>
      </c>
      <c r="K48" s="1394" t="str">
        <f t="shared" si="27"/>
        <v/>
      </c>
      <c r="L48" s="1477">
        <v>0</v>
      </c>
      <c r="M48" s="1378">
        <f t="shared" si="28"/>
        <v>0</v>
      </c>
      <c r="N48" s="1379" t="str">
        <f t="shared" si="29"/>
        <v/>
      </c>
      <c r="O48" s="1476">
        <v>0</v>
      </c>
      <c r="P48" s="1375">
        <f t="shared" si="30"/>
        <v>0</v>
      </c>
      <c r="Q48" s="1394" t="str">
        <f t="shared" si="31"/>
        <v/>
      </c>
      <c r="R48" s="1477">
        <v>0</v>
      </c>
      <c r="S48" s="1378">
        <f t="shared" si="32"/>
        <v>0</v>
      </c>
      <c r="T48" s="1379" t="str">
        <f t="shared" si="33"/>
        <v/>
      </c>
      <c r="U48" s="1380">
        <f t="shared" ref="U48:V52" si="36">SUM(I48,L48,O48,R48)</f>
        <v>0</v>
      </c>
      <c r="V48" s="1478">
        <f t="shared" si="36"/>
        <v>0</v>
      </c>
      <c r="W48" s="1382">
        <f t="shared" si="34"/>
        <v>0</v>
      </c>
      <c r="X48" s="1382">
        <f t="shared" si="35"/>
        <v>0</v>
      </c>
      <c r="Y48" s="1400" t="s">
        <v>1936</v>
      </c>
      <c r="Z48" s="1400" t="s">
        <v>2311</v>
      </c>
      <c r="AA48" s="1398" t="s">
        <v>2312</v>
      </c>
      <c r="AB48" s="1398" t="s">
        <v>2313</v>
      </c>
      <c r="AC48" s="1426" t="s">
        <v>542</v>
      </c>
      <c r="AD48" s="1385"/>
      <c r="AE48" s="1385" t="s">
        <v>2565</v>
      </c>
      <c r="AF48" s="1444">
        <f t="shared" si="1"/>
        <v>0</v>
      </c>
      <c r="AG48" s="1444"/>
      <c r="AH48" s="1395"/>
      <c r="AI48" s="1395"/>
      <c r="AJ48" s="1445">
        <f t="shared" si="2"/>
        <v>0</v>
      </c>
      <c r="AK48" s="1445"/>
      <c r="AL48" s="1447"/>
      <c r="AM48" s="1432"/>
      <c r="AN48" s="1444">
        <f t="shared" si="3"/>
        <v>0</v>
      </c>
      <c r="AO48" s="1444"/>
      <c r="AP48" s="1395"/>
      <c r="AQ48" s="1395"/>
      <c r="AR48" s="1445">
        <f t="shared" si="4"/>
        <v>0</v>
      </c>
      <c r="AS48" s="1445"/>
      <c r="AT48" s="1432"/>
      <c r="AU48" s="1432"/>
    </row>
    <row r="49" spans="1:47" ht="93.6" customHeight="1" thickBot="1">
      <c r="A49" s="1531"/>
      <c r="B49" s="1531"/>
      <c r="C49" s="1531"/>
      <c r="D49" s="1390">
        <v>5</v>
      </c>
      <c r="E49" s="1400" t="s">
        <v>2566</v>
      </c>
      <c r="F49" s="1472">
        <v>0</v>
      </c>
      <c r="G49" s="1400" t="s">
        <v>538</v>
      </c>
      <c r="H49" s="1400" t="s">
        <v>532</v>
      </c>
      <c r="I49" s="1476">
        <v>0</v>
      </c>
      <c r="J49" s="1375">
        <f t="shared" si="26"/>
        <v>0</v>
      </c>
      <c r="K49" s="1394" t="str">
        <f t="shared" si="27"/>
        <v/>
      </c>
      <c r="L49" s="1477">
        <v>0</v>
      </c>
      <c r="M49" s="1378">
        <f t="shared" si="28"/>
        <v>0</v>
      </c>
      <c r="N49" s="1379" t="str">
        <f t="shared" si="29"/>
        <v/>
      </c>
      <c r="O49" s="1476">
        <v>0</v>
      </c>
      <c r="P49" s="1375">
        <f t="shared" si="30"/>
        <v>0</v>
      </c>
      <c r="Q49" s="1394" t="str">
        <f t="shared" si="31"/>
        <v/>
      </c>
      <c r="R49" s="1477">
        <v>0</v>
      </c>
      <c r="S49" s="1378">
        <f t="shared" si="32"/>
        <v>0</v>
      </c>
      <c r="T49" s="1379" t="str">
        <f t="shared" si="33"/>
        <v/>
      </c>
      <c r="U49" s="1380">
        <f t="shared" si="36"/>
        <v>0</v>
      </c>
      <c r="V49" s="1478">
        <f t="shared" si="36"/>
        <v>0</v>
      </c>
      <c r="W49" s="1382">
        <f t="shared" si="34"/>
        <v>0</v>
      </c>
      <c r="X49" s="1382">
        <f t="shared" si="35"/>
        <v>0</v>
      </c>
      <c r="Y49" s="1400" t="s">
        <v>1939</v>
      </c>
      <c r="Z49" s="1400" t="s">
        <v>2317</v>
      </c>
      <c r="AA49" s="1400" t="s">
        <v>1940</v>
      </c>
      <c r="AB49" s="1400" t="s">
        <v>1941</v>
      </c>
      <c r="AC49" s="1426" t="s">
        <v>542</v>
      </c>
      <c r="AD49" s="1385"/>
      <c r="AE49" s="1427" t="s">
        <v>2567</v>
      </c>
      <c r="AF49" s="1444">
        <f t="shared" si="1"/>
        <v>0</v>
      </c>
      <c r="AG49" s="1444"/>
      <c r="AH49" s="1395"/>
      <c r="AI49" s="1395"/>
      <c r="AJ49" s="1445">
        <f t="shared" si="2"/>
        <v>0</v>
      </c>
      <c r="AK49" s="1445"/>
      <c r="AL49" s="1432"/>
      <c r="AM49" s="1432"/>
      <c r="AN49" s="1444">
        <f t="shared" si="3"/>
        <v>0</v>
      </c>
      <c r="AO49" s="1444"/>
      <c r="AP49" s="1395"/>
      <c r="AQ49" s="1395"/>
      <c r="AR49" s="1445">
        <f t="shared" si="4"/>
        <v>0</v>
      </c>
      <c r="AS49" s="1445"/>
      <c r="AT49" s="1432"/>
      <c r="AU49" s="1432"/>
    </row>
    <row r="50" spans="1:47" ht="93.95" customHeight="1" thickBot="1">
      <c r="A50" s="1531"/>
      <c r="B50" s="1531"/>
      <c r="C50" s="1531"/>
      <c r="D50" s="1390">
        <v>6</v>
      </c>
      <c r="E50" s="1400" t="s">
        <v>2568</v>
      </c>
      <c r="F50" s="1472">
        <v>0</v>
      </c>
      <c r="G50" s="1400" t="s">
        <v>538</v>
      </c>
      <c r="H50" s="1400" t="s">
        <v>532</v>
      </c>
      <c r="I50" s="1476">
        <v>0</v>
      </c>
      <c r="J50" s="1375">
        <f t="shared" si="26"/>
        <v>0</v>
      </c>
      <c r="K50" s="1394" t="str">
        <f t="shared" si="27"/>
        <v/>
      </c>
      <c r="L50" s="1477">
        <v>0</v>
      </c>
      <c r="M50" s="1378">
        <f t="shared" si="28"/>
        <v>0</v>
      </c>
      <c r="N50" s="1379" t="str">
        <f t="shared" si="29"/>
        <v/>
      </c>
      <c r="O50" s="1476">
        <v>0</v>
      </c>
      <c r="P50" s="1375">
        <f t="shared" si="30"/>
        <v>0</v>
      </c>
      <c r="Q50" s="1394" t="str">
        <f t="shared" si="31"/>
        <v/>
      </c>
      <c r="R50" s="1477">
        <v>0</v>
      </c>
      <c r="S50" s="1378">
        <f t="shared" si="32"/>
        <v>0</v>
      </c>
      <c r="T50" s="1379" t="str">
        <f t="shared" si="33"/>
        <v/>
      </c>
      <c r="U50" s="1380">
        <f t="shared" si="36"/>
        <v>0</v>
      </c>
      <c r="V50" s="1478">
        <f t="shared" si="36"/>
        <v>0</v>
      </c>
      <c r="W50" s="1382">
        <f t="shared" si="34"/>
        <v>0</v>
      </c>
      <c r="X50" s="1382">
        <f t="shared" si="35"/>
        <v>0</v>
      </c>
      <c r="Y50" s="1475" t="s">
        <v>1943</v>
      </c>
      <c r="Z50" s="1475" t="s">
        <v>2319</v>
      </c>
      <c r="AA50" s="1400" t="s">
        <v>1944</v>
      </c>
      <c r="AB50" s="1400" t="s">
        <v>1945</v>
      </c>
      <c r="AC50" s="1426" t="s">
        <v>542</v>
      </c>
      <c r="AD50" s="1385"/>
      <c r="AE50" s="1427" t="s">
        <v>2567</v>
      </c>
      <c r="AF50" s="1444">
        <f t="shared" si="1"/>
        <v>0</v>
      </c>
      <c r="AG50" s="1444"/>
      <c r="AH50" s="1395"/>
      <c r="AI50" s="1395"/>
      <c r="AJ50" s="1445">
        <f t="shared" si="2"/>
        <v>0</v>
      </c>
      <c r="AK50" s="1445"/>
      <c r="AL50" s="1432"/>
      <c r="AM50" s="1432"/>
      <c r="AN50" s="1444">
        <f t="shared" si="3"/>
        <v>0</v>
      </c>
      <c r="AO50" s="1444"/>
      <c r="AP50" s="1395"/>
      <c r="AQ50" s="1395"/>
      <c r="AR50" s="1445">
        <f t="shared" si="4"/>
        <v>0</v>
      </c>
      <c r="AS50" s="1445"/>
      <c r="AT50" s="1432"/>
      <c r="AU50" s="1432"/>
    </row>
    <row r="51" spans="1:47" ht="178.5" customHeight="1" thickTop="1" thickBot="1">
      <c r="A51" s="1531"/>
      <c r="B51" s="1531"/>
      <c r="C51" s="1531"/>
      <c r="D51" s="1390">
        <v>7</v>
      </c>
      <c r="E51" s="1398" t="s">
        <v>2569</v>
      </c>
      <c r="F51" s="1472">
        <v>0.03</v>
      </c>
      <c r="G51" s="1400" t="s">
        <v>538</v>
      </c>
      <c r="H51" s="1400" t="s">
        <v>532</v>
      </c>
      <c r="I51" s="1476">
        <v>0</v>
      </c>
      <c r="J51" s="1375">
        <f t="shared" si="26"/>
        <v>0</v>
      </c>
      <c r="K51" s="1394" t="str">
        <f t="shared" si="27"/>
        <v/>
      </c>
      <c r="L51" s="1477">
        <v>0</v>
      </c>
      <c r="M51" s="1378">
        <f t="shared" si="28"/>
        <v>0</v>
      </c>
      <c r="N51" s="1379" t="str">
        <f t="shared" si="29"/>
        <v/>
      </c>
      <c r="O51" s="1476">
        <v>0</v>
      </c>
      <c r="P51" s="1375">
        <f t="shared" si="30"/>
        <v>0</v>
      </c>
      <c r="Q51" s="1394" t="str">
        <f t="shared" si="31"/>
        <v/>
      </c>
      <c r="R51" s="1477">
        <v>0</v>
      </c>
      <c r="S51" s="1378">
        <f t="shared" si="32"/>
        <v>0</v>
      </c>
      <c r="T51" s="1379" t="str">
        <f t="shared" si="33"/>
        <v/>
      </c>
      <c r="U51" s="1380">
        <f t="shared" si="36"/>
        <v>0</v>
      </c>
      <c r="V51" s="1478">
        <f t="shared" si="36"/>
        <v>0</v>
      </c>
      <c r="W51" s="1382">
        <f t="shared" si="34"/>
        <v>0</v>
      </c>
      <c r="X51" s="1382">
        <f t="shared" si="35"/>
        <v>0</v>
      </c>
      <c r="Y51" s="1475" t="s">
        <v>1947</v>
      </c>
      <c r="Z51" s="1475" t="s">
        <v>2570</v>
      </c>
      <c r="AA51" s="1398" t="s">
        <v>1948</v>
      </c>
      <c r="AB51" s="1398" t="s">
        <v>1949</v>
      </c>
      <c r="AC51" s="1426" t="s">
        <v>542</v>
      </c>
      <c r="AD51" s="1051" t="s">
        <v>2322</v>
      </c>
      <c r="AE51" s="1479"/>
      <c r="AF51" s="1444">
        <f t="shared" si="1"/>
        <v>0</v>
      </c>
      <c r="AG51" s="1444"/>
      <c r="AH51" s="1395"/>
      <c r="AI51" s="1395"/>
      <c r="AJ51" s="1445">
        <f t="shared" si="2"/>
        <v>0</v>
      </c>
      <c r="AK51" s="1445"/>
      <c r="AL51" s="1447"/>
      <c r="AM51" s="1432"/>
      <c r="AN51" s="1444">
        <f t="shared" si="3"/>
        <v>0</v>
      </c>
      <c r="AO51" s="1444"/>
      <c r="AP51" s="1395"/>
      <c r="AQ51" s="1395"/>
      <c r="AR51" s="1445">
        <f t="shared" si="4"/>
        <v>0</v>
      </c>
      <c r="AS51" s="1480"/>
      <c r="AT51" s="1432"/>
      <c r="AU51" s="1432"/>
    </row>
    <row r="52" spans="1:47" ht="70.150000000000006" customHeight="1" thickBot="1">
      <c r="A52" s="1531"/>
      <c r="B52" s="1531"/>
      <c r="C52" s="1531"/>
      <c r="D52" s="1390">
        <v>8</v>
      </c>
      <c r="E52" s="1398" t="s">
        <v>2571</v>
      </c>
      <c r="F52" s="1472">
        <v>0.03</v>
      </c>
      <c r="G52" s="1400" t="s">
        <v>538</v>
      </c>
      <c r="H52" s="1400" t="s">
        <v>532</v>
      </c>
      <c r="I52" s="1476">
        <v>0</v>
      </c>
      <c r="J52" s="1375">
        <f t="shared" si="26"/>
        <v>0</v>
      </c>
      <c r="K52" s="1394" t="str">
        <f t="shared" si="27"/>
        <v/>
      </c>
      <c r="L52" s="1477">
        <v>1</v>
      </c>
      <c r="M52" s="1378">
        <f t="shared" si="28"/>
        <v>0</v>
      </c>
      <c r="N52" s="1379">
        <f t="shared" si="29"/>
        <v>0</v>
      </c>
      <c r="O52" s="1476">
        <v>0</v>
      </c>
      <c r="P52" s="1375">
        <f t="shared" si="30"/>
        <v>0</v>
      </c>
      <c r="Q52" s="1394" t="str">
        <f t="shared" si="31"/>
        <v/>
      </c>
      <c r="R52" s="1477">
        <v>0</v>
      </c>
      <c r="S52" s="1378">
        <f t="shared" si="32"/>
        <v>0</v>
      </c>
      <c r="T52" s="1379" t="str">
        <f t="shared" si="33"/>
        <v/>
      </c>
      <c r="U52" s="1380">
        <f t="shared" si="36"/>
        <v>1</v>
      </c>
      <c r="V52" s="1478">
        <f t="shared" si="36"/>
        <v>0</v>
      </c>
      <c r="W52" s="1382">
        <f t="shared" si="34"/>
        <v>0</v>
      </c>
      <c r="X52" s="1382">
        <f t="shared" si="35"/>
        <v>0</v>
      </c>
      <c r="Y52" s="1475" t="s">
        <v>1960</v>
      </c>
      <c r="Z52" s="1475" t="s">
        <v>2329</v>
      </c>
      <c r="AA52" s="1398" t="s">
        <v>1549</v>
      </c>
      <c r="AB52" s="1398" t="s">
        <v>1961</v>
      </c>
      <c r="AC52" s="1426" t="s">
        <v>542</v>
      </c>
      <c r="AD52" s="1385" t="s">
        <v>2572</v>
      </c>
      <c r="AE52" s="1385" t="s">
        <v>2573</v>
      </c>
      <c r="AF52" s="1444">
        <f t="shared" si="1"/>
        <v>0</v>
      </c>
      <c r="AG52" s="1444"/>
      <c r="AH52" s="1395"/>
      <c r="AI52" s="1395"/>
      <c r="AJ52" s="1445">
        <f t="shared" si="2"/>
        <v>1</v>
      </c>
      <c r="AK52" s="1445"/>
      <c r="AL52" s="1447"/>
      <c r="AM52" s="1432"/>
      <c r="AN52" s="1444">
        <f t="shared" si="3"/>
        <v>0</v>
      </c>
      <c r="AO52" s="1444"/>
      <c r="AP52" s="1395"/>
      <c r="AQ52" s="1395"/>
      <c r="AR52" s="1445">
        <f t="shared" si="4"/>
        <v>0</v>
      </c>
      <c r="AS52" s="1445"/>
      <c r="AT52" s="1432"/>
      <c r="AU52" s="1432"/>
    </row>
    <row r="53" spans="1:47" ht="110.85" customHeight="1" thickBot="1">
      <c r="A53" s="1531"/>
      <c r="B53" s="1531"/>
      <c r="C53" s="1531"/>
      <c r="D53" s="1390">
        <v>9</v>
      </c>
      <c r="E53" s="1398" t="s">
        <v>2574</v>
      </c>
      <c r="F53" s="1472">
        <v>0</v>
      </c>
      <c r="G53" s="1356" t="s">
        <v>537</v>
      </c>
      <c r="H53" s="1356" t="s">
        <v>529</v>
      </c>
      <c r="I53" s="1473">
        <v>0</v>
      </c>
      <c r="J53" s="1436">
        <f t="shared" si="26"/>
        <v>0</v>
      </c>
      <c r="K53" s="1394" t="str">
        <f t="shared" si="27"/>
        <v/>
      </c>
      <c r="L53" s="1481">
        <v>0</v>
      </c>
      <c r="M53" s="1437">
        <f t="shared" si="28"/>
        <v>0</v>
      </c>
      <c r="N53" s="1379" t="str">
        <f t="shared" si="29"/>
        <v/>
      </c>
      <c r="O53" s="1473">
        <v>0</v>
      </c>
      <c r="P53" s="1436">
        <f t="shared" si="30"/>
        <v>0</v>
      </c>
      <c r="Q53" s="1394" t="str">
        <f t="shared" si="31"/>
        <v/>
      </c>
      <c r="R53" s="1481">
        <v>0</v>
      </c>
      <c r="S53" s="1437">
        <f t="shared" si="32"/>
        <v>0</v>
      </c>
      <c r="T53" s="1379" t="str">
        <f t="shared" si="33"/>
        <v/>
      </c>
      <c r="U53" s="1438">
        <f>R53</f>
        <v>0</v>
      </c>
      <c r="V53" s="1438">
        <f>J53</f>
        <v>0</v>
      </c>
      <c r="W53" s="1382">
        <f t="shared" si="34"/>
        <v>0</v>
      </c>
      <c r="X53" s="1382">
        <f t="shared" si="35"/>
        <v>0</v>
      </c>
      <c r="Y53" s="1475" t="s">
        <v>2575</v>
      </c>
      <c r="Z53" s="1475" t="s">
        <v>2576</v>
      </c>
      <c r="AA53" s="1398" t="s">
        <v>2334</v>
      </c>
      <c r="AB53" s="1398" t="s">
        <v>2335</v>
      </c>
      <c r="AC53" s="1426" t="s">
        <v>542</v>
      </c>
      <c r="AD53" s="1385" t="s">
        <v>2336</v>
      </c>
      <c r="AE53" s="1385" t="s">
        <v>2577</v>
      </c>
      <c r="AF53" s="1482">
        <f t="shared" si="1"/>
        <v>0</v>
      </c>
      <c r="AG53" s="1482"/>
      <c r="AH53" s="1395"/>
      <c r="AI53" s="1395"/>
      <c r="AJ53" s="1423">
        <f t="shared" si="2"/>
        <v>0</v>
      </c>
      <c r="AK53" s="1423"/>
      <c r="AL53" s="1447"/>
      <c r="AM53" s="1390"/>
      <c r="AN53" s="1482">
        <f t="shared" si="3"/>
        <v>0</v>
      </c>
      <c r="AO53" s="1482"/>
      <c r="AP53" s="1395"/>
      <c r="AQ53" s="1395"/>
      <c r="AR53" s="1423">
        <f t="shared" si="4"/>
        <v>0</v>
      </c>
      <c r="AS53" s="1423"/>
      <c r="AT53" s="1393"/>
      <c r="AU53" s="1393"/>
    </row>
    <row r="54" spans="1:47" ht="126.95" customHeight="1" thickBot="1">
      <c r="A54" s="1531"/>
      <c r="B54" s="1531"/>
      <c r="C54" s="1531"/>
      <c r="D54" s="1390">
        <v>10</v>
      </c>
      <c r="E54" s="1372" t="s">
        <v>2578</v>
      </c>
      <c r="F54" s="1435">
        <v>0.02</v>
      </c>
      <c r="G54" s="1356" t="s">
        <v>537</v>
      </c>
      <c r="H54" s="1356" t="s">
        <v>529</v>
      </c>
      <c r="I54" s="1473">
        <v>0.1</v>
      </c>
      <c r="J54" s="1436">
        <f t="shared" si="26"/>
        <v>0</v>
      </c>
      <c r="K54" s="1394">
        <f t="shared" si="27"/>
        <v>0</v>
      </c>
      <c r="L54" s="1481">
        <v>0.35</v>
      </c>
      <c r="M54" s="1437">
        <f t="shared" si="28"/>
        <v>0</v>
      </c>
      <c r="N54" s="1379">
        <f t="shared" si="29"/>
        <v>0</v>
      </c>
      <c r="O54" s="1473">
        <v>0.7</v>
      </c>
      <c r="P54" s="1436">
        <f t="shared" si="30"/>
        <v>0</v>
      </c>
      <c r="Q54" s="1394">
        <f t="shared" si="31"/>
        <v>0</v>
      </c>
      <c r="R54" s="1481">
        <v>1</v>
      </c>
      <c r="S54" s="1437">
        <f t="shared" si="32"/>
        <v>0</v>
      </c>
      <c r="T54" s="1379">
        <f t="shared" si="33"/>
        <v>0</v>
      </c>
      <c r="U54" s="1438">
        <f>R54</f>
        <v>1</v>
      </c>
      <c r="V54" s="1438">
        <f>J54</f>
        <v>0</v>
      </c>
      <c r="W54" s="1382">
        <f t="shared" si="34"/>
        <v>0</v>
      </c>
      <c r="X54" s="1382">
        <f t="shared" si="35"/>
        <v>0</v>
      </c>
      <c r="Y54" s="1483" t="s">
        <v>2579</v>
      </c>
      <c r="Z54" s="1475" t="s">
        <v>2580</v>
      </c>
      <c r="AA54" s="1372" t="s">
        <v>1973</v>
      </c>
      <c r="AB54" s="1398" t="s">
        <v>2335</v>
      </c>
      <c r="AC54" s="1420" t="s">
        <v>542</v>
      </c>
      <c r="AD54" s="1385" t="s">
        <v>2581</v>
      </c>
      <c r="AE54" s="1385" t="s">
        <v>2582</v>
      </c>
      <c r="AF54" s="1410">
        <f t="shared" si="1"/>
        <v>0.1</v>
      </c>
      <c r="AG54" s="1410"/>
      <c r="AH54" s="1395"/>
      <c r="AI54" s="1395"/>
      <c r="AJ54" s="1423">
        <f t="shared" si="2"/>
        <v>0.35</v>
      </c>
      <c r="AK54" s="1412"/>
      <c r="AL54" s="1484"/>
      <c r="AM54" s="1432"/>
      <c r="AN54" s="1410">
        <f t="shared" si="3"/>
        <v>0.7</v>
      </c>
      <c r="AO54" s="1410"/>
      <c r="AP54" s="1395"/>
      <c r="AQ54" s="1395"/>
      <c r="AR54" s="1423">
        <f t="shared" si="4"/>
        <v>1</v>
      </c>
      <c r="AS54" s="1423"/>
      <c r="AT54" s="1432"/>
      <c r="AU54" s="1432"/>
    </row>
    <row r="55" spans="1:47" ht="45.75" customHeight="1" thickBot="1">
      <c r="A55" s="1523"/>
      <c r="B55" s="1523"/>
      <c r="C55" s="1397" t="s">
        <v>1755</v>
      </c>
      <c r="D55" s="1530"/>
      <c r="E55" s="1530"/>
      <c r="F55" s="1530"/>
      <c r="G55" s="1530"/>
      <c r="H55" s="1530"/>
      <c r="I55" s="1530"/>
      <c r="J55" s="1530"/>
      <c r="K55" s="1530"/>
      <c r="L55" s="1530"/>
      <c r="M55" s="1530"/>
      <c r="N55" s="1530"/>
      <c r="O55" s="1530"/>
      <c r="P55" s="1530"/>
      <c r="Q55" s="1530"/>
      <c r="R55" s="1530"/>
      <c r="S55" s="1530"/>
      <c r="T55" s="1530"/>
      <c r="U55" s="1530"/>
      <c r="V55" s="1530"/>
      <c r="W55" s="1530"/>
      <c r="X55" s="1530"/>
      <c r="Y55" s="1530"/>
      <c r="Z55" s="1530"/>
      <c r="AA55" s="1530"/>
      <c r="AB55" s="1530"/>
      <c r="AC55" s="1530"/>
      <c r="AD55" s="1530"/>
      <c r="AE55" s="1530"/>
      <c r="AF55" s="1530">
        <f t="shared" si="1"/>
        <v>0</v>
      </c>
      <c r="AG55" s="1530"/>
      <c r="AH55" s="1530"/>
      <c r="AI55" s="1530"/>
      <c r="AJ55" s="1530">
        <f t="shared" si="2"/>
        <v>0</v>
      </c>
      <c r="AK55" s="1530"/>
      <c r="AL55" s="1530"/>
      <c r="AM55" s="1530"/>
      <c r="AN55" s="1530">
        <f t="shared" si="3"/>
        <v>0</v>
      </c>
      <c r="AO55" s="1530"/>
      <c r="AP55" s="1530"/>
      <c r="AQ55" s="1530"/>
      <c r="AR55" s="1530">
        <f t="shared" si="4"/>
        <v>0</v>
      </c>
      <c r="AS55" s="1530"/>
      <c r="AT55" s="1530"/>
      <c r="AU55" s="1530"/>
    </row>
    <row r="56" spans="1:47" ht="112.5" customHeight="1" thickBot="1">
      <c r="A56" s="1531" t="s">
        <v>1978</v>
      </c>
      <c r="B56" s="1531" t="s">
        <v>2001</v>
      </c>
      <c r="C56" s="1531" t="s">
        <v>1577</v>
      </c>
      <c r="D56" s="1390">
        <v>1</v>
      </c>
      <c r="E56" s="1356" t="s">
        <v>2583</v>
      </c>
      <c r="F56" s="1435">
        <v>0.02</v>
      </c>
      <c r="G56" s="1356" t="s">
        <v>537</v>
      </c>
      <c r="H56" s="1356" t="s">
        <v>529</v>
      </c>
      <c r="I56" s="1485">
        <v>0.75</v>
      </c>
      <c r="J56" s="1402">
        <f>AG56</f>
        <v>0</v>
      </c>
      <c r="K56" s="1394">
        <f>IF(ISERROR(J56/I56),"",(J56/I56))</f>
        <v>0</v>
      </c>
      <c r="L56" s="1486">
        <v>0.8</v>
      </c>
      <c r="M56" s="1418">
        <f>AK56</f>
        <v>0</v>
      </c>
      <c r="N56" s="1379">
        <f>IF(ISERROR(M56/L56),"",(M56/L56))</f>
        <v>0</v>
      </c>
      <c r="O56" s="1485">
        <v>0.82</v>
      </c>
      <c r="P56" s="1402">
        <f>AO56</f>
        <v>0</v>
      </c>
      <c r="Q56" s="1394">
        <f>IF(ISERROR(P56/O56),"",(P56/O56))</f>
        <v>0</v>
      </c>
      <c r="R56" s="1486">
        <v>0.85</v>
      </c>
      <c r="S56" s="1418">
        <f>AS56</f>
        <v>0</v>
      </c>
      <c r="T56" s="1379">
        <f>IF(ISERROR(S56/R56),"",(S56/R56))</f>
        <v>0</v>
      </c>
      <c r="U56" s="1382">
        <f>R56</f>
        <v>0.85</v>
      </c>
      <c r="V56" s="1382">
        <f>P56</f>
        <v>0</v>
      </c>
      <c r="W56" s="1382">
        <f>IF((IF(ISERROR(V56/U56),0,(V56/U56)))&gt;1,1,(IF(ISERROR(V56/U56),0,(V56/U56))))</f>
        <v>0</v>
      </c>
      <c r="X56" s="1382">
        <f>F56*W56</f>
        <v>0</v>
      </c>
      <c r="Y56" s="1356" t="s">
        <v>1980</v>
      </c>
      <c r="Z56" s="1356" t="s">
        <v>2347</v>
      </c>
      <c r="AA56" s="1356" t="s">
        <v>1981</v>
      </c>
      <c r="AB56" s="1487"/>
      <c r="AC56" s="1420" t="s">
        <v>542</v>
      </c>
      <c r="AD56" s="1385" t="s">
        <v>2348</v>
      </c>
      <c r="AE56" s="1385" t="s">
        <v>2349</v>
      </c>
      <c r="AF56" s="1410">
        <f t="shared" si="1"/>
        <v>0.75</v>
      </c>
      <c r="AG56" s="1410"/>
      <c r="AH56" s="1411"/>
      <c r="AI56" s="1411"/>
      <c r="AJ56" s="1421">
        <f t="shared" si="2"/>
        <v>0.8</v>
      </c>
      <c r="AK56" s="1421"/>
      <c r="AL56" s="1389"/>
      <c r="AM56" s="1390"/>
      <c r="AN56" s="1410">
        <f t="shared" si="3"/>
        <v>0.82</v>
      </c>
      <c r="AO56" s="1410"/>
      <c r="AP56" s="1411"/>
      <c r="AQ56" s="1411"/>
      <c r="AR56" s="1423">
        <f t="shared" si="4"/>
        <v>0.85</v>
      </c>
      <c r="AS56" s="1488"/>
      <c r="AT56" s="1489"/>
      <c r="AU56" s="1490"/>
    </row>
    <row r="57" spans="1:47" s="758" customFormat="1" ht="158.25" customHeight="1" thickBot="1">
      <c r="A57" s="1531"/>
      <c r="B57" s="1531"/>
      <c r="C57" s="1531"/>
      <c r="D57" s="1446">
        <v>2</v>
      </c>
      <c r="E57" s="1400" t="s">
        <v>2584</v>
      </c>
      <c r="F57" s="1472">
        <v>0.02</v>
      </c>
      <c r="G57" s="1400" t="s">
        <v>537</v>
      </c>
      <c r="H57" s="1400" t="s">
        <v>532</v>
      </c>
      <c r="I57" s="1485">
        <v>0.7</v>
      </c>
      <c r="J57" s="1402">
        <f>AG57</f>
        <v>0</v>
      </c>
      <c r="K57" s="1394">
        <f>IF(ISERROR(J57/I57),"",(J57/I57))</f>
        <v>0</v>
      </c>
      <c r="L57" s="1491">
        <v>0</v>
      </c>
      <c r="M57" s="1492">
        <f>AK57</f>
        <v>0</v>
      </c>
      <c r="N57" s="1493" t="str">
        <f>IF(ISERROR(M57/L57),"",(M57/L57))</f>
        <v/>
      </c>
      <c r="O57" s="1485">
        <v>0</v>
      </c>
      <c r="P57" s="1402">
        <f>AO57</f>
        <v>0</v>
      </c>
      <c r="Q57" s="1394" t="str">
        <f>IF(ISERROR(P57/O57),"",(P57/O57))</f>
        <v/>
      </c>
      <c r="R57" s="1491">
        <v>0</v>
      </c>
      <c r="S57" s="1492">
        <f>AS57</f>
        <v>0</v>
      </c>
      <c r="T57" s="1405" t="str">
        <f>IF(ISERROR(S57/R57),"",(S57/R57))</f>
        <v/>
      </c>
      <c r="U57" s="1382">
        <f t="shared" ref="U57:V59" si="37">SUM(I57,L57,O57,R57)</f>
        <v>0.7</v>
      </c>
      <c r="V57" s="1382">
        <f t="shared" si="37"/>
        <v>0</v>
      </c>
      <c r="W57" s="1382">
        <f>IF((IF(ISERROR(V57/U57),0,(V57/U57)))&gt;1,1,(IF(ISERROR(V57/U57),0,(V57/U57))))</f>
        <v>0</v>
      </c>
      <c r="X57" s="1382">
        <f>F57*W57</f>
        <v>0</v>
      </c>
      <c r="Y57" s="1400" t="s">
        <v>2355</v>
      </c>
      <c r="Z57" s="1400" t="s">
        <v>2585</v>
      </c>
      <c r="AA57" s="1400" t="s">
        <v>2357</v>
      </c>
      <c r="AB57" s="1494" t="s">
        <v>2358</v>
      </c>
      <c r="AC57" s="1426" t="s">
        <v>542</v>
      </c>
      <c r="AD57" s="1427" t="s">
        <v>2586</v>
      </c>
      <c r="AE57" s="1427" t="s">
        <v>2587</v>
      </c>
      <c r="AF57" s="1410">
        <f t="shared" si="1"/>
        <v>0.7</v>
      </c>
      <c r="AG57" s="1410"/>
      <c r="AH57" s="1411"/>
      <c r="AI57" s="1411"/>
      <c r="AJ57" s="1412">
        <f t="shared" si="2"/>
        <v>0</v>
      </c>
      <c r="AK57" s="1412"/>
      <c r="AL57" s="1429"/>
      <c r="AM57" s="1414"/>
      <c r="AN57" s="1410">
        <f t="shared" si="3"/>
        <v>0</v>
      </c>
      <c r="AO57" s="1410"/>
      <c r="AP57" s="1411"/>
      <c r="AQ57" s="1411"/>
      <c r="AR57" s="1412">
        <f t="shared" si="4"/>
        <v>0</v>
      </c>
      <c r="AS57" s="1495"/>
      <c r="AT57" s="1414"/>
      <c r="AU57" s="1414"/>
    </row>
    <row r="58" spans="1:47" s="758" customFormat="1" ht="119.45" customHeight="1" thickBot="1">
      <c r="A58" s="1531"/>
      <c r="B58" s="1531"/>
      <c r="C58" s="1531"/>
      <c r="D58" s="1446">
        <v>3</v>
      </c>
      <c r="E58" s="1400" t="s">
        <v>2588</v>
      </c>
      <c r="F58" s="1472">
        <v>0</v>
      </c>
      <c r="G58" s="1400" t="s">
        <v>537</v>
      </c>
      <c r="H58" s="1400" t="s">
        <v>532</v>
      </c>
      <c r="I58" s="1485">
        <v>0</v>
      </c>
      <c r="J58" s="1402">
        <f>AG58</f>
        <v>0</v>
      </c>
      <c r="K58" s="1394" t="str">
        <f>IF(ISERROR(J58/I58),"",(J58/I58))</f>
        <v/>
      </c>
      <c r="L58" s="1491">
        <v>0</v>
      </c>
      <c r="M58" s="1492">
        <f>AK58</f>
        <v>0</v>
      </c>
      <c r="N58" s="1493" t="str">
        <f>IF(ISERROR(M58/L58),"",(M58/L58))</f>
        <v/>
      </c>
      <c r="O58" s="1485">
        <v>0</v>
      </c>
      <c r="P58" s="1402">
        <f>AO58</f>
        <v>0</v>
      </c>
      <c r="Q58" s="1394" t="str">
        <f>IF(ISERROR(P58/O58),"",(P58/O58))</f>
        <v/>
      </c>
      <c r="R58" s="1491">
        <v>0</v>
      </c>
      <c r="S58" s="1492">
        <f>AS58</f>
        <v>0</v>
      </c>
      <c r="T58" s="1405" t="str">
        <f>IF(ISERROR(S58/R58),"",(S58/R58))</f>
        <v/>
      </c>
      <c r="U58" s="1382">
        <f t="shared" si="37"/>
        <v>0</v>
      </c>
      <c r="V58" s="1382">
        <f t="shared" si="37"/>
        <v>0</v>
      </c>
      <c r="W58" s="1382">
        <f>IF((IF(ISERROR(V58/U58),0,(V58/U58)))&gt;1,1,(IF(ISERROR(V58/U58),0,(V58/U58))))</f>
        <v>0</v>
      </c>
      <c r="X58" s="1382">
        <f>F58*W58</f>
        <v>0</v>
      </c>
      <c r="Y58" s="1400" t="s">
        <v>2363</v>
      </c>
      <c r="Z58" s="1400" t="s">
        <v>2589</v>
      </c>
      <c r="AA58" s="1400" t="s">
        <v>2365</v>
      </c>
      <c r="AB58" s="1400" t="s">
        <v>2366</v>
      </c>
      <c r="AC58" s="1426" t="s">
        <v>540</v>
      </c>
      <c r="AD58" s="1427"/>
      <c r="AE58" s="1427" t="s">
        <v>2590</v>
      </c>
      <c r="AF58" s="1410">
        <f t="shared" si="1"/>
        <v>0</v>
      </c>
      <c r="AG58" s="1410"/>
      <c r="AH58" s="1411"/>
      <c r="AI58" s="1411"/>
      <c r="AJ58" s="1412">
        <f t="shared" si="2"/>
        <v>0</v>
      </c>
      <c r="AK58" s="1496"/>
      <c r="AL58" s="1497"/>
      <c r="AM58" s="1414"/>
      <c r="AN58" s="1410"/>
      <c r="AO58" s="1410"/>
      <c r="AP58" s="1411"/>
      <c r="AQ58" s="1411"/>
      <c r="AR58" s="1412"/>
      <c r="AS58" s="1495"/>
      <c r="AT58" s="1414"/>
      <c r="AU58" s="1414"/>
    </row>
    <row r="59" spans="1:47" ht="99.95" customHeight="1" thickBot="1">
      <c r="A59" s="1531"/>
      <c r="B59" s="1531"/>
      <c r="C59" s="1531"/>
      <c r="D59" s="1390"/>
      <c r="E59" s="1356" t="s">
        <v>2591</v>
      </c>
      <c r="F59" s="1435">
        <v>0</v>
      </c>
      <c r="G59" s="1356"/>
      <c r="H59" s="1356"/>
      <c r="I59" s="1476">
        <v>0</v>
      </c>
      <c r="J59" s="1375">
        <f>AG59</f>
        <v>0</v>
      </c>
      <c r="K59" s="1394" t="str">
        <f>IF(ISERROR(J59/I59),"",(J59/I59))</f>
        <v/>
      </c>
      <c r="L59" s="1498">
        <v>0</v>
      </c>
      <c r="M59" s="1378">
        <f>AK59</f>
        <v>0</v>
      </c>
      <c r="N59" s="1379" t="str">
        <f>IF(ISERROR(M59/L59),"",(M59/L59))</f>
        <v/>
      </c>
      <c r="O59" s="1476">
        <v>0</v>
      </c>
      <c r="P59" s="1375">
        <f>AO59</f>
        <v>0</v>
      </c>
      <c r="Q59" s="1394" t="str">
        <f>IF(ISERROR(P59/O59),"",(P59/O59))</f>
        <v/>
      </c>
      <c r="R59" s="1498">
        <v>0</v>
      </c>
      <c r="S59" s="1378">
        <f>AS59</f>
        <v>0</v>
      </c>
      <c r="T59" s="1379" t="str">
        <f>IF(ISERROR(S59/R59),"",(S59/R59))</f>
        <v/>
      </c>
      <c r="U59" s="1380">
        <f t="shared" si="37"/>
        <v>0</v>
      </c>
      <c r="V59" s="1478">
        <f t="shared" si="37"/>
        <v>0</v>
      </c>
      <c r="W59" s="1382">
        <f>IF((IF(ISERROR(V59/U59),0,(V59/U59)))&gt;1,1,(IF(ISERROR(V59/U59),0,(V59/U59))))</f>
        <v>0</v>
      </c>
      <c r="X59" s="1382">
        <f>F59*W59</f>
        <v>0</v>
      </c>
      <c r="Y59" s="1420"/>
      <c r="Z59" s="1420"/>
      <c r="AA59" s="1499"/>
      <c r="AB59" s="1420"/>
      <c r="AC59" s="1420"/>
      <c r="AD59" s="1385"/>
      <c r="AE59" s="1385"/>
      <c r="AF59" s="1444">
        <f t="shared" si="1"/>
        <v>0</v>
      </c>
      <c r="AG59" s="1444"/>
      <c r="AH59" s="1411"/>
      <c r="AI59" s="1411"/>
      <c r="AJ59" s="1445">
        <f t="shared" si="2"/>
        <v>0</v>
      </c>
      <c r="AK59" s="1445"/>
      <c r="AL59" s="1432"/>
      <c r="AM59" s="1432"/>
      <c r="AN59" s="1444">
        <f>O59</f>
        <v>0</v>
      </c>
      <c r="AO59" s="1444"/>
      <c r="AP59" s="1411"/>
      <c r="AQ59" s="1411"/>
      <c r="AR59" s="1445">
        <f>R59</f>
        <v>0</v>
      </c>
      <c r="AS59" s="1480"/>
      <c r="AT59" s="1432"/>
      <c r="AU59" s="1432"/>
    </row>
    <row r="60" spans="1:47" ht="77.45" customHeight="1" thickBot="1">
      <c r="A60" s="1523"/>
      <c r="B60" s="1523"/>
      <c r="C60" s="1397" t="s">
        <v>1755</v>
      </c>
      <c r="D60" s="1530"/>
      <c r="E60" s="1530"/>
      <c r="F60" s="1530"/>
      <c r="G60" s="1530"/>
      <c r="H60" s="1530"/>
      <c r="I60" s="1530"/>
      <c r="J60" s="1530"/>
      <c r="K60" s="1530"/>
      <c r="L60" s="1530"/>
      <c r="M60" s="1530"/>
      <c r="N60" s="1530"/>
      <c r="O60" s="1530"/>
      <c r="P60" s="1530"/>
      <c r="Q60" s="1530"/>
      <c r="R60" s="1530"/>
      <c r="S60" s="1530"/>
      <c r="T60" s="1530"/>
      <c r="U60" s="1530"/>
      <c r="V60" s="1530"/>
      <c r="W60" s="1530"/>
      <c r="X60" s="1530"/>
      <c r="Y60" s="1530"/>
      <c r="Z60" s="1530"/>
      <c r="AA60" s="1530"/>
      <c r="AB60" s="1530"/>
      <c r="AC60" s="1530"/>
      <c r="AD60" s="1530"/>
      <c r="AE60" s="1530"/>
      <c r="AF60" s="1530">
        <f t="shared" si="1"/>
        <v>0</v>
      </c>
      <c r="AG60" s="1530"/>
      <c r="AH60" s="1530"/>
      <c r="AI60" s="1530"/>
      <c r="AJ60" s="1530">
        <f t="shared" si="2"/>
        <v>0</v>
      </c>
      <c r="AK60" s="1530"/>
      <c r="AL60" s="1530"/>
      <c r="AM60" s="1530"/>
      <c r="AN60" s="1530">
        <f>O60</f>
        <v>0</v>
      </c>
      <c r="AO60" s="1530"/>
      <c r="AP60" s="1530"/>
      <c r="AQ60" s="1530"/>
      <c r="AR60" s="1530">
        <f>R60</f>
        <v>0</v>
      </c>
      <c r="AS60" s="1530"/>
      <c r="AT60" s="1530"/>
      <c r="AU60" s="1530"/>
    </row>
    <row r="61" spans="1:47" ht="107.25" customHeight="1" thickBot="1">
      <c r="A61" s="1390" t="s">
        <v>1978</v>
      </c>
      <c r="B61" s="1390" t="s">
        <v>2001</v>
      </c>
      <c r="C61" s="1390" t="s">
        <v>1608</v>
      </c>
      <c r="D61" s="1390"/>
      <c r="E61" s="1500" t="s">
        <v>2370</v>
      </c>
      <c r="F61" s="1435">
        <v>0.02</v>
      </c>
      <c r="G61" s="1356" t="s">
        <v>537</v>
      </c>
      <c r="H61" s="1356" t="s">
        <v>529</v>
      </c>
      <c r="I61" s="1501">
        <v>0.15</v>
      </c>
      <c r="J61" s="1502">
        <f>AG61</f>
        <v>0</v>
      </c>
      <c r="K61" s="1453">
        <f>IF(ISERROR(J61/I61),"",(J61/I61))</f>
        <v>0</v>
      </c>
      <c r="L61" s="1503">
        <v>0.3</v>
      </c>
      <c r="M61" s="1420">
        <f>AK61</f>
        <v>0</v>
      </c>
      <c r="N61" s="1454">
        <f>IF(ISERROR(M61/L61),"",(M61/L61))</f>
        <v>0</v>
      </c>
      <c r="O61" s="1501">
        <v>0.45</v>
      </c>
      <c r="P61" s="1502">
        <f>AO61</f>
        <v>0</v>
      </c>
      <c r="Q61" s="1453">
        <f>IF(ISERROR(P61/O61),"",(P61/O61))</f>
        <v>0</v>
      </c>
      <c r="R61" s="1503">
        <v>0.6</v>
      </c>
      <c r="S61" s="1420">
        <f>AS61</f>
        <v>0</v>
      </c>
      <c r="T61" s="1454">
        <f>IF(ISERROR(S61/R61),"",(S61/R61))</f>
        <v>0</v>
      </c>
      <c r="U61" s="1382">
        <f>R61</f>
        <v>0.6</v>
      </c>
      <c r="V61" s="1382">
        <f>P61</f>
        <v>0</v>
      </c>
      <c r="W61" s="1382">
        <f>IF((IF(ISERROR(V61/U61),0,(V61/U61)))&gt;1,1,(IF(ISERROR(V61/U61),0,(V61/U61))))</f>
        <v>0</v>
      </c>
      <c r="X61" s="1382">
        <f>F61*W61</f>
        <v>0</v>
      </c>
      <c r="Y61" s="1483" t="s">
        <v>2371</v>
      </c>
      <c r="Z61" s="1483" t="s">
        <v>2592</v>
      </c>
      <c r="AA61" s="1504" t="s">
        <v>2373</v>
      </c>
      <c r="AB61" s="1504" t="s">
        <v>2374</v>
      </c>
      <c r="AC61" s="1505" t="s">
        <v>542</v>
      </c>
      <c r="AD61" s="1506" t="s">
        <v>2375</v>
      </c>
      <c r="AE61" s="1385"/>
      <c r="AF61" s="1482">
        <f t="shared" si="1"/>
        <v>0.15</v>
      </c>
      <c r="AG61" s="1444"/>
      <c r="AH61" s="1411"/>
      <c r="AI61" s="1411"/>
      <c r="AJ61" s="1423">
        <f t="shared" si="2"/>
        <v>0.3</v>
      </c>
      <c r="AK61" s="1445"/>
      <c r="AL61" s="1432"/>
      <c r="AM61" s="1432"/>
      <c r="AN61" s="1482">
        <f>O61</f>
        <v>0.45</v>
      </c>
      <c r="AO61" s="1444"/>
      <c r="AP61" s="1411"/>
      <c r="AQ61" s="1411"/>
      <c r="AR61" s="1423">
        <f>R61</f>
        <v>0.6</v>
      </c>
      <c r="AS61" s="1480"/>
      <c r="AT61" s="1432"/>
      <c r="AU61" s="1432"/>
    </row>
    <row r="62" spans="1:47" ht="12.75" customHeight="1">
      <c r="F62" s="1023">
        <f>SUM(F12:F61)</f>
        <v>1.0000000000000002</v>
      </c>
      <c r="AO62" s="1507"/>
      <c r="AP62" s="1507"/>
      <c r="AQ62" s="1507"/>
    </row>
  </sheetData>
  <sheetProtection password="EDC9" sheet="1" objects="1" scenarios="1" selectLockedCells="1" selectUnlockedCells="1"/>
  <mergeCells count="79">
    <mergeCell ref="A60:B60"/>
    <mergeCell ref="D60:AU60"/>
    <mergeCell ref="A24:A43"/>
    <mergeCell ref="B24:B43"/>
    <mergeCell ref="C24:C43"/>
    <mergeCell ref="D44:AU44"/>
    <mergeCell ref="A45:A54"/>
    <mergeCell ref="B45:B54"/>
    <mergeCell ref="C45:C54"/>
    <mergeCell ref="A55:B55"/>
    <mergeCell ref="D55:AU55"/>
    <mergeCell ref="A56:A59"/>
    <mergeCell ref="B56:B59"/>
    <mergeCell ref="C56:C59"/>
    <mergeCell ref="AA10:AA11"/>
    <mergeCell ref="A15:B15"/>
    <mergeCell ref="D15:AU15"/>
    <mergeCell ref="A16:A22"/>
    <mergeCell ref="B16:B22"/>
    <mergeCell ref="C16:C22"/>
    <mergeCell ref="R10:R11"/>
    <mergeCell ref="A23:B23"/>
    <mergeCell ref="E23:AU23"/>
    <mergeCell ref="AB10:AB11"/>
    <mergeCell ref="AF10:AI10"/>
    <mergeCell ref="AJ10:AM10"/>
    <mergeCell ref="AN10:AQ10"/>
    <mergeCell ref="AR10:AU10"/>
    <mergeCell ref="A12:A14"/>
    <mergeCell ref="B12:B14"/>
    <mergeCell ref="C12:C14"/>
    <mergeCell ref="T10:T11"/>
    <mergeCell ref="U10:U11"/>
    <mergeCell ref="V10:V11"/>
    <mergeCell ref="W10:W11"/>
    <mergeCell ref="X10:X11"/>
    <mergeCell ref="Y9:Y11"/>
    <mergeCell ref="AE9:AE11"/>
    <mergeCell ref="I10:I11"/>
    <mergeCell ref="J10:J11"/>
    <mergeCell ref="K10:K11"/>
    <mergeCell ref="L10:L11"/>
    <mergeCell ref="M10:M11"/>
    <mergeCell ref="S10:S11"/>
    <mergeCell ref="Z9:Z11"/>
    <mergeCell ref="AA9:AB9"/>
    <mergeCell ref="AC9:AC11"/>
    <mergeCell ref="AD9:AD11"/>
    <mergeCell ref="N10:N11"/>
    <mergeCell ref="O10:O11"/>
    <mergeCell ref="P10:P11"/>
    <mergeCell ref="Q10:Q11"/>
    <mergeCell ref="I9:K9"/>
    <mergeCell ref="L9:N9"/>
    <mergeCell ref="O9:Q9"/>
    <mergeCell ref="R9:T9"/>
    <mergeCell ref="U9:W9"/>
    <mergeCell ref="F8:F11"/>
    <mergeCell ref="A5:E5"/>
    <mergeCell ref="F5:AC5"/>
    <mergeCell ref="A6:E6"/>
    <mergeCell ref="F6:AC6"/>
    <mergeCell ref="A7:E7"/>
    <mergeCell ref="F7:AC7"/>
    <mergeCell ref="A8:A11"/>
    <mergeCell ref="B8:B11"/>
    <mergeCell ref="C8:C10"/>
    <mergeCell ref="D8:D11"/>
    <mergeCell ref="E8:E11"/>
    <mergeCell ref="G8:G11"/>
    <mergeCell ref="H8:H11"/>
    <mergeCell ref="I8:X8"/>
    <mergeCell ref="Y8:AE8"/>
    <mergeCell ref="A1:E3"/>
    <mergeCell ref="F1:AC1"/>
    <mergeCell ref="F2:AC2"/>
    <mergeCell ref="F3:AC3"/>
    <mergeCell ref="A4:E4"/>
    <mergeCell ref="F4:AC4"/>
  </mergeCells>
  <conditionalFormatting sqref="Q24:Q32 Q21:Q22 K59:K61 K12:K15 Q12:Q15 K17 Q17 K43:K56 K21:K41">
    <cfRule type="cellIs" dxfId="761" priority="187" stopIfTrue="1" operator="between">
      <formula>0.9</formula>
      <formula>1.05</formula>
    </cfRule>
    <cfRule type="cellIs" dxfId="760" priority="188" stopIfTrue="1" operator="between">
      <formula>0.7</formula>
      <formula>0.8999</formula>
    </cfRule>
    <cfRule type="cellIs" dxfId="759" priority="189" stopIfTrue="1" operator="between">
      <formula>0</formula>
      <formula>0.6999</formula>
    </cfRule>
  </conditionalFormatting>
  <conditionalFormatting sqref="K43 K33:K39 K41">
    <cfRule type="cellIs" dxfId="758" priority="184" stopIfTrue="1" operator="between">
      <formula>0.9</formula>
      <formula>1.05</formula>
    </cfRule>
    <cfRule type="cellIs" dxfId="757" priority="185" stopIfTrue="1" operator="between">
      <formula>0.7</formula>
      <formula>0.8999</formula>
    </cfRule>
    <cfRule type="cellIs" dxfId="756" priority="186" stopIfTrue="1" operator="between">
      <formula>0</formula>
      <formula>0.6999</formula>
    </cfRule>
  </conditionalFormatting>
  <conditionalFormatting sqref="K33:K39 K43:K52 K59:K61 K54:K56 K41">
    <cfRule type="cellIs" dxfId="755" priority="181" stopIfTrue="1" operator="between">
      <formula>0.9</formula>
      <formula>1.05</formula>
    </cfRule>
    <cfRule type="cellIs" dxfId="754" priority="182" stopIfTrue="1" operator="between">
      <formula>0.7</formula>
      <formula>0.8999</formula>
    </cfRule>
    <cfRule type="cellIs" dxfId="753" priority="183" stopIfTrue="1" operator="between">
      <formula>0</formula>
      <formula>0.6999</formula>
    </cfRule>
  </conditionalFormatting>
  <conditionalFormatting sqref="N43:N52 N54:N61 N12:N39 T12:T32 N41">
    <cfRule type="cellIs" dxfId="752" priority="178" stopIfTrue="1" operator="between">
      <formula>0.9</formula>
      <formula>1.05</formula>
    </cfRule>
    <cfRule type="cellIs" dxfId="751" priority="179" stopIfTrue="1" operator="between">
      <formula>0.7</formula>
      <formula>0.899</formula>
    </cfRule>
    <cfRule type="cellIs" dxfId="750" priority="180" stopIfTrue="1" operator="between">
      <formula>0</formula>
      <formula>0.6999</formula>
    </cfRule>
  </conditionalFormatting>
  <conditionalFormatting sqref="W60 W44:W48 W34:W39 W51:W52 W54:W56 W21:W32 W12:W17 W41">
    <cfRule type="cellIs" dxfId="749" priority="175" stopIfTrue="1" operator="between">
      <formula>0.9</formula>
      <formula>1</formula>
    </cfRule>
    <cfRule type="cellIs" dxfId="748" priority="176" stopIfTrue="1" operator="between">
      <formula>0.7</formula>
      <formula>0.8999</formula>
    </cfRule>
    <cfRule type="cellIs" dxfId="747" priority="177" stopIfTrue="1" operator="between">
      <formula>0</formula>
      <formula>0.6999</formula>
    </cfRule>
  </conditionalFormatting>
  <conditionalFormatting sqref="Q43 Q33:Q39 Q41">
    <cfRule type="cellIs" dxfId="746" priority="172" stopIfTrue="1" operator="between">
      <formula>0.9</formula>
      <formula>1.05</formula>
    </cfRule>
    <cfRule type="cellIs" dxfId="745" priority="173" stopIfTrue="1" operator="between">
      <formula>0.7</formula>
      <formula>0.8999</formula>
    </cfRule>
    <cfRule type="cellIs" dxfId="744" priority="174" stopIfTrue="1" operator="between">
      <formula>0</formula>
      <formula>0.6999</formula>
    </cfRule>
  </conditionalFormatting>
  <conditionalFormatting sqref="Q43 Q33:Q39 Q41">
    <cfRule type="cellIs" dxfId="743" priority="169" stopIfTrue="1" operator="between">
      <formula>0.9</formula>
      <formula>1.05</formula>
    </cfRule>
    <cfRule type="cellIs" dxfId="742" priority="170" stopIfTrue="1" operator="between">
      <formula>0.7</formula>
      <formula>0.8999</formula>
    </cfRule>
    <cfRule type="cellIs" dxfId="741" priority="171" stopIfTrue="1" operator="between">
      <formula>0</formula>
      <formula>0.6999</formula>
    </cfRule>
  </conditionalFormatting>
  <conditionalFormatting sqref="Q54 Q45:Q52">
    <cfRule type="cellIs" dxfId="740" priority="166" stopIfTrue="1" operator="between">
      <formula>0.9</formula>
      <formula>1.05</formula>
    </cfRule>
    <cfRule type="cellIs" dxfId="739" priority="167" stopIfTrue="1" operator="between">
      <formula>0.7</formula>
      <formula>0.8999</formula>
    </cfRule>
    <cfRule type="cellIs" dxfId="738" priority="168" stopIfTrue="1" operator="between">
      <formula>0</formula>
      <formula>0.6999</formula>
    </cfRule>
  </conditionalFormatting>
  <conditionalFormatting sqref="Q54 Q45:Q52">
    <cfRule type="cellIs" dxfId="737" priority="163" stopIfTrue="1" operator="between">
      <formula>0.9</formula>
      <formula>1.05</formula>
    </cfRule>
    <cfRule type="cellIs" dxfId="736" priority="164" stopIfTrue="1" operator="between">
      <formula>0.7</formula>
      <formula>0.8999</formula>
    </cfRule>
    <cfRule type="cellIs" dxfId="735" priority="165" stopIfTrue="1" operator="between">
      <formula>0</formula>
      <formula>0.6999</formula>
    </cfRule>
  </conditionalFormatting>
  <conditionalFormatting sqref="Q59 Q56">
    <cfRule type="cellIs" dxfId="734" priority="160" stopIfTrue="1" operator="between">
      <formula>0.9</formula>
      <formula>1.05</formula>
    </cfRule>
    <cfRule type="cellIs" dxfId="733" priority="161" stopIfTrue="1" operator="between">
      <formula>0.7</formula>
      <formula>0.8999</formula>
    </cfRule>
    <cfRule type="cellIs" dxfId="732" priority="162" stopIfTrue="1" operator="between">
      <formula>0</formula>
      <formula>0.6999</formula>
    </cfRule>
  </conditionalFormatting>
  <conditionalFormatting sqref="Q59 Q56">
    <cfRule type="cellIs" dxfId="731" priority="157" stopIfTrue="1" operator="between">
      <formula>0.9</formula>
      <formula>1.05</formula>
    </cfRule>
    <cfRule type="cellIs" dxfId="730" priority="158" stopIfTrue="1" operator="between">
      <formula>0.7</formula>
      <formula>0.8999</formula>
    </cfRule>
    <cfRule type="cellIs" dxfId="729" priority="159" stopIfTrue="1" operator="between">
      <formula>0</formula>
      <formula>0.6999</formula>
    </cfRule>
  </conditionalFormatting>
  <conditionalFormatting sqref="Q61">
    <cfRule type="cellIs" dxfId="728" priority="154" stopIfTrue="1" operator="between">
      <formula>0.9</formula>
      <formula>1.05</formula>
    </cfRule>
    <cfRule type="cellIs" dxfId="727" priority="155" stopIfTrue="1" operator="between">
      <formula>0.7</formula>
      <formula>0.8999</formula>
    </cfRule>
    <cfRule type="cellIs" dxfId="726" priority="156" stopIfTrue="1" operator="between">
      <formula>0</formula>
      <formula>0.6999</formula>
    </cfRule>
  </conditionalFormatting>
  <conditionalFormatting sqref="Q61">
    <cfRule type="cellIs" dxfId="725" priority="151" stopIfTrue="1" operator="between">
      <formula>0.9</formula>
      <formula>1.05</formula>
    </cfRule>
    <cfRule type="cellIs" dxfId="724" priority="152" stopIfTrue="1" operator="between">
      <formula>0.7</formula>
      <formula>0.8999</formula>
    </cfRule>
    <cfRule type="cellIs" dxfId="723" priority="153" stopIfTrue="1" operator="between">
      <formula>0</formula>
      <formula>0.6999</formula>
    </cfRule>
  </conditionalFormatting>
  <conditionalFormatting sqref="T33:T39 T43:T52 T54:T61 T41">
    <cfRule type="cellIs" dxfId="722" priority="148" stopIfTrue="1" operator="between">
      <formula>0.9</formula>
      <formula>1.05</formula>
    </cfRule>
    <cfRule type="cellIs" dxfId="721" priority="149" stopIfTrue="1" operator="between">
      <formula>0.7</formula>
      <formula>0.899</formula>
    </cfRule>
    <cfRule type="cellIs" dxfId="720" priority="150" stopIfTrue="1" operator="between">
      <formula>0</formula>
      <formula>0.6999</formula>
    </cfRule>
  </conditionalFormatting>
  <conditionalFormatting sqref="W33">
    <cfRule type="cellIs" dxfId="719" priority="145" stopIfTrue="1" operator="between">
      <formula>0.9</formula>
      <formula>1</formula>
    </cfRule>
    <cfRule type="cellIs" dxfId="718" priority="146" stopIfTrue="1" operator="between">
      <formula>0.7</formula>
      <formula>0.8999</formula>
    </cfRule>
    <cfRule type="cellIs" dxfId="717" priority="147" stopIfTrue="1" operator="between">
      <formula>0</formula>
      <formula>0.6999</formula>
    </cfRule>
  </conditionalFormatting>
  <conditionalFormatting sqref="K40">
    <cfRule type="cellIs" dxfId="716" priority="142" stopIfTrue="1" operator="between">
      <formula>0.9</formula>
      <formula>1.05</formula>
    </cfRule>
    <cfRule type="cellIs" dxfId="715" priority="143" stopIfTrue="1" operator="between">
      <formula>0.7</formula>
      <formula>0.8999</formula>
    </cfRule>
    <cfRule type="cellIs" dxfId="714" priority="144" stopIfTrue="1" operator="between">
      <formula>0</formula>
      <formula>0.6999</formula>
    </cfRule>
  </conditionalFormatting>
  <conditionalFormatting sqref="K40">
    <cfRule type="cellIs" dxfId="713" priority="139" stopIfTrue="1" operator="between">
      <formula>0.9</formula>
      <formula>1.05</formula>
    </cfRule>
    <cfRule type="cellIs" dxfId="712" priority="140" stopIfTrue="1" operator="between">
      <formula>0.7</formula>
      <formula>0.8999</formula>
    </cfRule>
    <cfRule type="cellIs" dxfId="711" priority="141" stopIfTrue="1" operator="between">
      <formula>0</formula>
      <formula>0.6999</formula>
    </cfRule>
  </conditionalFormatting>
  <conditionalFormatting sqref="N40">
    <cfRule type="cellIs" dxfId="710" priority="136" stopIfTrue="1" operator="between">
      <formula>0.9</formula>
      <formula>1.05</formula>
    </cfRule>
    <cfRule type="cellIs" dxfId="709" priority="137" stopIfTrue="1" operator="between">
      <formula>0.7</formula>
      <formula>0.899</formula>
    </cfRule>
    <cfRule type="cellIs" dxfId="708" priority="138" stopIfTrue="1" operator="between">
      <formula>0</formula>
      <formula>0.6999</formula>
    </cfRule>
  </conditionalFormatting>
  <conditionalFormatting sqref="W40">
    <cfRule type="cellIs" dxfId="707" priority="133" stopIfTrue="1" operator="between">
      <formula>0.9</formula>
      <formula>1</formula>
    </cfRule>
    <cfRule type="cellIs" dxfId="706" priority="134" stopIfTrue="1" operator="between">
      <formula>0.7</formula>
      <formula>0.8999</formula>
    </cfRule>
    <cfRule type="cellIs" dxfId="705" priority="135" stopIfTrue="1" operator="between">
      <formula>0</formula>
      <formula>0.6999</formula>
    </cfRule>
  </conditionalFormatting>
  <conditionalFormatting sqref="Q40">
    <cfRule type="cellIs" dxfId="704" priority="130" stopIfTrue="1" operator="between">
      <formula>0.9</formula>
      <formula>1.05</formula>
    </cfRule>
    <cfRule type="cellIs" dxfId="703" priority="131" stopIfTrue="1" operator="between">
      <formula>0.7</formula>
      <formula>0.8999</formula>
    </cfRule>
    <cfRule type="cellIs" dxfId="702" priority="132" stopIfTrue="1" operator="between">
      <formula>0</formula>
      <formula>0.6999</formula>
    </cfRule>
  </conditionalFormatting>
  <conditionalFormatting sqref="Q40">
    <cfRule type="cellIs" dxfId="701" priority="127" stopIfTrue="1" operator="between">
      <formula>0.9</formula>
      <formula>1.05</formula>
    </cfRule>
    <cfRule type="cellIs" dxfId="700" priority="128" stopIfTrue="1" operator="between">
      <formula>0.7</formula>
      <formula>0.8999</formula>
    </cfRule>
    <cfRule type="cellIs" dxfId="699" priority="129" stopIfTrue="1" operator="between">
      <formula>0</formula>
      <formula>0.6999</formula>
    </cfRule>
  </conditionalFormatting>
  <conditionalFormatting sqref="T40">
    <cfRule type="cellIs" dxfId="698" priority="124" stopIfTrue="1" operator="between">
      <formula>0.9</formula>
      <formula>1.05</formula>
    </cfRule>
    <cfRule type="cellIs" dxfId="697" priority="125" stopIfTrue="1" operator="between">
      <formula>0.7</formula>
      <formula>0.899</formula>
    </cfRule>
    <cfRule type="cellIs" dxfId="696" priority="126" stopIfTrue="1" operator="between">
      <formula>0</formula>
      <formula>0.6999</formula>
    </cfRule>
  </conditionalFormatting>
  <conditionalFormatting sqref="K53">
    <cfRule type="cellIs" dxfId="695" priority="121" stopIfTrue="1" operator="between">
      <formula>0.9</formula>
      <formula>1.05</formula>
    </cfRule>
    <cfRule type="cellIs" dxfId="694" priority="122" stopIfTrue="1" operator="between">
      <formula>0.7</formula>
      <formula>0.8999</formula>
    </cfRule>
    <cfRule type="cellIs" dxfId="693" priority="123" stopIfTrue="1" operator="between">
      <formula>0</formula>
      <formula>0.6999</formula>
    </cfRule>
  </conditionalFormatting>
  <conditionalFormatting sqref="K53">
    <cfRule type="cellIs" dxfId="692" priority="118" stopIfTrue="1" operator="between">
      <formula>0.9</formula>
      <formula>1.05</formula>
    </cfRule>
    <cfRule type="cellIs" dxfId="691" priority="119" stopIfTrue="1" operator="between">
      <formula>0.7</formula>
      <formula>0.8999</formula>
    </cfRule>
    <cfRule type="cellIs" dxfId="690" priority="120" stopIfTrue="1" operator="between">
      <formula>0</formula>
      <formula>0.6999</formula>
    </cfRule>
  </conditionalFormatting>
  <conditionalFormatting sqref="N53">
    <cfRule type="cellIs" dxfId="689" priority="115" stopIfTrue="1" operator="between">
      <formula>0.9</formula>
      <formula>1.05</formula>
    </cfRule>
    <cfRule type="cellIs" dxfId="688" priority="116" stopIfTrue="1" operator="between">
      <formula>0.7</formula>
      <formula>0.899</formula>
    </cfRule>
    <cfRule type="cellIs" dxfId="687" priority="117" stopIfTrue="1" operator="between">
      <formula>0</formula>
      <formula>0.6999</formula>
    </cfRule>
  </conditionalFormatting>
  <conditionalFormatting sqref="W53">
    <cfRule type="cellIs" dxfId="686" priority="112" stopIfTrue="1" operator="between">
      <formula>0.9</formula>
      <formula>1</formula>
    </cfRule>
    <cfRule type="cellIs" dxfId="685" priority="113" stopIfTrue="1" operator="between">
      <formula>0.7</formula>
      <formula>0.8999</formula>
    </cfRule>
    <cfRule type="cellIs" dxfId="684" priority="114" stopIfTrue="1" operator="between">
      <formula>0</formula>
      <formula>0.6999</formula>
    </cfRule>
  </conditionalFormatting>
  <conditionalFormatting sqref="Q53">
    <cfRule type="cellIs" dxfId="683" priority="109" stopIfTrue="1" operator="between">
      <formula>0.9</formula>
      <formula>1.05</formula>
    </cfRule>
    <cfRule type="cellIs" dxfId="682" priority="110" stopIfTrue="1" operator="between">
      <formula>0.7</formula>
      <formula>0.8999</formula>
    </cfRule>
    <cfRule type="cellIs" dxfId="681" priority="111" stopIfTrue="1" operator="between">
      <formula>0</formula>
      <formula>0.6999</formula>
    </cfRule>
  </conditionalFormatting>
  <conditionalFormatting sqref="Q53">
    <cfRule type="cellIs" dxfId="680" priority="106" stopIfTrue="1" operator="between">
      <formula>0.9</formula>
      <formula>1.05</formula>
    </cfRule>
    <cfRule type="cellIs" dxfId="679" priority="107" stopIfTrue="1" operator="between">
      <formula>0.7</formula>
      <formula>0.8999</formula>
    </cfRule>
    <cfRule type="cellIs" dxfId="678" priority="108" stopIfTrue="1" operator="between">
      <formula>0</formula>
      <formula>0.6999</formula>
    </cfRule>
  </conditionalFormatting>
  <conditionalFormatting sqref="T53">
    <cfRule type="cellIs" dxfId="677" priority="103" stopIfTrue="1" operator="between">
      <formula>0.9</formula>
      <formula>1.05</formula>
    </cfRule>
    <cfRule type="cellIs" dxfId="676" priority="104" stopIfTrue="1" operator="between">
      <formula>0.7</formula>
      <formula>0.899</formula>
    </cfRule>
    <cfRule type="cellIs" dxfId="675" priority="105" stopIfTrue="1" operator="between">
      <formula>0</formula>
      <formula>0.6999</formula>
    </cfRule>
  </conditionalFormatting>
  <conditionalFormatting sqref="K16">
    <cfRule type="cellIs" dxfId="674" priority="100" stopIfTrue="1" operator="between">
      <formula>0.9</formula>
      <formula>1.05</formula>
    </cfRule>
    <cfRule type="cellIs" dxfId="673" priority="101" stopIfTrue="1" operator="between">
      <formula>0.7</formula>
      <formula>0.8999</formula>
    </cfRule>
    <cfRule type="cellIs" dxfId="672" priority="102" stopIfTrue="1" operator="between">
      <formula>0</formula>
      <formula>0.6999</formula>
    </cfRule>
  </conditionalFormatting>
  <conditionalFormatting sqref="Q16">
    <cfRule type="cellIs" dxfId="671" priority="97" stopIfTrue="1" operator="between">
      <formula>0.9</formula>
      <formula>1.05</formula>
    </cfRule>
    <cfRule type="cellIs" dxfId="670" priority="98" stopIfTrue="1" operator="between">
      <formula>0.7</formula>
      <formula>0.8999</formula>
    </cfRule>
    <cfRule type="cellIs" dxfId="669" priority="99" stopIfTrue="1" operator="between">
      <formula>0</formula>
      <formula>0.6999</formula>
    </cfRule>
  </conditionalFormatting>
  <conditionalFormatting sqref="K18">
    <cfRule type="cellIs" dxfId="668" priority="94" stopIfTrue="1" operator="between">
      <formula>0.9</formula>
      <formula>1.05</formula>
    </cfRule>
    <cfRule type="cellIs" dxfId="667" priority="95" stopIfTrue="1" operator="between">
      <formula>0.7</formula>
      <formula>0.8999</formula>
    </cfRule>
    <cfRule type="cellIs" dxfId="666" priority="96" stopIfTrue="1" operator="between">
      <formula>0</formula>
      <formula>0.6999</formula>
    </cfRule>
  </conditionalFormatting>
  <conditionalFormatting sqref="K19">
    <cfRule type="cellIs" dxfId="665" priority="91" stopIfTrue="1" operator="between">
      <formula>0.9</formula>
      <formula>1.05</formula>
    </cfRule>
    <cfRule type="cellIs" dxfId="664" priority="92" stopIfTrue="1" operator="between">
      <formula>0.7</formula>
      <formula>0.8999</formula>
    </cfRule>
    <cfRule type="cellIs" dxfId="663" priority="93" stopIfTrue="1" operator="between">
      <formula>0</formula>
      <formula>0.6999</formula>
    </cfRule>
  </conditionalFormatting>
  <conditionalFormatting sqref="K20">
    <cfRule type="cellIs" dxfId="662" priority="88" stopIfTrue="1" operator="between">
      <formula>0.9</formula>
      <formula>1.05</formula>
    </cfRule>
    <cfRule type="cellIs" dxfId="661" priority="89" stopIfTrue="1" operator="between">
      <formula>0.7</formula>
      <formula>0.8999</formula>
    </cfRule>
    <cfRule type="cellIs" dxfId="660" priority="90" stopIfTrue="1" operator="between">
      <formula>0</formula>
      <formula>0.6999</formula>
    </cfRule>
  </conditionalFormatting>
  <conditionalFormatting sqref="Q18">
    <cfRule type="cellIs" dxfId="659" priority="85" stopIfTrue="1" operator="between">
      <formula>0.9</formula>
      <formula>1.05</formula>
    </cfRule>
    <cfRule type="cellIs" dxfId="658" priority="86" stopIfTrue="1" operator="between">
      <formula>0.7</formula>
      <formula>0.8999</formula>
    </cfRule>
    <cfRule type="cellIs" dxfId="657" priority="87" stopIfTrue="1" operator="between">
      <formula>0</formula>
      <formula>0.6999</formula>
    </cfRule>
  </conditionalFormatting>
  <conditionalFormatting sqref="Q19">
    <cfRule type="cellIs" dxfId="656" priority="82" stopIfTrue="1" operator="between">
      <formula>0.9</formula>
      <formula>1.05</formula>
    </cfRule>
    <cfRule type="cellIs" dxfId="655" priority="83" stopIfTrue="1" operator="between">
      <formula>0.7</formula>
      <formula>0.8999</formula>
    </cfRule>
    <cfRule type="cellIs" dxfId="654" priority="84" stopIfTrue="1" operator="between">
      <formula>0</formula>
      <formula>0.6999</formula>
    </cfRule>
  </conditionalFormatting>
  <conditionalFormatting sqref="Q20">
    <cfRule type="cellIs" dxfId="653" priority="79" stopIfTrue="1" operator="between">
      <formula>0.9</formula>
      <formula>1.05</formula>
    </cfRule>
    <cfRule type="cellIs" dxfId="652" priority="80" stopIfTrue="1" operator="between">
      <formula>0.7</formula>
      <formula>0.8999</formula>
    </cfRule>
    <cfRule type="cellIs" dxfId="651" priority="81" stopIfTrue="1" operator="between">
      <formula>0</formula>
      <formula>0.6999</formula>
    </cfRule>
  </conditionalFormatting>
  <conditionalFormatting sqref="W18">
    <cfRule type="cellIs" dxfId="650" priority="76" stopIfTrue="1" operator="between">
      <formula>0.9</formula>
      <formula>1</formula>
    </cfRule>
    <cfRule type="cellIs" dxfId="649" priority="77" stopIfTrue="1" operator="between">
      <formula>0.7</formula>
      <formula>0.8999</formula>
    </cfRule>
    <cfRule type="cellIs" dxfId="648" priority="78" stopIfTrue="1" operator="between">
      <formula>0</formula>
      <formula>0.6999</formula>
    </cfRule>
  </conditionalFormatting>
  <conditionalFormatting sqref="W19">
    <cfRule type="cellIs" dxfId="647" priority="73" stopIfTrue="1" operator="between">
      <formula>0.9</formula>
      <formula>1</formula>
    </cfRule>
    <cfRule type="cellIs" dxfId="646" priority="74" stopIfTrue="1" operator="between">
      <formula>0.7</formula>
      <formula>0.8999</formula>
    </cfRule>
    <cfRule type="cellIs" dxfId="645" priority="75" stopIfTrue="1" operator="between">
      <formula>0</formula>
      <formula>0.6999</formula>
    </cfRule>
  </conditionalFormatting>
  <conditionalFormatting sqref="W20">
    <cfRule type="cellIs" dxfId="644" priority="70" stopIfTrue="1" operator="between">
      <formula>0.9</formula>
      <formula>1</formula>
    </cfRule>
    <cfRule type="cellIs" dxfId="643" priority="71" stopIfTrue="1" operator="between">
      <formula>0.7</formula>
      <formula>0.8999</formula>
    </cfRule>
    <cfRule type="cellIs" dxfId="642" priority="72" stopIfTrue="1" operator="between">
      <formula>0</formula>
      <formula>0.6999</formula>
    </cfRule>
  </conditionalFormatting>
  <conditionalFormatting sqref="W49">
    <cfRule type="cellIs" dxfId="641" priority="67" stopIfTrue="1" operator="between">
      <formula>0.9</formula>
      <formula>1</formula>
    </cfRule>
    <cfRule type="cellIs" dxfId="640" priority="68" stopIfTrue="1" operator="between">
      <formula>0.7</formula>
      <formula>0.8999</formula>
    </cfRule>
    <cfRule type="cellIs" dxfId="639" priority="69" stopIfTrue="1" operator="between">
      <formula>0</formula>
      <formula>0.6999</formula>
    </cfRule>
  </conditionalFormatting>
  <conditionalFormatting sqref="W50">
    <cfRule type="cellIs" dxfId="638" priority="64" stopIfTrue="1" operator="between">
      <formula>0.9</formula>
      <formula>1</formula>
    </cfRule>
    <cfRule type="cellIs" dxfId="637" priority="65" stopIfTrue="1" operator="between">
      <formula>0.7</formula>
      <formula>0.8999</formula>
    </cfRule>
    <cfRule type="cellIs" dxfId="636" priority="66" stopIfTrue="1" operator="between">
      <formula>0</formula>
      <formula>0.6999</formula>
    </cfRule>
  </conditionalFormatting>
  <conditionalFormatting sqref="K57">
    <cfRule type="cellIs" dxfId="635" priority="61" stopIfTrue="1" operator="between">
      <formula>0.9</formula>
      <formula>1.05</formula>
    </cfRule>
    <cfRule type="cellIs" dxfId="634" priority="62" stopIfTrue="1" operator="between">
      <formula>0.7</formula>
      <formula>0.8999</formula>
    </cfRule>
    <cfRule type="cellIs" dxfId="633" priority="63" stopIfTrue="1" operator="between">
      <formula>0</formula>
      <formula>0.6999</formula>
    </cfRule>
  </conditionalFormatting>
  <conditionalFormatting sqref="K57">
    <cfRule type="cellIs" dxfId="632" priority="58" stopIfTrue="1" operator="between">
      <formula>0.9</formula>
      <formula>1.05</formula>
    </cfRule>
    <cfRule type="cellIs" dxfId="631" priority="59" stopIfTrue="1" operator="between">
      <formula>0.7</formula>
      <formula>0.8999</formula>
    </cfRule>
    <cfRule type="cellIs" dxfId="630" priority="60" stopIfTrue="1" operator="between">
      <formula>0</formula>
      <formula>0.6999</formula>
    </cfRule>
  </conditionalFormatting>
  <conditionalFormatting sqref="K58">
    <cfRule type="cellIs" dxfId="629" priority="55" stopIfTrue="1" operator="between">
      <formula>0.9</formula>
      <formula>1.05</formula>
    </cfRule>
    <cfRule type="cellIs" dxfId="628" priority="56" stopIfTrue="1" operator="between">
      <formula>0.7</formula>
      <formula>0.8999</formula>
    </cfRule>
    <cfRule type="cellIs" dxfId="627" priority="57" stopIfTrue="1" operator="between">
      <formula>0</formula>
      <formula>0.6999</formula>
    </cfRule>
  </conditionalFormatting>
  <conditionalFormatting sqref="K58">
    <cfRule type="cellIs" dxfId="626" priority="52" stopIfTrue="1" operator="between">
      <formula>0.9</formula>
      <formula>1.05</formula>
    </cfRule>
    <cfRule type="cellIs" dxfId="625" priority="53" stopIfTrue="1" operator="between">
      <formula>0.7</formula>
      <formula>0.8999</formula>
    </cfRule>
    <cfRule type="cellIs" dxfId="624" priority="54" stopIfTrue="1" operator="between">
      <formula>0</formula>
      <formula>0.6999</formula>
    </cfRule>
  </conditionalFormatting>
  <conditionalFormatting sqref="Q57">
    <cfRule type="cellIs" dxfId="623" priority="49" stopIfTrue="1" operator="between">
      <formula>0.9</formula>
      <formula>1.05</formula>
    </cfRule>
    <cfRule type="cellIs" dxfId="622" priority="50" stopIfTrue="1" operator="between">
      <formula>0.7</formula>
      <formula>0.8999</formula>
    </cfRule>
    <cfRule type="cellIs" dxfId="621" priority="51" stopIfTrue="1" operator="between">
      <formula>0</formula>
      <formula>0.6999</formula>
    </cfRule>
  </conditionalFormatting>
  <conditionalFormatting sqref="Q57">
    <cfRule type="cellIs" dxfId="620" priority="46" stopIfTrue="1" operator="between">
      <formula>0.9</formula>
      <formula>1.05</formula>
    </cfRule>
    <cfRule type="cellIs" dxfId="619" priority="47" stopIfTrue="1" operator="between">
      <formula>0.7</formula>
      <formula>0.8999</formula>
    </cfRule>
    <cfRule type="cellIs" dxfId="618" priority="48" stopIfTrue="1" operator="between">
      <formula>0</formula>
      <formula>0.6999</formula>
    </cfRule>
  </conditionalFormatting>
  <conditionalFormatting sqref="Q58">
    <cfRule type="cellIs" dxfId="617" priority="43" stopIfTrue="1" operator="between">
      <formula>0.9</formula>
      <formula>1.05</formula>
    </cfRule>
    <cfRule type="cellIs" dxfId="616" priority="44" stopIfTrue="1" operator="between">
      <formula>0.7</formula>
      <formula>0.8999</formula>
    </cfRule>
    <cfRule type="cellIs" dxfId="615" priority="45" stopIfTrue="1" operator="between">
      <formula>0</formula>
      <formula>0.6999</formula>
    </cfRule>
  </conditionalFormatting>
  <conditionalFormatting sqref="Q58">
    <cfRule type="cellIs" dxfId="614" priority="40" stopIfTrue="1" operator="between">
      <formula>0.9</formula>
      <formula>1.05</formula>
    </cfRule>
    <cfRule type="cellIs" dxfId="613" priority="41" stopIfTrue="1" operator="between">
      <formula>0.7</formula>
      <formula>0.8999</formula>
    </cfRule>
    <cfRule type="cellIs" dxfId="612" priority="42" stopIfTrue="1" operator="between">
      <formula>0</formula>
      <formula>0.6999</formula>
    </cfRule>
  </conditionalFormatting>
  <conditionalFormatting sqref="W57">
    <cfRule type="cellIs" dxfId="611" priority="37" stopIfTrue="1" operator="between">
      <formula>0.9</formula>
      <formula>1</formula>
    </cfRule>
    <cfRule type="cellIs" dxfId="610" priority="38" stopIfTrue="1" operator="between">
      <formula>0.7</formula>
      <formula>0.8999</formula>
    </cfRule>
    <cfRule type="cellIs" dxfId="609" priority="39" stopIfTrue="1" operator="between">
      <formula>0</formula>
      <formula>0.6999</formula>
    </cfRule>
  </conditionalFormatting>
  <conditionalFormatting sqref="W58">
    <cfRule type="cellIs" dxfId="608" priority="34" stopIfTrue="1" operator="between">
      <formula>0.9</formula>
      <formula>1</formula>
    </cfRule>
    <cfRule type="cellIs" dxfId="607" priority="35" stopIfTrue="1" operator="between">
      <formula>0.7</formula>
      <formula>0.8999</formula>
    </cfRule>
    <cfRule type="cellIs" dxfId="606" priority="36" stopIfTrue="1" operator="between">
      <formula>0</formula>
      <formula>0.6999</formula>
    </cfRule>
  </conditionalFormatting>
  <conditionalFormatting sqref="W59">
    <cfRule type="cellIs" dxfId="605" priority="31" stopIfTrue="1" operator="between">
      <formula>0.9</formula>
      <formula>1</formula>
    </cfRule>
    <cfRule type="cellIs" dxfId="604" priority="32" stopIfTrue="1" operator="between">
      <formula>0.7</formula>
      <formula>0.8999</formula>
    </cfRule>
    <cfRule type="cellIs" dxfId="603" priority="33" stopIfTrue="1" operator="between">
      <formula>0</formula>
      <formula>0.6999</formula>
    </cfRule>
  </conditionalFormatting>
  <conditionalFormatting sqref="K42">
    <cfRule type="cellIs" dxfId="602" priority="28" stopIfTrue="1" operator="between">
      <formula>0.9</formula>
      <formula>1.05</formula>
    </cfRule>
    <cfRule type="cellIs" dxfId="601" priority="29" stopIfTrue="1" operator="between">
      <formula>0.7</formula>
      <formula>0.8999</formula>
    </cfRule>
    <cfRule type="cellIs" dxfId="600" priority="30" stopIfTrue="1" operator="between">
      <formula>0</formula>
      <formula>0.6999</formula>
    </cfRule>
  </conditionalFormatting>
  <conditionalFormatting sqref="K42">
    <cfRule type="cellIs" dxfId="599" priority="25" stopIfTrue="1" operator="between">
      <formula>0.9</formula>
      <formula>1.05</formula>
    </cfRule>
    <cfRule type="cellIs" dxfId="598" priority="26" stopIfTrue="1" operator="between">
      <formula>0.7</formula>
      <formula>0.8999</formula>
    </cfRule>
    <cfRule type="cellIs" dxfId="597" priority="27" stopIfTrue="1" operator="between">
      <formula>0</formula>
      <formula>0.6999</formula>
    </cfRule>
  </conditionalFormatting>
  <conditionalFormatting sqref="K42">
    <cfRule type="cellIs" dxfId="596" priority="22" stopIfTrue="1" operator="between">
      <formula>0.9</formula>
      <formula>1.05</formula>
    </cfRule>
    <cfRule type="cellIs" dxfId="595" priority="23" stopIfTrue="1" operator="between">
      <formula>0.7</formula>
      <formula>0.8999</formula>
    </cfRule>
    <cfRule type="cellIs" dxfId="594" priority="24" stopIfTrue="1" operator="between">
      <formula>0</formula>
      <formula>0.6999</formula>
    </cfRule>
  </conditionalFormatting>
  <conditionalFormatting sqref="N42">
    <cfRule type="cellIs" dxfId="593" priority="19" stopIfTrue="1" operator="between">
      <formula>0.9</formula>
      <formula>1.05</formula>
    </cfRule>
    <cfRule type="cellIs" dxfId="592" priority="20" stopIfTrue="1" operator="between">
      <formula>0.7</formula>
      <formula>0.899</formula>
    </cfRule>
    <cfRule type="cellIs" dxfId="591" priority="21" stopIfTrue="1" operator="between">
      <formula>0</formula>
      <formula>0.6999</formula>
    </cfRule>
  </conditionalFormatting>
  <conditionalFormatting sqref="W42">
    <cfRule type="cellIs" dxfId="590" priority="16" stopIfTrue="1" operator="between">
      <formula>0.9</formula>
      <formula>1</formula>
    </cfRule>
    <cfRule type="cellIs" dxfId="589" priority="17" stopIfTrue="1" operator="between">
      <formula>0.7</formula>
      <formula>0.8999</formula>
    </cfRule>
    <cfRule type="cellIs" dxfId="588" priority="18" stopIfTrue="1" operator="between">
      <formula>0</formula>
      <formula>0.6999</formula>
    </cfRule>
  </conditionalFormatting>
  <conditionalFormatting sqref="Q42">
    <cfRule type="cellIs" dxfId="587" priority="13" stopIfTrue="1" operator="between">
      <formula>0.9</formula>
      <formula>1.05</formula>
    </cfRule>
    <cfRule type="cellIs" dxfId="586" priority="14" stopIfTrue="1" operator="between">
      <formula>0.7</formula>
      <formula>0.8999</formula>
    </cfRule>
    <cfRule type="cellIs" dxfId="585" priority="15" stopIfTrue="1" operator="between">
      <formula>0</formula>
      <formula>0.6999</formula>
    </cfRule>
  </conditionalFormatting>
  <conditionalFormatting sqref="Q42">
    <cfRule type="cellIs" dxfId="584" priority="10" stopIfTrue="1" operator="between">
      <formula>0.9</formula>
      <formula>1.05</formula>
    </cfRule>
    <cfRule type="cellIs" dxfId="583" priority="11" stopIfTrue="1" operator="between">
      <formula>0.7</formula>
      <formula>0.8999</formula>
    </cfRule>
    <cfRule type="cellIs" dxfId="582" priority="12" stopIfTrue="1" operator="between">
      <formula>0</formula>
      <formula>0.6999</formula>
    </cfRule>
  </conditionalFormatting>
  <conditionalFormatting sqref="T42">
    <cfRule type="cellIs" dxfId="581" priority="7" stopIfTrue="1" operator="between">
      <formula>0.9</formula>
      <formula>1.05</formula>
    </cfRule>
    <cfRule type="cellIs" dxfId="580" priority="8" stopIfTrue="1" operator="between">
      <formula>0.7</formula>
      <formula>0.899</formula>
    </cfRule>
    <cfRule type="cellIs" dxfId="579" priority="9" stopIfTrue="1" operator="between">
      <formula>0</formula>
      <formula>0.6999</formula>
    </cfRule>
  </conditionalFormatting>
  <conditionalFormatting sqref="W43">
    <cfRule type="cellIs" dxfId="578" priority="4" stopIfTrue="1" operator="between">
      <formula>0.9</formula>
      <formula>1</formula>
    </cfRule>
    <cfRule type="cellIs" dxfId="577" priority="5" stopIfTrue="1" operator="between">
      <formula>0.7</formula>
      <formula>0.8999</formula>
    </cfRule>
    <cfRule type="cellIs" dxfId="576" priority="6" stopIfTrue="1" operator="between">
      <formula>0</formula>
      <formula>0.6999</formula>
    </cfRule>
  </conditionalFormatting>
  <conditionalFormatting sqref="W61">
    <cfRule type="cellIs" dxfId="575" priority="1" stopIfTrue="1" operator="between">
      <formula>0.9</formula>
      <formula>1</formula>
    </cfRule>
    <cfRule type="cellIs" dxfId="574" priority="2" stopIfTrue="1" operator="between">
      <formula>0.7</formula>
      <formula>0.8999</formula>
    </cfRule>
    <cfRule type="cellIs" dxfId="573" priority="3" stopIfTrue="1" operator="between">
      <formula>0</formula>
      <formula>0.6999</formula>
    </cfRule>
  </conditionalFormatting>
  <pageMargins left="0.78749999999999998" right="0.59027777777777779" top="1.0527777777777778" bottom="1.0527777777777778" header="0.78749999999999998" footer="0.78749999999999998"/>
  <pageSetup scale="43" orientation="landscape" useFirstPageNumber="1" horizontalDpi="300" verticalDpi="300"/>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H9" sqref="H9"/>
    </sheetView>
  </sheetViews>
  <sheetFormatPr baseColWidth="10" defaultRowHeight="12.75"/>
  <cols>
    <col min="1" max="1" width="11.7109375" style="1313" customWidth="1"/>
    <col min="2" max="2" width="49.28515625" style="1313" hidden="1" customWidth="1"/>
    <col min="3" max="3" width="10.28515625" style="1313" customWidth="1"/>
    <col min="4" max="4" width="10.42578125" style="1313" customWidth="1"/>
    <col min="5" max="5" width="10.28515625" style="1313" customWidth="1"/>
    <col min="6" max="6" width="10.42578125" style="1313" customWidth="1"/>
    <col min="7" max="7" width="10.5703125" style="1313" customWidth="1"/>
    <col min="8" max="8" width="10.85546875" style="1313" customWidth="1"/>
    <col min="9" max="9" width="11" style="1313" customWidth="1"/>
    <col min="10" max="10" width="10.5703125" style="1313" customWidth="1"/>
    <col min="11" max="11" width="10.28515625" style="1313" bestFit="1" customWidth="1"/>
    <col min="12" max="12" width="10.28515625" style="1313" customWidth="1"/>
    <col min="13" max="14" width="10.140625" style="1313" customWidth="1"/>
    <col min="15" max="256" width="11.42578125" style="1313"/>
    <col min="257" max="257" width="11.7109375" style="1313" customWidth="1"/>
    <col min="258" max="258" width="0" style="1313" hidden="1" customWidth="1"/>
    <col min="259" max="259" width="10.28515625" style="1313" customWidth="1"/>
    <col min="260" max="260" width="10.42578125" style="1313" customWidth="1"/>
    <col min="261" max="261" width="10.28515625" style="1313" customWidth="1"/>
    <col min="262" max="262" width="10.42578125" style="1313" customWidth="1"/>
    <col min="263" max="263" width="10.5703125" style="1313" customWidth="1"/>
    <col min="264" max="264" width="10.85546875" style="1313" customWidth="1"/>
    <col min="265" max="265" width="11" style="1313" customWidth="1"/>
    <col min="266" max="266" width="10.5703125" style="1313" customWidth="1"/>
    <col min="267" max="267" width="10.28515625" style="1313" bestFit="1" customWidth="1"/>
    <col min="268" max="268" width="10.28515625" style="1313" customWidth="1"/>
    <col min="269" max="270" width="10.140625" style="1313" customWidth="1"/>
    <col min="271" max="512" width="11.42578125" style="1313"/>
    <col min="513" max="513" width="11.7109375" style="1313" customWidth="1"/>
    <col min="514" max="514" width="0" style="1313" hidden="1" customWidth="1"/>
    <col min="515" max="515" width="10.28515625" style="1313" customWidth="1"/>
    <col min="516" max="516" width="10.42578125" style="1313" customWidth="1"/>
    <col min="517" max="517" width="10.28515625" style="1313" customWidth="1"/>
    <col min="518" max="518" width="10.42578125" style="1313" customWidth="1"/>
    <col min="519" max="519" width="10.5703125" style="1313" customWidth="1"/>
    <col min="520" max="520" width="10.85546875" style="1313" customWidth="1"/>
    <col min="521" max="521" width="11" style="1313" customWidth="1"/>
    <col min="522" max="522" width="10.5703125" style="1313" customWidth="1"/>
    <col min="523" max="523" width="10.28515625" style="1313" bestFit="1" customWidth="1"/>
    <col min="524" max="524" width="10.28515625" style="1313" customWidth="1"/>
    <col min="525" max="526" width="10.140625" style="1313" customWidth="1"/>
    <col min="527" max="768" width="11.42578125" style="1313"/>
    <col min="769" max="769" width="11.7109375" style="1313" customWidth="1"/>
    <col min="770" max="770" width="0" style="1313" hidden="1" customWidth="1"/>
    <col min="771" max="771" width="10.28515625" style="1313" customWidth="1"/>
    <col min="772" max="772" width="10.42578125" style="1313" customWidth="1"/>
    <col min="773" max="773" width="10.28515625" style="1313" customWidth="1"/>
    <col min="774" max="774" width="10.42578125" style="1313" customWidth="1"/>
    <col min="775" max="775" width="10.5703125" style="1313" customWidth="1"/>
    <col min="776" max="776" width="10.85546875" style="1313" customWidth="1"/>
    <col min="777" max="777" width="11" style="1313" customWidth="1"/>
    <col min="778" max="778" width="10.5703125" style="1313" customWidth="1"/>
    <col min="779" max="779" width="10.28515625" style="1313" bestFit="1" customWidth="1"/>
    <col min="780" max="780" width="10.28515625" style="1313" customWidth="1"/>
    <col min="781" max="782" width="10.140625" style="1313" customWidth="1"/>
    <col min="783" max="1024" width="11.42578125" style="1313"/>
    <col min="1025" max="1025" width="11.7109375" style="1313" customWidth="1"/>
    <col min="1026" max="1026" width="0" style="1313" hidden="1" customWidth="1"/>
    <col min="1027" max="1027" width="10.28515625" style="1313" customWidth="1"/>
    <col min="1028" max="1028" width="10.42578125" style="1313" customWidth="1"/>
    <col min="1029" max="1029" width="10.28515625" style="1313" customWidth="1"/>
    <col min="1030" max="1030" width="10.42578125" style="1313" customWidth="1"/>
    <col min="1031" max="1031" width="10.5703125" style="1313" customWidth="1"/>
    <col min="1032" max="1032" width="10.85546875" style="1313" customWidth="1"/>
    <col min="1033" max="1033" width="11" style="1313" customWidth="1"/>
    <col min="1034" max="1034" width="10.5703125" style="1313" customWidth="1"/>
    <col min="1035" max="1035" width="10.28515625" style="1313" bestFit="1" customWidth="1"/>
    <col min="1036" max="1036" width="10.28515625" style="1313" customWidth="1"/>
    <col min="1037" max="1038" width="10.140625" style="1313" customWidth="1"/>
    <col min="1039" max="1280" width="11.42578125" style="1313"/>
    <col min="1281" max="1281" width="11.7109375" style="1313" customWidth="1"/>
    <col min="1282" max="1282" width="0" style="1313" hidden="1" customWidth="1"/>
    <col min="1283" max="1283" width="10.28515625" style="1313" customWidth="1"/>
    <col min="1284" max="1284" width="10.42578125" style="1313" customWidth="1"/>
    <col min="1285" max="1285" width="10.28515625" style="1313" customWidth="1"/>
    <col min="1286" max="1286" width="10.42578125" style="1313" customWidth="1"/>
    <col min="1287" max="1287" width="10.5703125" style="1313" customWidth="1"/>
    <col min="1288" max="1288" width="10.85546875" style="1313" customWidth="1"/>
    <col min="1289" max="1289" width="11" style="1313" customWidth="1"/>
    <col min="1290" max="1290" width="10.5703125" style="1313" customWidth="1"/>
    <col min="1291" max="1291" width="10.28515625" style="1313" bestFit="1" customWidth="1"/>
    <col min="1292" max="1292" width="10.28515625" style="1313" customWidth="1"/>
    <col min="1293" max="1294" width="10.140625" style="1313" customWidth="1"/>
    <col min="1295" max="1536" width="11.42578125" style="1313"/>
    <col min="1537" max="1537" width="11.7109375" style="1313" customWidth="1"/>
    <col min="1538" max="1538" width="0" style="1313" hidden="1" customWidth="1"/>
    <col min="1539" max="1539" width="10.28515625" style="1313" customWidth="1"/>
    <col min="1540" max="1540" width="10.42578125" style="1313" customWidth="1"/>
    <col min="1541" max="1541" width="10.28515625" style="1313" customWidth="1"/>
    <col min="1542" max="1542" width="10.42578125" style="1313" customWidth="1"/>
    <col min="1543" max="1543" width="10.5703125" style="1313" customWidth="1"/>
    <col min="1544" max="1544" width="10.85546875" style="1313" customWidth="1"/>
    <col min="1545" max="1545" width="11" style="1313" customWidth="1"/>
    <col min="1546" max="1546" width="10.5703125" style="1313" customWidth="1"/>
    <col min="1547" max="1547" width="10.28515625" style="1313" bestFit="1" customWidth="1"/>
    <col min="1548" max="1548" width="10.28515625" style="1313" customWidth="1"/>
    <col min="1549" max="1550" width="10.140625" style="1313" customWidth="1"/>
    <col min="1551" max="1792" width="11.42578125" style="1313"/>
    <col min="1793" max="1793" width="11.7109375" style="1313" customWidth="1"/>
    <col min="1794" max="1794" width="0" style="1313" hidden="1" customWidth="1"/>
    <col min="1795" max="1795" width="10.28515625" style="1313" customWidth="1"/>
    <col min="1796" max="1796" width="10.42578125" style="1313" customWidth="1"/>
    <col min="1797" max="1797" width="10.28515625" style="1313" customWidth="1"/>
    <col min="1798" max="1798" width="10.42578125" style="1313" customWidth="1"/>
    <col min="1799" max="1799" width="10.5703125" style="1313" customWidth="1"/>
    <col min="1800" max="1800" width="10.85546875" style="1313" customWidth="1"/>
    <col min="1801" max="1801" width="11" style="1313" customWidth="1"/>
    <col min="1802" max="1802" width="10.5703125" style="1313" customWidth="1"/>
    <col min="1803" max="1803" width="10.28515625" style="1313" bestFit="1" customWidth="1"/>
    <col min="1804" max="1804" width="10.28515625" style="1313" customWidth="1"/>
    <col min="1805" max="1806" width="10.140625" style="1313" customWidth="1"/>
    <col min="1807" max="2048" width="11.42578125" style="1313"/>
    <col min="2049" max="2049" width="11.7109375" style="1313" customWidth="1"/>
    <col min="2050" max="2050" width="0" style="1313" hidden="1" customWidth="1"/>
    <col min="2051" max="2051" width="10.28515625" style="1313" customWidth="1"/>
    <col min="2052" max="2052" width="10.42578125" style="1313" customWidth="1"/>
    <col min="2053" max="2053" width="10.28515625" style="1313" customWidth="1"/>
    <col min="2054" max="2054" width="10.42578125" style="1313" customWidth="1"/>
    <col min="2055" max="2055" width="10.5703125" style="1313" customWidth="1"/>
    <col min="2056" max="2056" width="10.85546875" style="1313" customWidth="1"/>
    <col min="2057" max="2057" width="11" style="1313" customWidth="1"/>
    <col min="2058" max="2058" width="10.5703125" style="1313" customWidth="1"/>
    <col min="2059" max="2059" width="10.28515625" style="1313" bestFit="1" customWidth="1"/>
    <col min="2060" max="2060" width="10.28515625" style="1313" customWidth="1"/>
    <col min="2061" max="2062" width="10.140625" style="1313" customWidth="1"/>
    <col min="2063" max="2304" width="11.42578125" style="1313"/>
    <col min="2305" max="2305" width="11.7109375" style="1313" customWidth="1"/>
    <col min="2306" max="2306" width="0" style="1313" hidden="1" customWidth="1"/>
    <col min="2307" max="2307" width="10.28515625" style="1313" customWidth="1"/>
    <col min="2308" max="2308" width="10.42578125" style="1313" customWidth="1"/>
    <col min="2309" max="2309" width="10.28515625" style="1313" customWidth="1"/>
    <col min="2310" max="2310" width="10.42578125" style="1313" customWidth="1"/>
    <col min="2311" max="2311" width="10.5703125" style="1313" customWidth="1"/>
    <col min="2312" max="2312" width="10.85546875" style="1313" customWidth="1"/>
    <col min="2313" max="2313" width="11" style="1313" customWidth="1"/>
    <col min="2314" max="2314" width="10.5703125" style="1313" customWidth="1"/>
    <col min="2315" max="2315" width="10.28515625" style="1313" bestFit="1" customWidth="1"/>
    <col min="2316" max="2316" width="10.28515625" style="1313" customWidth="1"/>
    <col min="2317" max="2318" width="10.140625" style="1313" customWidth="1"/>
    <col min="2319" max="2560" width="11.42578125" style="1313"/>
    <col min="2561" max="2561" width="11.7109375" style="1313" customWidth="1"/>
    <col min="2562" max="2562" width="0" style="1313" hidden="1" customWidth="1"/>
    <col min="2563" max="2563" width="10.28515625" style="1313" customWidth="1"/>
    <col min="2564" max="2564" width="10.42578125" style="1313" customWidth="1"/>
    <col min="2565" max="2565" width="10.28515625" style="1313" customWidth="1"/>
    <col min="2566" max="2566" width="10.42578125" style="1313" customWidth="1"/>
    <col min="2567" max="2567" width="10.5703125" style="1313" customWidth="1"/>
    <col min="2568" max="2568" width="10.85546875" style="1313" customWidth="1"/>
    <col min="2569" max="2569" width="11" style="1313" customWidth="1"/>
    <col min="2570" max="2570" width="10.5703125" style="1313" customWidth="1"/>
    <col min="2571" max="2571" width="10.28515625" style="1313" bestFit="1" customWidth="1"/>
    <col min="2572" max="2572" width="10.28515625" style="1313" customWidth="1"/>
    <col min="2573" max="2574" width="10.140625" style="1313" customWidth="1"/>
    <col min="2575" max="2816" width="11.42578125" style="1313"/>
    <col min="2817" max="2817" width="11.7109375" style="1313" customWidth="1"/>
    <col min="2818" max="2818" width="0" style="1313" hidden="1" customWidth="1"/>
    <col min="2819" max="2819" width="10.28515625" style="1313" customWidth="1"/>
    <col min="2820" max="2820" width="10.42578125" style="1313" customWidth="1"/>
    <col min="2821" max="2821" width="10.28515625" style="1313" customWidth="1"/>
    <col min="2822" max="2822" width="10.42578125" style="1313" customWidth="1"/>
    <col min="2823" max="2823" width="10.5703125" style="1313" customWidth="1"/>
    <col min="2824" max="2824" width="10.85546875" style="1313" customWidth="1"/>
    <col min="2825" max="2825" width="11" style="1313" customWidth="1"/>
    <col min="2826" max="2826" width="10.5703125" style="1313" customWidth="1"/>
    <col min="2827" max="2827" width="10.28515625" style="1313" bestFit="1" customWidth="1"/>
    <col min="2828" max="2828" width="10.28515625" style="1313" customWidth="1"/>
    <col min="2829" max="2830" width="10.140625" style="1313" customWidth="1"/>
    <col min="2831" max="3072" width="11.42578125" style="1313"/>
    <col min="3073" max="3073" width="11.7109375" style="1313" customWidth="1"/>
    <col min="3074" max="3074" width="0" style="1313" hidden="1" customWidth="1"/>
    <col min="3075" max="3075" width="10.28515625" style="1313" customWidth="1"/>
    <col min="3076" max="3076" width="10.42578125" style="1313" customWidth="1"/>
    <col min="3077" max="3077" width="10.28515625" style="1313" customWidth="1"/>
    <col min="3078" max="3078" width="10.42578125" style="1313" customWidth="1"/>
    <col min="3079" max="3079" width="10.5703125" style="1313" customWidth="1"/>
    <col min="3080" max="3080" width="10.85546875" style="1313" customWidth="1"/>
    <col min="3081" max="3081" width="11" style="1313" customWidth="1"/>
    <col min="3082" max="3082" width="10.5703125" style="1313" customWidth="1"/>
    <col min="3083" max="3083" width="10.28515625" style="1313" bestFit="1" customWidth="1"/>
    <col min="3084" max="3084" width="10.28515625" style="1313" customWidth="1"/>
    <col min="3085" max="3086" width="10.140625" style="1313" customWidth="1"/>
    <col min="3087" max="3328" width="11.42578125" style="1313"/>
    <col min="3329" max="3329" width="11.7109375" style="1313" customWidth="1"/>
    <col min="3330" max="3330" width="0" style="1313" hidden="1" customWidth="1"/>
    <col min="3331" max="3331" width="10.28515625" style="1313" customWidth="1"/>
    <col min="3332" max="3332" width="10.42578125" style="1313" customWidth="1"/>
    <col min="3333" max="3333" width="10.28515625" style="1313" customWidth="1"/>
    <col min="3334" max="3334" width="10.42578125" style="1313" customWidth="1"/>
    <col min="3335" max="3335" width="10.5703125" style="1313" customWidth="1"/>
    <col min="3336" max="3336" width="10.85546875" style="1313" customWidth="1"/>
    <col min="3337" max="3337" width="11" style="1313" customWidth="1"/>
    <col min="3338" max="3338" width="10.5703125" style="1313" customWidth="1"/>
    <col min="3339" max="3339" width="10.28515625" style="1313" bestFit="1" customWidth="1"/>
    <col min="3340" max="3340" width="10.28515625" style="1313" customWidth="1"/>
    <col min="3341" max="3342" width="10.140625" style="1313" customWidth="1"/>
    <col min="3343" max="3584" width="11.42578125" style="1313"/>
    <col min="3585" max="3585" width="11.7109375" style="1313" customWidth="1"/>
    <col min="3586" max="3586" width="0" style="1313" hidden="1" customWidth="1"/>
    <col min="3587" max="3587" width="10.28515625" style="1313" customWidth="1"/>
    <col min="3588" max="3588" width="10.42578125" style="1313" customWidth="1"/>
    <col min="3589" max="3589" width="10.28515625" style="1313" customWidth="1"/>
    <col min="3590" max="3590" width="10.42578125" style="1313" customWidth="1"/>
    <col min="3591" max="3591" width="10.5703125" style="1313" customWidth="1"/>
    <col min="3592" max="3592" width="10.85546875" style="1313" customWidth="1"/>
    <col min="3593" max="3593" width="11" style="1313" customWidth="1"/>
    <col min="3594" max="3594" width="10.5703125" style="1313" customWidth="1"/>
    <col min="3595" max="3595" width="10.28515625" style="1313" bestFit="1" customWidth="1"/>
    <col min="3596" max="3596" width="10.28515625" style="1313" customWidth="1"/>
    <col min="3597" max="3598" width="10.140625" style="1313" customWidth="1"/>
    <col min="3599" max="3840" width="11.42578125" style="1313"/>
    <col min="3841" max="3841" width="11.7109375" style="1313" customWidth="1"/>
    <col min="3842" max="3842" width="0" style="1313" hidden="1" customWidth="1"/>
    <col min="3843" max="3843" width="10.28515625" style="1313" customWidth="1"/>
    <col min="3844" max="3844" width="10.42578125" style="1313" customWidth="1"/>
    <col min="3845" max="3845" width="10.28515625" style="1313" customWidth="1"/>
    <col min="3846" max="3846" width="10.42578125" style="1313" customWidth="1"/>
    <col min="3847" max="3847" width="10.5703125" style="1313" customWidth="1"/>
    <col min="3848" max="3848" width="10.85546875" style="1313" customWidth="1"/>
    <col min="3849" max="3849" width="11" style="1313" customWidth="1"/>
    <col min="3850" max="3850" width="10.5703125" style="1313" customWidth="1"/>
    <col min="3851" max="3851" width="10.28515625" style="1313" bestFit="1" customWidth="1"/>
    <col min="3852" max="3852" width="10.28515625" style="1313" customWidth="1"/>
    <col min="3853" max="3854" width="10.140625" style="1313" customWidth="1"/>
    <col min="3855" max="4096" width="11.42578125" style="1313"/>
    <col min="4097" max="4097" width="11.7109375" style="1313" customWidth="1"/>
    <col min="4098" max="4098" width="0" style="1313" hidden="1" customWidth="1"/>
    <col min="4099" max="4099" width="10.28515625" style="1313" customWidth="1"/>
    <col min="4100" max="4100" width="10.42578125" style="1313" customWidth="1"/>
    <col min="4101" max="4101" width="10.28515625" style="1313" customWidth="1"/>
    <col min="4102" max="4102" width="10.42578125" style="1313" customWidth="1"/>
    <col min="4103" max="4103" width="10.5703125" style="1313" customWidth="1"/>
    <col min="4104" max="4104" width="10.85546875" style="1313" customWidth="1"/>
    <col min="4105" max="4105" width="11" style="1313" customWidth="1"/>
    <col min="4106" max="4106" width="10.5703125" style="1313" customWidth="1"/>
    <col min="4107" max="4107" width="10.28515625" style="1313" bestFit="1" customWidth="1"/>
    <col min="4108" max="4108" width="10.28515625" style="1313" customWidth="1"/>
    <col min="4109" max="4110" width="10.140625" style="1313" customWidth="1"/>
    <col min="4111" max="4352" width="11.42578125" style="1313"/>
    <col min="4353" max="4353" width="11.7109375" style="1313" customWidth="1"/>
    <col min="4354" max="4354" width="0" style="1313" hidden="1" customWidth="1"/>
    <col min="4355" max="4355" width="10.28515625" style="1313" customWidth="1"/>
    <col min="4356" max="4356" width="10.42578125" style="1313" customWidth="1"/>
    <col min="4357" max="4357" width="10.28515625" style="1313" customWidth="1"/>
    <col min="4358" max="4358" width="10.42578125" style="1313" customWidth="1"/>
    <col min="4359" max="4359" width="10.5703125" style="1313" customWidth="1"/>
    <col min="4360" max="4360" width="10.85546875" style="1313" customWidth="1"/>
    <col min="4361" max="4361" width="11" style="1313" customWidth="1"/>
    <col min="4362" max="4362" width="10.5703125" style="1313" customWidth="1"/>
    <col min="4363" max="4363" width="10.28515625" style="1313" bestFit="1" customWidth="1"/>
    <col min="4364" max="4364" width="10.28515625" style="1313" customWidth="1"/>
    <col min="4365" max="4366" width="10.140625" style="1313" customWidth="1"/>
    <col min="4367" max="4608" width="11.42578125" style="1313"/>
    <col min="4609" max="4609" width="11.7109375" style="1313" customWidth="1"/>
    <col min="4610" max="4610" width="0" style="1313" hidden="1" customWidth="1"/>
    <col min="4611" max="4611" width="10.28515625" style="1313" customWidth="1"/>
    <col min="4612" max="4612" width="10.42578125" style="1313" customWidth="1"/>
    <col min="4613" max="4613" width="10.28515625" style="1313" customWidth="1"/>
    <col min="4614" max="4614" width="10.42578125" style="1313" customWidth="1"/>
    <col min="4615" max="4615" width="10.5703125" style="1313" customWidth="1"/>
    <col min="4616" max="4616" width="10.85546875" style="1313" customWidth="1"/>
    <col min="4617" max="4617" width="11" style="1313" customWidth="1"/>
    <col min="4618" max="4618" width="10.5703125" style="1313" customWidth="1"/>
    <col min="4619" max="4619" width="10.28515625" style="1313" bestFit="1" customWidth="1"/>
    <col min="4620" max="4620" width="10.28515625" style="1313" customWidth="1"/>
    <col min="4621" max="4622" width="10.140625" style="1313" customWidth="1"/>
    <col min="4623" max="4864" width="11.42578125" style="1313"/>
    <col min="4865" max="4865" width="11.7109375" style="1313" customWidth="1"/>
    <col min="4866" max="4866" width="0" style="1313" hidden="1" customWidth="1"/>
    <col min="4867" max="4867" width="10.28515625" style="1313" customWidth="1"/>
    <col min="4868" max="4868" width="10.42578125" style="1313" customWidth="1"/>
    <col min="4869" max="4869" width="10.28515625" style="1313" customWidth="1"/>
    <col min="4870" max="4870" width="10.42578125" style="1313" customWidth="1"/>
    <col min="4871" max="4871" width="10.5703125" style="1313" customWidth="1"/>
    <col min="4872" max="4872" width="10.85546875" style="1313" customWidth="1"/>
    <col min="4873" max="4873" width="11" style="1313" customWidth="1"/>
    <col min="4874" max="4874" width="10.5703125" style="1313" customWidth="1"/>
    <col min="4875" max="4875" width="10.28515625" style="1313" bestFit="1" customWidth="1"/>
    <col min="4876" max="4876" width="10.28515625" style="1313" customWidth="1"/>
    <col min="4877" max="4878" width="10.140625" style="1313" customWidth="1"/>
    <col min="4879" max="5120" width="11.42578125" style="1313"/>
    <col min="5121" max="5121" width="11.7109375" style="1313" customWidth="1"/>
    <col min="5122" max="5122" width="0" style="1313" hidden="1" customWidth="1"/>
    <col min="5123" max="5123" width="10.28515625" style="1313" customWidth="1"/>
    <col min="5124" max="5124" width="10.42578125" style="1313" customWidth="1"/>
    <col min="5125" max="5125" width="10.28515625" style="1313" customWidth="1"/>
    <col min="5126" max="5126" width="10.42578125" style="1313" customWidth="1"/>
    <col min="5127" max="5127" width="10.5703125" style="1313" customWidth="1"/>
    <col min="5128" max="5128" width="10.85546875" style="1313" customWidth="1"/>
    <col min="5129" max="5129" width="11" style="1313" customWidth="1"/>
    <col min="5130" max="5130" width="10.5703125" style="1313" customWidth="1"/>
    <col min="5131" max="5131" width="10.28515625" style="1313" bestFit="1" customWidth="1"/>
    <col min="5132" max="5132" width="10.28515625" style="1313" customWidth="1"/>
    <col min="5133" max="5134" width="10.140625" style="1313" customWidth="1"/>
    <col min="5135" max="5376" width="11.42578125" style="1313"/>
    <col min="5377" max="5377" width="11.7109375" style="1313" customWidth="1"/>
    <col min="5378" max="5378" width="0" style="1313" hidden="1" customWidth="1"/>
    <col min="5379" max="5379" width="10.28515625" style="1313" customWidth="1"/>
    <col min="5380" max="5380" width="10.42578125" style="1313" customWidth="1"/>
    <col min="5381" max="5381" width="10.28515625" style="1313" customWidth="1"/>
    <col min="5382" max="5382" width="10.42578125" style="1313" customWidth="1"/>
    <col min="5383" max="5383" width="10.5703125" style="1313" customWidth="1"/>
    <col min="5384" max="5384" width="10.85546875" style="1313" customWidth="1"/>
    <col min="5385" max="5385" width="11" style="1313" customWidth="1"/>
    <col min="5386" max="5386" width="10.5703125" style="1313" customWidth="1"/>
    <col min="5387" max="5387" width="10.28515625" style="1313" bestFit="1" customWidth="1"/>
    <col min="5388" max="5388" width="10.28515625" style="1313" customWidth="1"/>
    <col min="5389" max="5390" width="10.140625" style="1313" customWidth="1"/>
    <col min="5391" max="5632" width="11.42578125" style="1313"/>
    <col min="5633" max="5633" width="11.7109375" style="1313" customWidth="1"/>
    <col min="5634" max="5634" width="0" style="1313" hidden="1" customWidth="1"/>
    <col min="5635" max="5635" width="10.28515625" style="1313" customWidth="1"/>
    <col min="5636" max="5636" width="10.42578125" style="1313" customWidth="1"/>
    <col min="5637" max="5637" width="10.28515625" style="1313" customWidth="1"/>
    <col min="5638" max="5638" width="10.42578125" style="1313" customWidth="1"/>
    <col min="5639" max="5639" width="10.5703125" style="1313" customWidth="1"/>
    <col min="5640" max="5640" width="10.85546875" style="1313" customWidth="1"/>
    <col min="5641" max="5641" width="11" style="1313" customWidth="1"/>
    <col min="5642" max="5642" width="10.5703125" style="1313" customWidth="1"/>
    <col min="5643" max="5643" width="10.28515625" style="1313" bestFit="1" customWidth="1"/>
    <col min="5644" max="5644" width="10.28515625" style="1313" customWidth="1"/>
    <col min="5645" max="5646" width="10.140625" style="1313" customWidth="1"/>
    <col min="5647" max="5888" width="11.42578125" style="1313"/>
    <col min="5889" max="5889" width="11.7109375" style="1313" customWidth="1"/>
    <col min="5890" max="5890" width="0" style="1313" hidden="1" customWidth="1"/>
    <col min="5891" max="5891" width="10.28515625" style="1313" customWidth="1"/>
    <col min="5892" max="5892" width="10.42578125" style="1313" customWidth="1"/>
    <col min="5893" max="5893" width="10.28515625" style="1313" customWidth="1"/>
    <col min="5894" max="5894" width="10.42578125" style="1313" customWidth="1"/>
    <col min="5895" max="5895" width="10.5703125" style="1313" customWidth="1"/>
    <col min="5896" max="5896" width="10.85546875" style="1313" customWidth="1"/>
    <col min="5897" max="5897" width="11" style="1313" customWidth="1"/>
    <col min="5898" max="5898" width="10.5703125" style="1313" customWidth="1"/>
    <col min="5899" max="5899" width="10.28515625" style="1313" bestFit="1" customWidth="1"/>
    <col min="5900" max="5900" width="10.28515625" style="1313" customWidth="1"/>
    <col min="5901" max="5902" width="10.140625" style="1313" customWidth="1"/>
    <col min="5903" max="6144" width="11.42578125" style="1313"/>
    <col min="6145" max="6145" width="11.7109375" style="1313" customWidth="1"/>
    <col min="6146" max="6146" width="0" style="1313" hidden="1" customWidth="1"/>
    <col min="6147" max="6147" width="10.28515625" style="1313" customWidth="1"/>
    <col min="6148" max="6148" width="10.42578125" style="1313" customWidth="1"/>
    <col min="6149" max="6149" width="10.28515625" style="1313" customWidth="1"/>
    <col min="6150" max="6150" width="10.42578125" style="1313" customWidth="1"/>
    <col min="6151" max="6151" width="10.5703125" style="1313" customWidth="1"/>
    <col min="6152" max="6152" width="10.85546875" style="1313" customWidth="1"/>
    <col min="6153" max="6153" width="11" style="1313" customWidth="1"/>
    <col min="6154" max="6154" width="10.5703125" style="1313" customWidth="1"/>
    <col min="6155" max="6155" width="10.28515625" style="1313" bestFit="1" customWidth="1"/>
    <col min="6156" max="6156" width="10.28515625" style="1313" customWidth="1"/>
    <col min="6157" max="6158" width="10.140625" style="1313" customWidth="1"/>
    <col min="6159" max="6400" width="11.42578125" style="1313"/>
    <col min="6401" max="6401" width="11.7109375" style="1313" customWidth="1"/>
    <col min="6402" max="6402" width="0" style="1313" hidden="1" customWidth="1"/>
    <col min="6403" max="6403" width="10.28515625" style="1313" customWidth="1"/>
    <col min="6404" max="6404" width="10.42578125" style="1313" customWidth="1"/>
    <col min="6405" max="6405" width="10.28515625" style="1313" customWidth="1"/>
    <col min="6406" max="6406" width="10.42578125" style="1313" customWidth="1"/>
    <col min="6407" max="6407" width="10.5703125" style="1313" customWidth="1"/>
    <col min="6408" max="6408" width="10.85546875" style="1313" customWidth="1"/>
    <col min="6409" max="6409" width="11" style="1313" customWidth="1"/>
    <col min="6410" max="6410" width="10.5703125" style="1313" customWidth="1"/>
    <col min="6411" max="6411" width="10.28515625" style="1313" bestFit="1" customWidth="1"/>
    <col min="6412" max="6412" width="10.28515625" style="1313" customWidth="1"/>
    <col min="6413" max="6414" width="10.140625" style="1313" customWidth="1"/>
    <col min="6415" max="6656" width="11.42578125" style="1313"/>
    <col min="6657" max="6657" width="11.7109375" style="1313" customWidth="1"/>
    <col min="6658" max="6658" width="0" style="1313" hidden="1" customWidth="1"/>
    <col min="6659" max="6659" width="10.28515625" style="1313" customWidth="1"/>
    <col min="6660" max="6660" width="10.42578125" style="1313" customWidth="1"/>
    <col min="6661" max="6661" width="10.28515625" style="1313" customWidth="1"/>
    <col min="6662" max="6662" width="10.42578125" style="1313" customWidth="1"/>
    <col min="6663" max="6663" width="10.5703125" style="1313" customWidth="1"/>
    <col min="6664" max="6664" width="10.85546875" style="1313" customWidth="1"/>
    <col min="6665" max="6665" width="11" style="1313" customWidth="1"/>
    <col min="6666" max="6666" width="10.5703125" style="1313" customWidth="1"/>
    <col min="6667" max="6667" width="10.28515625" style="1313" bestFit="1" customWidth="1"/>
    <col min="6668" max="6668" width="10.28515625" style="1313" customWidth="1"/>
    <col min="6669" max="6670" width="10.140625" style="1313" customWidth="1"/>
    <col min="6671" max="6912" width="11.42578125" style="1313"/>
    <col min="6913" max="6913" width="11.7109375" style="1313" customWidth="1"/>
    <col min="6914" max="6914" width="0" style="1313" hidden="1" customWidth="1"/>
    <col min="6915" max="6915" width="10.28515625" style="1313" customWidth="1"/>
    <col min="6916" max="6916" width="10.42578125" style="1313" customWidth="1"/>
    <col min="6917" max="6917" width="10.28515625" style="1313" customWidth="1"/>
    <col min="6918" max="6918" width="10.42578125" style="1313" customWidth="1"/>
    <col min="6919" max="6919" width="10.5703125" style="1313" customWidth="1"/>
    <col min="6920" max="6920" width="10.85546875" style="1313" customWidth="1"/>
    <col min="6921" max="6921" width="11" style="1313" customWidth="1"/>
    <col min="6922" max="6922" width="10.5703125" style="1313" customWidth="1"/>
    <col min="6923" max="6923" width="10.28515625" style="1313" bestFit="1" customWidth="1"/>
    <col min="6924" max="6924" width="10.28515625" style="1313" customWidth="1"/>
    <col min="6925" max="6926" width="10.140625" style="1313" customWidth="1"/>
    <col min="6927" max="7168" width="11.42578125" style="1313"/>
    <col min="7169" max="7169" width="11.7109375" style="1313" customWidth="1"/>
    <col min="7170" max="7170" width="0" style="1313" hidden="1" customWidth="1"/>
    <col min="7171" max="7171" width="10.28515625" style="1313" customWidth="1"/>
    <col min="7172" max="7172" width="10.42578125" style="1313" customWidth="1"/>
    <col min="7173" max="7173" width="10.28515625" style="1313" customWidth="1"/>
    <col min="7174" max="7174" width="10.42578125" style="1313" customWidth="1"/>
    <col min="7175" max="7175" width="10.5703125" style="1313" customWidth="1"/>
    <col min="7176" max="7176" width="10.85546875" style="1313" customWidth="1"/>
    <col min="7177" max="7177" width="11" style="1313" customWidth="1"/>
    <col min="7178" max="7178" width="10.5703125" style="1313" customWidth="1"/>
    <col min="7179" max="7179" width="10.28515625" style="1313" bestFit="1" customWidth="1"/>
    <col min="7180" max="7180" width="10.28515625" style="1313" customWidth="1"/>
    <col min="7181" max="7182" width="10.140625" style="1313" customWidth="1"/>
    <col min="7183" max="7424" width="11.42578125" style="1313"/>
    <col min="7425" max="7425" width="11.7109375" style="1313" customWidth="1"/>
    <col min="7426" max="7426" width="0" style="1313" hidden="1" customWidth="1"/>
    <col min="7427" max="7427" width="10.28515625" style="1313" customWidth="1"/>
    <col min="7428" max="7428" width="10.42578125" style="1313" customWidth="1"/>
    <col min="7429" max="7429" width="10.28515625" style="1313" customWidth="1"/>
    <col min="7430" max="7430" width="10.42578125" style="1313" customWidth="1"/>
    <col min="7431" max="7431" width="10.5703125" style="1313" customWidth="1"/>
    <col min="7432" max="7432" width="10.85546875" style="1313" customWidth="1"/>
    <col min="7433" max="7433" width="11" style="1313" customWidth="1"/>
    <col min="7434" max="7434" width="10.5703125" style="1313" customWidth="1"/>
    <col min="7435" max="7435" width="10.28515625" style="1313" bestFit="1" customWidth="1"/>
    <col min="7436" max="7436" width="10.28515625" style="1313" customWidth="1"/>
    <col min="7437" max="7438" width="10.140625" style="1313" customWidth="1"/>
    <col min="7439" max="7680" width="11.42578125" style="1313"/>
    <col min="7681" max="7681" width="11.7109375" style="1313" customWidth="1"/>
    <col min="7682" max="7682" width="0" style="1313" hidden="1" customWidth="1"/>
    <col min="7683" max="7683" width="10.28515625" style="1313" customWidth="1"/>
    <col min="7684" max="7684" width="10.42578125" style="1313" customWidth="1"/>
    <col min="7685" max="7685" width="10.28515625" style="1313" customWidth="1"/>
    <col min="7686" max="7686" width="10.42578125" style="1313" customWidth="1"/>
    <col min="7687" max="7687" width="10.5703125" style="1313" customWidth="1"/>
    <col min="7688" max="7688" width="10.85546875" style="1313" customWidth="1"/>
    <col min="7689" max="7689" width="11" style="1313" customWidth="1"/>
    <col min="7690" max="7690" width="10.5703125" style="1313" customWidth="1"/>
    <col min="7691" max="7691" width="10.28515625" style="1313" bestFit="1" customWidth="1"/>
    <col min="7692" max="7692" width="10.28515625" style="1313" customWidth="1"/>
    <col min="7693" max="7694" width="10.140625" style="1313" customWidth="1"/>
    <col min="7695" max="7936" width="11.42578125" style="1313"/>
    <col min="7937" max="7937" width="11.7109375" style="1313" customWidth="1"/>
    <col min="7938" max="7938" width="0" style="1313" hidden="1" customWidth="1"/>
    <col min="7939" max="7939" width="10.28515625" style="1313" customWidth="1"/>
    <col min="7940" max="7940" width="10.42578125" style="1313" customWidth="1"/>
    <col min="7941" max="7941" width="10.28515625" style="1313" customWidth="1"/>
    <col min="7942" max="7942" width="10.42578125" style="1313" customWidth="1"/>
    <col min="7943" max="7943" width="10.5703125" style="1313" customWidth="1"/>
    <col min="7944" max="7944" width="10.85546875" style="1313" customWidth="1"/>
    <col min="7945" max="7945" width="11" style="1313" customWidth="1"/>
    <col min="7946" max="7946" width="10.5703125" style="1313" customWidth="1"/>
    <col min="7947" max="7947" width="10.28515625" style="1313" bestFit="1" customWidth="1"/>
    <col min="7948" max="7948" width="10.28515625" style="1313" customWidth="1"/>
    <col min="7949" max="7950" width="10.140625" style="1313" customWidth="1"/>
    <col min="7951" max="8192" width="11.42578125" style="1313"/>
    <col min="8193" max="8193" width="11.7109375" style="1313" customWidth="1"/>
    <col min="8194" max="8194" width="0" style="1313" hidden="1" customWidth="1"/>
    <col min="8195" max="8195" width="10.28515625" style="1313" customWidth="1"/>
    <col min="8196" max="8196" width="10.42578125" style="1313" customWidth="1"/>
    <col min="8197" max="8197" width="10.28515625" style="1313" customWidth="1"/>
    <col min="8198" max="8198" width="10.42578125" style="1313" customWidth="1"/>
    <col min="8199" max="8199" width="10.5703125" style="1313" customWidth="1"/>
    <col min="8200" max="8200" width="10.85546875" style="1313" customWidth="1"/>
    <col min="8201" max="8201" width="11" style="1313" customWidth="1"/>
    <col min="8202" max="8202" width="10.5703125" style="1313" customWidth="1"/>
    <col min="8203" max="8203" width="10.28515625" style="1313" bestFit="1" customWidth="1"/>
    <col min="8204" max="8204" width="10.28515625" style="1313" customWidth="1"/>
    <col min="8205" max="8206" width="10.140625" style="1313" customWidth="1"/>
    <col min="8207" max="8448" width="11.42578125" style="1313"/>
    <col min="8449" max="8449" width="11.7109375" style="1313" customWidth="1"/>
    <col min="8450" max="8450" width="0" style="1313" hidden="1" customWidth="1"/>
    <col min="8451" max="8451" width="10.28515625" style="1313" customWidth="1"/>
    <col min="8452" max="8452" width="10.42578125" style="1313" customWidth="1"/>
    <col min="8453" max="8453" width="10.28515625" style="1313" customWidth="1"/>
    <col min="8454" max="8454" width="10.42578125" style="1313" customWidth="1"/>
    <col min="8455" max="8455" width="10.5703125" style="1313" customWidth="1"/>
    <col min="8456" max="8456" width="10.85546875" style="1313" customWidth="1"/>
    <col min="8457" max="8457" width="11" style="1313" customWidth="1"/>
    <col min="8458" max="8458" width="10.5703125" style="1313" customWidth="1"/>
    <col min="8459" max="8459" width="10.28515625" style="1313" bestFit="1" customWidth="1"/>
    <col min="8460" max="8460" width="10.28515625" style="1313" customWidth="1"/>
    <col min="8461" max="8462" width="10.140625" style="1313" customWidth="1"/>
    <col min="8463" max="8704" width="11.42578125" style="1313"/>
    <col min="8705" max="8705" width="11.7109375" style="1313" customWidth="1"/>
    <col min="8706" max="8706" width="0" style="1313" hidden="1" customWidth="1"/>
    <col min="8707" max="8707" width="10.28515625" style="1313" customWidth="1"/>
    <col min="8708" max="8708" width="10.42578125" style="1313" customWidth="1"/>
    <col min="8709" max="8709" width="10.28515625" style="1313" customWidth="1"/>
    <col min="8710" max="8710" width="10.42578125" style="1313" customWidth="1"/>
    <col min="8711" max="8711" width="10.5703125" style="1313" customWidth="1"/>
    <col min="8712" max="8712" width="10.85546875" style="1313" customWidth="1"/>
    <col min="8713" max="8713" width="11" style="1313" customWidth="1"/>
    <col min="8714" max="8714" width="10.5703125" style="1313" customWidth="1"/>
    <col min="8715" max="8715" width="10.28515625" style="1313" bestFit="1" customWidth="1"/>
    <col min="8716" max="8716" width="10.28515625" style="1313" customWidth="1"/>
    <col min="8717" max="8718" width="10.140625" style="1313" customWidth="1"/>
    <col min="8719" max="8960" width="11.42578125" style="1313"/>
    <col min="8961" max="8961" width="11.7109375" style="1313" customWidth="1"/>
    <col min="8962" max="8962" width="0" style="1313" hidden="1" customWidth="1"/>
    <col min="8963" max="8963" width="10.28515625" style="1313" customWidth="1"/>
    <col min="8964" max="8964" width="10.42578125" style="1313" customWidth="1"/>
    <col min="8965" max="8965" width="10.28515625" style="1313" customWidth="1"/>
    <col min="8966" max="8966" width="10.42578125" style="1313" customWidth="1"/>
    <col min="8967" max="8967" width="10.5703125" style="1313" customWidth="1"/>
    <col min="8968" max="8968" width="10.85546875" style="1313" customWidth="1"/>
    <col min="8969" max="8969" width="11" style="1313" customWidth="1"/>
    <col min="8970" max="8970" width="10.5703125" style="1313" customWidth="1"/>
    <col min="8971" max="8971" width="10.28515625" style="1313" bestFit="1" customWidth="1"/>
    <col min="8972" max="8972" width="10.28515625" style="1313" customWidth="1"/>
    <col min="8973" max="8974" width="10.140625" style="1313" customWidth="1"/>
    <col min="8975" max="9216" width="11.42578125" style="1313"/>
    <col min="9217" max="9217" width="11.7109375" style="1313" customWidth="1"/>
    <col min="9218" max="9218" width="0" style="1313" hidden="1" customWidth="1"/>
    <col min="9219" max="9219" width="10.28515625" style="1313" customWidth="1"/>
    <col min="9220" max="9220" width="10.42578125" style="1313" customWidth="1"/>
    <col min="9221" max="9221" width="10.28515625" style="1313" customWidth="1"/>
    <col min="9222" max="9222" width="10.42578125" style="1313" customWidth="1"/>
    <col min="9223" max="9223" width="10.5703125" style="1313" customWidth="1"/>
    <col min="9224" max="9224" width="10.85546875" style="1313" customWidth="1"/>
    <col min="9225" max="9225" width="11" style="1313" customWidth="1"/>
    <col min="9226" max="9226" width="10.5703125" style="1313" customWidth="1"/>
    <col min="9227" max="9227" width="10.28515625" style="1313" bestFit="1" customWidth="1"/>
    <col min="9228" max="9228" width="10.28515625" style="1313" customWidth="1"/>
    <col min="9229" max="9230" width="10.140625" style="1313" customWidth="1"/>
    <col min="9231" max="9472" width="11.42578125" style="1313"/>
    <col min="9473" max="9473" width="11.7109375" style="1313" customWidth="1"/>
    <col min="9474" max="9474" width="0" style="1313" hidden="1" customWidth="1"/>
    <col min="9475" max="9475" width="10.28515625" style="1313" customWidth="1"/>
    <col min="9476" max="9476" width="10.42578125" style="1313" customWidth="1"/>
    <col min="9477" max="9477" width="10.28515625" style="1313" customWidth="1"/>
    <col min="9478" max="9478" width="10.42578125" style="1313" customWidth="1"/>
    <col min="9479" max="9479" width="10.5703125" style="1313" customWidth="1"/>
    <col min="9480" max="9480" width="10.85546875" style="1313" customWidth="1"/>
    <col min="9481" max="9481" width="11" style="1313" customWidth="1"/>
    <col min="9482" max="9482" width="10.5703125" style="1313" customWidth="1"/>
    <col min="9483" max="9483" width="10.28515625" style="1313" bestFit="1" customWidth="1"/>
    <col min="9484" max="9484" width="10.28515625" style="1313" customWidth="1"/>
    <col min="9485" max="9486" width="10.140625" style="1313" customWidth="1"/>
    <col min="9487" max="9728" width="11.42578125" style="1313"/>
    <col min="9729" max="9729" width="11.7109375" style="1313" customWidth="1"/>
    <col min="9730" max="9730" width="0" style="1313" hidden="1" customWidth="1"/>
    <col min="9731" max="9731" width="10.28515625" style="1313" customWidth="1"/>
    <col min="9732" max="9732" width="10.42578125" style="1313" customWidth="1"/>
    <col min="9733" max="9733" width="10.28515625" style="1313" customWidth="1"/>
    <col min="9734" max="9734" width="10.42578125" style="1313" customWidth="1"/>
    <col min="9735" max="9735" width="10.5703125" style="1313" customWidth="1"/>
    <col min="9736" max="9736" width="10.85546875" style="1313" customWidth="1"/>
    <col min="9737" max="9737" width="11" style="1313" customWidth="1"/>
    <col min="9738" max="9738" width="10.5703125" style="1313" customWidth="1"/>
    <col min="9739" max="9739" width="10.28515625" style="1313" bestFit="1" customWidth="1"/>
    <col min="9740" max="9740" width="10.28515625" style="1313" customWidth="1"/>
    <col min="9741" max="9742" width="10.140625" style="1313" customWidth="1"/>
    <col min="9743" max="9984" width="11.42578125" style="1313"/>
    <col min="9985" max="9985" width="11.7109375" style="1313" customWidth="1"/>
    <col min="9986" max="9986" width="0" style="1313" hidden="1" customWidth="1"/>
    <col min="9987" max="9987" width="10.28515625" style="1313" customWidth="1"/>
    <col min="9988" max="9988" width="10.42578125" style="1313" customWidth="1"/>
    <col min="9989" max="9989" width="10.28515625" style="1313" customWidth="1"/>
    <col min="9990" max="9990" width="10.42578125" style="1313" customWidth="1"/>
    <col min="9991" max="9991" width="10.5703125" style="1313" customWidth="1"/>
    <col min="9992" max="9992" width="10.85546875" style="1313" customWidth="1"/>
    <col min="9993" max="9993" width="11" style="1313" customWidth="1"/>
    <col min="9994" max="9994" width="10.5703125" style="1313" customWidth="1"/>
    <col min="9995" max="9995" width="10.28515625" style="1313" bestFit="1" customWidth="1"/>
    <col min="9996" max="9996" width="10.28515625" style="1313" customWidth="1"/>
    <col min="9997" max="9998" width="10.140625" style="1313" customWidth="1"/>
    <col min="9999" max="10240" width="11.42578125" style="1313"/>
    <col min="10241" max="10241" width="11.7109375" style="1313" customWidth="1"/>
    <col min="10242" max="10242" width="0" style="1313" hidden="1" customWidth="1"/>
    <col min="10243" max="10243" width="10.28515625" style="1313" customWidth="1"/>
    <col min="10244" max="10244" width="10.42578125" style="1313" customWidth="1"/>
    <col min="10245" max="10245" width="10.28515625" style="1313" customWidth="1"/>
    <col min="10246" max="10246" width="10.42578125" style="1313" customWidth="1"/>
    <col min="10247" max="10247" width="10.5703125" style="1313" customWidth="1"/>
    <col min="10248" max="10248" width="10.85546875" style="1313" customWidth="1"/>
    <col min="10249" max="10249" width="11" style="1313" customWidth="1"/>
    <col min="10250" max="10250" width="10.5703125" style="1313" customWidth="1"/>
    <col min="10251" max="10251" width="10.28515625" style="1313" bestFit="1" customWidth="1"/>
    <col min="10252" max="10252" width="10.28515625" style="1313" customWidth="1"/>
    <col min="10253" max="10254" width="10.140625" style="1313" customWidth="1"/>
    <col min="10255" max="10496" width="11.42578125" style="1313"/>
    <col min="10497" max="10497" width="11.7109375" style="1313" customWidth="1"/>
    <col min="10498" max="10498" width="0" style="1313" hidden="1" customWidth="1"/>
    <col min="10499" max="10499" width="10.28515625" style="1313" customWidth="1"/>
    <col min="10500" max="10500" width="10.42578125" style="1313" customWidth="1"/>
    <col min="10501" max="10501" width="10.28515625" style="1313" customWidth="1"/>
    <col min="10502" max="10502" width="10.42578125" style="1313" customWidth="1"/>
    <col min="10503" max="10503" width="10.5703125" style="1313" customWidth="1"/>
    <col min="10504" max="10504" width="10.85546875" style="1313" customWidth="1"/>
    <col min="10505" max="10505" width="11" style="1313" customWidth="1"/>
    <col min="10506" max="10506" width="10.5703125" style="1313" customWidth="1"/>
    <col min="10507" max="10507" width="10.28515625" style="1313" bestFit="1" customWidth="1"/>
    <col min="10508" max="10508" width="10.28515625" style="1313" customWidth="1"/>
    <col min="10509" max="10510" width="10.140625" style="1313" customWidth="1"/>
    <col min="10511" max="10752" width="11.42578125" style="1313"/>
    <col min="10753" max="10753" width="11.7109375" style="1313" customWidth="1"/>
    <col min="10754" max="10754" width="0" style="1313" hidden="1" customWidth="1"/>
    <col min="10755" max="10755" width="10.28515625" style="1313" customWidth="1"/>
    <col min="10756" max="10756" width="10.42578125" style="1313" customWidth="1"/>
    <col min="10757" max="10757" width="10.28515625" style="1313" customWidth="1"/>
    <col min="10758" max="10758" width="10.42578125" style="1313" customWidth="1"/>
    <col min="10759" max="10759" width="10.5703125" style="1313" customWidth="1"/>
    <col min="10760" max="10760" width="10.85546875" style="1313" customWidth="1"/>
    <col min="10761" max="10761" width="11" style="1313" customWidth="1"/>
    <col min="10762" max="10762" width="10.5703125" style="1313" customWidth="1"/>
    <col min="10763" max="10763" width="10.28515625" style="1313" bestFit="1" customWidth="1"/>
    <col min="10764" max="10764" width="10.28515625" style="1313" customWidth="1"/>
    <col min="10765" max="10766" width="10.140625" style="1313" customWidth="1"/>
    <col min="10767" max="11008" width="11.42578125" style="1313"/>
    <col min="11009" max="11009" width="11.7109375" style="1313" customWidth="1"/>
    <col min="11010" max="11010" width="0" style="1313" hidden="1" customWidth="1"/>
    <col min="11011" max="11011" width="10.28515625" style="1313" customWidth="1"/>
    <col min="11012" max="11012" width="10.42578125" style="1313" customWidth="1"/>
    <col min="11013" max="11013" width="10.28515625" style="1313" customWidth="1"/>
    <col min="11014" max="11014" width="10.42578125" style="1313" customWidth="1"/>
    <col min="11015" max="11015" width="10.5703125" style="1313" customWidth="1"/>
    <col min="11016" max="11016" width="10.85546875" style="1313" customWidth="1"/>
    <col min="11017" max="11017" width="11" style="1313" customWidth="1"/>
    <col min="11018" max="11018" width="10.5703125" style="1313" customWidth="1"/>
    <col min="11019" max="11019" width="10.28515625" style="1313" bestFit="1" customWidth="1"/>
    <col min="11020" max="11020" width="10.28515625" style="1313" customWidth="1"/>
    <col min="11021" max="11022" width="10.140625" style="1313" customWidth="1"/>
    <col min="11023" max="11264" width="11.42578125" style="1313"/>
    <col min="11265" max="11265" width="11.7109375" style="1313" customWidth="1"/>
    <col min="11266" max="11266" width="0" style="1313" hidden="1" customWidth="1"/>
    <col min="11267" max="11267" width="10.28515625" style="1313" customWidth="1"/>
    <col min="11268" max="11268" width="10.42578125" style="1313" customWidth="1"/>
    <col min="11269" max="11269" width="10.28515625" style="1313" customWidth="1"/>
    <col min="11270" max="11270" width="10.42578125" style="1313" customWidth="1"/>
    <col min="11271" max="11271" width="10.5703125" style="1313" customWidth="1"/>
    <col min="11272" max="11272" width="10.85546875" style="1313" customWidth="1"/>
    <col min="11273" max="11273" width="11" style="1313" customWidth="1"/>
    <col min="11274" max="11274" width="10.5703125" style="1313" customWidth="1"/>
    <col min="11275" max="11275" width="10.28515625" style="1313" bestFit="1" customWidth="1"/>
    <col min="11276" max="11276" width="10.28515625" style="1313" customWidth="1"/>
    <col min="11277" max="11278" width="10.140625" style="1313" customWidth="1"/>
    <col min="11279" max="11520" width="11.42578125" style="1313"/>
    <col min="11521" max="11521" width="11.7109375" style="1313" customWidth="1"/>
    <col min="11522" max="11522" width="0" style="1313" hidden="1" customWidth="1"/>
    <col min="11523" max="11523" width="10.28515625" style="1313" customWidth="1"/>
    <col min="11524" max="11524" width="10.42578125" style="1313" customWidth="1"/>
    <col min="11525" max="11525" width="10.28515625" style="1313" customWidth="1"/>
    <col min="11526" max="11526" width="10.42578125" style="1313" customWidth="1"/>
    <col min="11527" max="11527" width="10.5703125" style="1313" customWidth="1"/>
    <col min="11528" max="11528" width="10.85546875" style="1313" customWidth="1"/>
    <col min="11529" max="11529" width="11" style="1313" customWidth="1"/>
    <col min="11530" max="11530" width="10.5703125" style="1313" customWidth="1"/>
    <col min="11531" max="11531" width="10.28515625" style="1313" bestFit="1" customWidth="1"/>
    <col min="11532" max="11532" width="10.28515625" style="1313" customWidth="1"/>
    <col min="11533" max="11534" width="10.140625" style="1313" customWidth="1"/>
    <col min="11535" max="11776" width="11.42578125" style="1313"/>
    <col min="11777" max="11777" width="11.7109375" style="1313" customWidth="1"/>
    <col min="11778" max="11778" width="0" style="1313" hidden="1" customWidth="1"/>
    <col min="11779" max="11779" width="10.28515625" style="1313" customWidth="1"/>
    <col min="11780" max="11780" width="10.42578125" style="1313" customWidth="1"/>
    <col min="11781" max="11781" width="10.28515625" style="1313" customWidth="1"/>
    <col min="11782" max="11782" width="10.42578125" style="1313" customWidth="1"/>
    <col min="11783" max="11783" width="10.5703125" style="1313" customWidth="1"/>
    <col min="11784" max="11784" width="10.85546875" style="1313" customWidth="1"/>
    <col min="11785" max="11785" width="11" style="1313" customWidth="1"/>
    <col min="11786" max="11786" width="10.5703125" style="1313" customWidth="1"/>
    <col min="11787" max="11787" width="10.28515625" style="1313" bestFit="1" customWidth="1"/>
    <col min="11788" max="11788" width="10.28515625" style="1313" customWidth="1"/>
    <col min="11789" max="11790" width="10.140625" style="1313" customWidth="1"/>
    <col min="11791" max="12032" width="11.42578125" style="1313"/>
    <col min="12033" max="12033" width="11.7109375" style="1313" customWidth="1"/>
    <col min="12034" max="12034" width="0" style="1313" hidden="1" customWidth="1"/>
    <col min="12035" max="12035" width="10.28515625" style="1313" customWidth="1"/>
    <col min="12036" max="12036" width="10.42578125" style="1313" customWidth="1"/>
    <col min="12037" max="12037" width="10.28515625" style="1313" customWidth="1"/>
    <col min="12038" max="12038" width="10.42578125" style="1313" customWidth="1"/>
    <col min="12039" max="12039" width="10.5703125" style="1313" customWidth="1"/>
    <col min="12040" max="12040" width="10.85546875" style="1313" customWidth="1"/>
    <col min="12041" max="12041" width="11" style="1313" customWidth="1"/>
    <col min="12042" max="12042" width="10.5703125" style="1313" customWidth="1"/>
    <col min="12043" max="12043" width="10.28515625" style="1313" bestFit="1" customWidth="1"/>
    <col min="12044" max="12044" width="10.28515625" style="1313" customWidth="1"/>
    <col min="12045" max="12046" width="10.140625" style="1313" customWidth="1"/>
    <col min="12047" max="12288" width="11.42578125" style="1313"/>
    <col min="12289" max="12289" width="11.7109375" style="1313" customWidth="1"/>
    <col min="12290" max="12290" width="0" style="1313" hidden="1" customWidth="1"/>
    <col min="12291" max="12291" width="10.28515625" style="1313" customWidth="1"/>
    <col min="12292" max="12292" width="10.42578125" style="1313" customWidth="1"/>
    <col min="12293" max="12293" width="10.28515625" style="1313" customWidth="1"/>
    <col min="12294" max="12294" width="10.42578125" style="1313" customWidth="1"/>
    <col min="12295" max="12295" width="10.5703125" style="1313" customWidth="1"/>
    <col min="12296" max="12296" width="10.85546875" style="1313" customWidth="1"/>
    <col min="12297" max="12297" width="11" style="1313" customWidth="1"/>
    <col min="12298" max="12298" width="10.5703125" style="1313" customWidth="1"/>
    <col min="12299" max="12299" width="10.28515625" style="1313" bestFit="1" customWidth="1"/>
    <col min="12300" max="12300" width="10.28515625" style="1313" customWidth="1"/>
    <col min="12301" max="12302" width="10.140625" style="1313" customWidth="1"/>
    <col min="12303" max="12544" width="11.42578125" style="1313"/>
    <col min="12545" max="12545" width="11.7109375" style="1313" customWidth="1"/>
    <col min="12546" max="12546" width="0" style="1313" hidden="1" customWidth="1"/>
    <col min="12547" max="12547" width="10.28515625" style="1313" customWidth="1"/>
    <col min="12548" max="12548" width="10.42578125" style="1313" customWidth="1"/>
    <col min="12549" max="12549" width="10.28515625" style="1313" customWidth="1"/>
    <col min="12550" max="12550" width="10.42578125" style="1313" customWidth="1"/>
    <col min="12551" max="12551" width="10.5703125" style="1313" customWidth="1"/>
    <col min="12552" max="12552" width="10.85546875" style="1313" customWidth="1"/>
    <col min="12553" max="12553" width="11" style="1313" customWidth="1"/>
    <col min="12554" max="12554" width="10.5703125" style="1313" customWidth="1"/>
    <col min="12555" max="12555" width="10.28515625" style="1313" bestFit="1" customWidth="1"/>
    <col min="12556" max="12556" width="10.28515625" style="1313" customWidth="1"/>
    <col min="12557" max="12558" width="10.140625" style="1313" customWidth="1"/>
    <col min="12559" max="12800" width="11.42578125" style="1313"/>
    <col min="12801" max="12801" width="11.7109375" style="1313" customWidth="1"/>
    <col min="12802" max="12802" width="0" style="1313" hidden="1" customWidth="1"/>
    <col min="12803" max="12803" width="10.28515625" style="1313" customWidth="1"/>
    <col min="12804" max="12804" width="10.42578125" style="1313" customWidth="1"/>
    <col min="12805" max="12805" width="10.28515625" style="1313" customWidth="1"/>
    <col min="12806" max="12806" width="10.42578125" style="1313" customWidth="1"/>
    <col min="12807" max="12807" width="10.5703125" style="1313" customWidth="1"/>
    <col min="12808" max="12808" width="10.85546875" style="1313" customWidth="1"/>
    <col min="12809" max="12809" width="11" style="1313" customWidth="1"/>
    <col min="12810" max="12810" width="10.5703125" style="1313" customWidth="1"/>
    <col min="12811" max="12811" width="10.28515625" style="1313" bestFit="1" customWidth="1"/>
    <col min="12812" max="12812" width="10.28515625" style="1313" customWidth="1"/>
    <col min="12813" max="12814" width="10.140625" style="1313" customWidth="1"/>
    <col min="12815" max="13056" width="11.42578125" style="1313"/>
    <col min="13057" max="13057" width="11.7109375" style="1313" customWidth="1"/>
    <col min="13058" max="13058" width="0" style="1313" hidden="1" customWidth="1"/>
    <col min="13059" max="13059" width="10.28515625" style="1313" customWidth="1"/>
    <col min="13060" max="13060" width="10.42578125" style="1313" customWidth="1"/>
    <col min="13061" max="13061" width="10.28515625" style="1313" customWidth="1"/>
    <col min="13062" max="13062" width="10.42578125" style="1313" customWidth="1"/>
    <col min="13063" max="13063" width="10.5703125" style="1313" customWidth="1"/>
    <col min="13064" max="13064" width="10.85546875" style="1313" customWidth="1"/>
    <col min="13065" max="13065" width="11" style="1313" customWidth="1"/>
    <col min="13066" max="13066" width="10.5703125" style="1313" customWidth="1"/>
    <col min="13067" max="13067" width="10.28515625" style="1313" bestFit="1" customWidth="1"/>
    <col min="13068" max="13068" width="10.28515625" style="1313" customWidth="1"/>
    <col min="13069" max="13070" width="10.140625" style="1313" customWidth="1"/>
    <col min="13071" max="13312" width="11.42578125" style="1313"/>
    <col min="13313" max="13313" width="11.7109375" style="1313" customWidth="1"/>
    <col min="13314" max="13314" width="0" style="1313" hidden="1" customWidth="1"/>
    <col min="13315" max="13315" width="10.28515625" style="1313" customWidth="1"/>
    <col min="13316" max="13316" width="10.42578125" style="1313" customWidth="1"/>
    <col min="13317" max="13317" width="10.28515625" style="1313" customWidth="1"/>
    <col min="13318" max="13318" width="10.42578125" style="1313" customWidth="1"/>
    <col min="13319" max="13319" width="10.5703125" style="1313" customWidth="1"/>
    <col min="13320" max="13320" width="10.85546875" style="1313" customWidth="1"/>
    <col min="13321" max="13321" width="11" style="1313" customWidth="1"/>
    <col min="13322" max="13322" width="10.5703125" style="1313" customWidth="1"/>
    <col min="13323" max="13323" width="10.28515625" style="1313" bestFit="1" customWidth="1"/>
    <col min="13324" max="13324" width="10.28515625" style="1313" customWidth="1"/>
    <col min="13325" max="13326" width="10.140625" style="1313" customWidth="1"/>
    <col min="13327" max="13568" width="11.42578125" style="1313"/>
    <col min="13569" max="13569" width="11.7109375" style="1313" customWidth="1"/>
    <col min="13570" max="13570" width="0" style="1313" hidden="1" customWidth="1"/>
    <col min="13571" max="13571" width="10.28515625" style="1313" customWidth="1"/>
    <col min="13572" max="13572" width="10.42578125" style="1313" customWidth="1"/>
    <col min="13573" max="13573" width="10.28515625" style="1313" customWidth="1"/>
    <col min="13574" max="13574" width="10.42578125" style="1313" customWidth="1"/>
    <col min="13575" max="13575" width="10.5703125" style="1313" customWidth="1"/>
    <col min="13576" max="13576" width="10.85546875" style="1313" customWidth="1"/>
    <col min="13577" max="13577" width="11" style="1313" customWidth="1"/>
    <col min="13578" max="13578" width="10.5703125" style="1313" customWidth="1"/>
    <col min="13579" max="13579" width="10.28515625" style="1313" bestFit="1" customWidth="1"/>
    <col min="13580" max="13580" width="10.28515625" style="1313" customWidth="1"/>
    <col min="13581" max="13582" width="10.140625" style="1313" customWidth="1"/>
    <col min="13583" max="13824" width="11.42578125" style="1313"/>
    <col min="13825" max="13825" width="11.7109375" style="1313" customWidth="1"/>
    <col min="13826" max="13826" width="0" style="1313" hidden="1" customWidth="1"/>
    <col min="13827" max="13827" width="10.28515625" style="1313" customWidth="1"/>
    <col min="13828" max="13828" width="10.42578125" style="1313" customWidth="1"/>
    <col min="13829" max="13829" width="10.28515625" style="1313" customWidth="1"/>
    <col min="13830" max="13830" width="10.42578125" style="1313" customWidth="1"/>
    <col min="13831" max="13831" width="10.5703125" style="1313" customWidth="1"/>
    <col min="13832" max="13832" width="10.85546875" style="1313" customWidth="1"/>
    <col min="13833" max="13833" width="11" style="1313" customWidth="1"/>
    <col min="13834" max="13834" width="10.5703125" style="1313" customWidth="1"/>
    <col min="13835" max="13835" width="10.28515625" style="1313" bestFit="1" customWidth="1"/>
    <col min="13836" max="13836" width="10.28515625" style="1313" customWidth="1"/>
    <col min="13837" max="13838" width="10.140625" style="1313" customWidth="1"/>
    <col min="13839" max="14080" width="11.42578125" style="1313"/>
    <col min="14081" max="14081" width="11.7109375" style="1313" customWidth="1"/>
    <col min="14082" max="14082" width="0" style="1313" hidden="1" customWidth="1"/>
    <col min="14083" max="14083" width="10.28515625" style="1313" customWidth="1"/>
    <col min="14084" max="14084" width="10.42578125" style="1313" customWidth="1"/>
    <col min="14085" max="14085" width="10.28515625" style="1313" customWidth="1"/>
    <col min="14086" max="14086" width="10.42578125" style="1313" customWidth="1"/>
    <col min="14087" max="14087" width="10.5703125" style="1313" customWidth="1"/>
    <col min="14088" max="14088" width="10.85546875" style="1313" customWidth="1"/>
    <col min="14089" max="14089" width="11" style="1313" customWidth="1"/>
    <col min="14090" max="14090" width="10.5703125" style="1313" customWidth="1"/>
    <col min="14091" max="14091" width="10.28515625" style="1313" bestFit="1" customWidth="1"/>
    <col min="14092" max="14092" width="10.28515625" style="1313" customWidth="1"/>
    <col min="14093" max="14094" width="10.140625" style="1313" customWidth="1"/>
    <col min="14095" max="14336" width="11.42578125" style="1313"/>
    <col min="14337" max="14337" width="11.7109375" style="1313" customWidth="1"/>
    <col min="14338" max="14338" width="0" style="1313" hidden="1" customWidth="1"/>
    <col min="14339" max="14339" width="10.28515625" style="1313" customWidth="1"/>
    <col min="14340" max="14340" width="10.42578125" style="1313" customWidth="1"/>
    <col min="14341" max="14341" width="10.28515625" style="1313" customWidth="1"/>
    <col min="14342" max="14342" width="10.42578125" style="1313" customWidth="1"/>
    <col min="14343" max="14343" width="10.5703125" style="1313" customWidth="1"/>
    <col min="14344" max="14344" width="10.85546875" style="1313" customWidth="1"/>
    <col min="14345" max="14345" width="11" style="1313" customWidth="1"/>
    <col min="14346" max="14346" width="10.5703125" style="1313" customWidth="1"/>
    <col min="14347" max="14347" width="10.28515625" style="1313" bestFit="1" customWidth="1"/>
    <col min="14348" max="14348" width="10.28515625" style="1313" customWidth="1"/>
    <col min="14349" max="14350" width="10.140625" style="1313" customWidth="1"/>
    <col min="14351" max="14592" width="11.42578125" style="1313"/>
    <col min="14593" max="14593" width="11.7109375" style="1313" customWidth="1"/>
    <col min="14594" max="14594" width="0" style="1313" hidden="1" customWidth="1"/>
    <col min="14595" max="14595" width="10.28515625" style="1313" customWidth="1"/>
    <col min="14596" max="14596" width="10.42578125" style="1313" customWidth="1"/>
    <col min="14597" max="14597" width="10.28515625" style="1313" customWidth="1"/>
    <col min="14598" max="14598" width="10.42578125" style="1313" customWidth="1"/>
    <col min="14599" max="14599" width="10.5703125" style="1313" customWidth="1"/>
    <col min="14600" max="14600" width="10.85546875" style="1313" customWidth="1"/>
    <col min="14601" max="14601" width="11" style="1313" customWidth="1"/>
    <col min="14602" max="14602" width="10.5703125" style="1313" customWidth="1"/>
    <col min="14603" max="14603" width="10.28515625" style="1313" bestFit="1" customWidth="1"/>
    <col min="14604" max="14604" width="10.28515625" style="1313" customWidth="1"/>
    <col min="14605" max="14606" width="10.140625" style="1313" customWidth="1"/>
    <col min="14607" max="14848" width="11.42578125" style="1313"/>
    <col min="14849" max="14849" width="11.7109375" style="1313" customWidth="1"/>
    <col min="14850" max="14850" width="0" style="1313" hidden="1" customWidth="1"/>
    <col min="14851" max="14851" width="10.28515625" style="1313" customWidth="1"/>
    <col min="14852" max="14852" width="10.42578125" style="1313" customWidth="1"/>
    <col min="14853" max="14853" width="10.28515625" style="1313" customWidth="1"/>
    <col min="14854" max="14854" width="10.42578125" style="1313" customWidth="1"/>
    <col min="14855" max="14855" width="10.5703125" style="1313" customWidth="1"/>
    <col min="14856" max="14856" width="10.85546875" style="1313" customWidth="1"/>
    <col min="14857" max="14857" width="11" style="1313" customWidth="1"/>
    <col min="14858" max="14858" width="10.5703125" style="1313" customWidth="1"/>
    <col min="14859" max="14859" width="10.28515625" style="1313" bestFit="1" customWidth="1"/>
    <col min="14860" max="14860" width="10.28515625" style="1313" customWidth="1"/>
    <col min="14861" max="14862" width="10.140625" style="1313" customWidth="1"/>
    <col min="14863" max="15104" width="11.42578125" style="1313"/>
    <col min="15105" max="15105" width="11.7109375" style="1313" customWidth="1"/>
    <col min="15106" max="15106" width="0" style="1313" hidden="1" customWidth="1"/>
    <col min="15107" max="15107" width="10.28515625" style="1313" customWidth="1"/>
    <col min="15108" max="15108" width="10.42578125" style="1313" customWidth="1"/>
    <col min="15109" max="15109" width="10.28515625" style="1313" customWidth="1"/>
    <col min="15110" max="15110" width="10.42578125" style="1313" customWidth="1"/>
    <col min="15111" max="15111" width="10.5703125" style="1313" customWidth="1"/>
    <col min="15112" max="15112" width="10.85546875" style="1313" customWidth="1"/>
    <col min="15113" max="15113" width="11" style="1313" customWidth="1"/>
    <col min="15114" max="15114" width="10.5703125" style="1313" customWidth="1"/>
    <col min="15115" max="15115" width="10.28515625" style="1313" bestFit="1" customWidth="1"/>
    <col min="15116" max="15116" width="10.28515625" style="1313" customWidth="1"/>
    <col min="15117" max="15118" width="10.140625" style="1313" customWidth="1"/>
    <col min="15119" max="15360" width="11.42578125" style="1313"/>
    <col min="15361" max="15361" width="11.7109375" style="1313" customWidth="1"/>
    <col min="15362" max="15362" width="0" style="1313" hidden="1" customWidth="1"/>
    <col min="15363" max="15363" width="10.28515625" style="1313" customWidth="1"/>
    <col min="15364" max="15364" width="10.42578125" style="1313" customWidth="1"/>
    <col min="15365" max="15365" width="10.28515625" style="1313" customWidth="1"/>
    <col min="15366" max="15366" width="10.42578125" style="1313" customWidth="1"/>
    <col min="15367" max="15367" width="10.5703125" style="1313" customWidth="1"/>
    <col min="15368" max="15368" width="10.85546875" style="1313" customWidth="1"/>
    <col min="15369" max="15369" width="11" style="1313" customWidth="1"/>
    <col min="15370" max="15370" width="10.5703125" style="1313" customWidth="1"/>
    <col min="15371" max="15371" width="10.28515625" style="1313" bestFit="1" customWidth="1"/>
    <col min="15372" max="15372" width="10.28515625" style="1313" customWidth="1"/>
    <col min="15373" max="15374" width="10.140625" style="1313" customWidth="1"/>
    <col min="15375" max="15616" width="11.42578125" style="1313"/>
    <col min="15617" max="15617" width="11.7109375" style="1313" customWidth="1"/>
    <col min="15618" max="15618" width="0" style="1313" hidden="1" customWidth="1"/>
    <col min="15619" max="15619" width="10.28515625" style="1313" customWidth="1"/>
    <col min="15620" max="15620" width="10.42578125" style="1313" customWidth="1"/>
    <col min="15621" max="15621" width="10.28515625" style="1313" customWidth="1"/>
    <col min="15622" max="15622" width="10.42578125" style="1313" customWidth="1"/>
    <col min="15623" max="15623" width="10.5703125" style="1313" customWidth="1"/>
    <col min="15624" max="15624" width="10.85546875" style="1313" customWidth="1"/>
    <col min="15625" max="15625" width="11" style="1313" customWidth="1"/>
    <col min="15626" max="15626" width="10.5703125" style="1313" customWidth="1"/>
    <col min="15627" max="15627" width="10.28515625" style="1313" bestFit="1" customWidth="1"/>
    <col min="15628" max="15628" width="10.28515625" style="1313" customWidth="1"/>
    <col min="15629" max="15630" width="10.140625" style="1313" customWidth="1"/>
    <col min="15631" max="15872" width="11.42578125" style="1313"/>
    <col min="15873" max="15873" width="11.7109375" style="1313" customWidth="1"/>
    <col min="15874" max="15874" width="0" style="1313" hidden="1" customWidth="1"/>
    <col min="15875" max="15875" width="10.28515625" style="1313" customWidth="1"/>
    <col min="15876" max="15876" width="10.42578125" style="1313" customWidth="1"/>
    <col min="15877" max="15877" width="10.28515625" style="1313" customWidth="1"/>
    <col min="15878" max="15878" width="10.42578125" style="1313" customWidth="1"/>
    <col min="15879" max="15879" width="10.5703125" style="1313" customWidth="1"/>
    <col min="15880" max="15880" width="10.85546875" style="1313" customWidth="1"/>
    <col min="15881" max="15881" width="11" style="1313" customWidth="1"/>
    <col min="15882" max="15882" width="10.5703125" style="1313" customWidth="1"/>
    <col min="15883" max="15883" width="10.28515625" style="1313" bestFit="1" customWidth="1"/>
    <col min="15884" max="15884" width="10.28515625" style="1313" customWidth="1"/>
    <col min="15885" max="15886" width="10.140625" style="1313" customWidth="1"/>
    <col min="15887" max="16128" width="11.42578125" style="1313"/>
    <col min="16129" max="16129" width="11.7109375" style="1313" customWidth="1"/>
    <col min="16130" max="16130" width="0" style="1313" hidden="1" customWidth="1"/>
    <col min="16131" max="16131" width="10.28515625" style="1313" customWidth="1"/>
    <col min="16132" max="16132" width="10.42578125" style="1313" customWidth="1"/>
    <col min="16133" max="16133" width="10.28515625" style="1313" customWidth="1"/>
    <col min="16134" max="16134" width="10.42578125" style="1313" customWidth="1"/>
    <col min="16135" max="16135" width="10.5703125" style="1313" customWidth="1"/>
    <col min="16136" max="16136" width="10.85546875" style="1313" customWidth="1"/>
    <col min="16137" max="16137" width="11" style="1313" customWidth="1"/>
    <col min="16138" max="16138" width="10.5703125" style="1313" customWidth="1"/>
    <col min="16139" max="16139" width="10.28515625" style="1313" bestFit="1" customWidth="1"/>
    <col min="16140" max="16140" width="10.28515625" style="1313" customWidth="1"/>
    <col min="16141" max="16142" width="10.140625" style="1313" customWidth="1"/>
    <col min="16143" max="16384" width="11.42578125" style="1313"/>
  </cols>
  <sheetData>
    <row r="1" spans="1:14" ht="18.75" thickBot="1">
      <c r="C1" s="1532" t="s">
        <v>2415</v>
      </c>
      <c r="D1" s="1533"/>
      <c r="E1" s="1533"/>
      <c r="F1" s="1534"/>
      <c r="G1" s="1532" t="s">
        <v>2416</v>
      </c>
      <c r="H1" s="1533"/>
      <c r="I1" s="1533"/>
      <c r="J1" s="1534"/>
      <c r="K1" s="1532" t="s">
        <v>2417</v>
      </c>
      <c r="L1" s="1533"/>
      <c r="M1" s="1533"/>
      <c r="N1" s="1534"/>
    </row>
    <row r="2" spans="1:14" ht="18.75" thickBot="1">
      <c r="A2" s="1314" t="s">
        <v>2418</v>
      </c>
      <c r="B2" s="1315" t="s">
        <v>2418</v>
      </c>
      <c r="C2" s="1316">
        <v>2012</v>
      </c>
      <c r="D2" s="1317">
        <v>2013</v>
      </c>
      <c r="E2" s="1317">
        <v>2014</v>
      </c>
      <c r="F2" s="1318">
        <v>2015</v>
      </c>
      <c r="G2" s="1316">
        <v>2012</v>
      </c>
      <c r="H2" s="1317">
        <v>2013</v>
      </c>
      <c r="I2" s="1317">
        <v>2014</v>
      </c>
      <c r="J2" s="1318">
        <v>2015</v>
      </c>
      <c r="K2" s="1316">
        <v>2012</v>
      </c>
      <c r="L2" s="1317">
        <v>2013</v>
      </c>
      <c r="M2" s="1317">
        <v>2014</v>
      </c>
      <c r="N2" s="1318">
        <v>2015</v>
      </c>
    </row>
    <row r="3" spans="1:14" ht="18">
      <c r="A3" s="1319" t="s">
        <v>2419</v>
      </c>
      <c r="B3" s="1320" t="s">
        <v>2420</v>
      </c>
      <c r="C3" s="1321">
        <v>0.02</v>
      </c>
      <c r="D3" s="1322"/>
      <c r="E3" s="1322"/>
      <c r="F3" s="1323"/>
      <c r="G3" s="1321">
        <v>0.02</v>
      </c>
      <c r="H3" s="1322"/>
      <c r="I3" s="1322"/>
      <c r="J3" s="1323"/>
      <c r="K3" s="1324">
        <f>+G3/C3</f>
        <v>1</v>
      </c>
      <c r="L3" s="1325"/>
      <c r="M3" s="1325"/>
      <c r="N3" s="1326"/>
    </row>
    <row r="4" spans="1:14" ht="18">
      <c r="A4" s="1327" t="s">
        <v>2421</v>
      </c>
      <c r="B4" s="1328" t="s">
        <v>2422</v>
      </c>
      <c r="C4" s="1329">
        <v>0.04</v>
      </c>
      <c r="D4" s="1330"/>
      <c r="E4" s="1330"/>
      <c r="F4" s="1331"/>
      <c r="G4" s="1329">
        <v>0.04</v>
      </c>
      <c r="H4" s="1330"/>
      <c r="I4" s="1330"/>
      <c r="J4" s="1331"/>
      <c r="K4" s="1332">
        <f t="shared" ref="K4:N10" si="0">+G4/C4</f>
        <v>1</v>
      </c>
      <c r="L4" s="1330"/>
      <c r="M4" s="1330"/>
      <c r="N4" s="1331"/>
    </row>
    <row r="5" spans="1:14" ht="18">
      <c r="A5" s="1333" t="s">
        <v>2423</v>
      </c>
      <c r="B5" s="1328" t="s">
        <v>2424</v>
      </c>
      <c r="C5" s="1329">
        <v>0.04</v>
      </c>
      <c r="D5" s="1330">
        <v>0.06</v>
      </c>
      <c r="E5" s="1330">
        <v>7.0000000000000007E-2</v>
      </c>
      <c r="F5" s="1331">
        <v>7.0000000000000007E-2</v>
      </c>
      <c r="G5" s="1329">
        <v>3.95E-2</v>
      </c>
      <c r="H5" s="1330">
        <v>0.06</v>
      </c>
      <c r="I5" s="1330">
        <v>7.0000000000000007E-2</v>
      </c>
      <c r="J5" s="1331">
        <v>7.0000000000000007E-2</v>
      </c>
      <c r="K5" s="1329">
        <f t="shared" si="0"/>
        <v>0.98750000000000004</v>
      </c>
      <c r="L5" s="1334">
        <f t="shared" si="0"/>
        <v>1</v>
      </c>
      <c r="M5" s="1334">
        <f t="shared" si="0"/>
        <v>1</v>
      </c>
      <c r="N5" s="1335">
        <f t="shared" si="0"/>
        <v>1</v>
      </c>
    </row>
    <row r="6" spans="1:14" ht="18">
      <c r="A6" s="1333" t="s">
        <v>2425</v>
      </c>
      <c r="B6" s="1328" t="s">
        <v>2426</v>
      </c>
      <c r="C6" s="1329">
        <v>0.18</v>
      </c>
      <c r="D6" s="1330">
        <v>0.12</v>
      </c>
      <c r="E6" s="1330">
        <v>0.23</v>
      </c>
      <c r="F6" s="1331">
        <v>0.18</v>
      </c>
      <c r="G6" s="1329">
        <v>9.6000000000000002E-2</v>
      </c>
      <c r="H6" s="1330">
        <v>0.1</v>
      </c>
      <c r="I6" s="1330">
        <v>0.22</v>
      </c>
      <c r="J6" s="1331">
        <v>0.1721</v>
      </c>
      <c r="K6" s="1329">
        <f t="shared" si="0"/>
        <v>0.53333333333333333</v>
      </c>
      <c r="L6" s="1330">
        <f t="shared" si="0"/>
        <v>0.83333333333333337</v>
      </c>
      <c r="M6" s="1330">
        <f t="shared" si="0"/>
        <v>0.9565217391304347</v>
      </c>
      <c r="N6" s="1331">
        <f t="shared" si="0"/>
        <v>0.95611111111111113</v>
      </c>
    </row>
    <row r="7" spans="1:14" ht="18">
      <c r="A7" s="1333" t="s">
        <v>2427</v>
      </c>
      <c r="B7" s="1328" t="s">
        <v>2428</v>
      </c>
      <c r="C7" s="1329">
        <v>0.25</v>
      </c>
      <c r="D7" s="1330">
        <v>0.4</v>
      </c>
      <c r="E7" s="1330">
        <v>0.41</v>
      </c>
      <c r="F7" s="1331">
        <v>0.54</v>
      </c>
      <c r="G7" s="1329">
        <v>0.23380000000000001</v>
      </c>
      <c r="H7" s="1330">
        <v>0.17</v>
      </c>
      <c r="I7" s="1330">
        <v>0.39</v>
      </c>
      <c r="J7" s="1331">
        <v>0.48139999999999999</v>
      </c>
      <c r="K7" s="1329">
        <f t="shared" si="0"/>
        <v>0.93520000000000003</v>
      </c>
      <c r="L7" s="1330">
        <f t="shared" si="0"/>
        <v>0.42499999999999999</v>
      </c>
      <c r="M7" s="1330">
        <f t="shared" si="0"/>
        <v>0.95121951219512202</v>
      </c>
      <c r="N7" s="1331">
        <f t="shared" si="0"/>
        <v>0.89148148148148143</v>
      </c>
    </row>
    <row r="8" spans="1:14" ht="18">
      <c r="A8" s="1333" t="s">
        <v>2429</v>
      </c>
      <c r="B8" s="1328" t="s">
        <v>2430</v>
      </c>
      <c r="C8" s="1329">
        <v>0.21</v>
      </c>
      <c r="D8" s="1330">
        <v>0.23</v>
      </c>
      <c r="E8" s="1330">
        <v>0.15</v>
      </c>
      <c r="F8" s="1331">
        <v>0.14000000000000001</v>
      </c>
      <c r="G8" s="1329">
        <v>0.17949999999999999</v>
      </c>
      <c r="H8" s="1330">
        <v>0.19</v>
      </c>
      <c r="I8" s="1330">
        <v>0.14000000000000001</v>
      </c>
      <c r="J8" s="1331">
        <v>0.12959999999999999</v>
      </c>
      <c r="K8" s="1329">
        <f t="shared" si="0"/>
        <v>0.85476190476190472</v>
      </c>
      <c r="L8" s="1330">
        <f t="shared" si="0"/>
        <v>0.82608695652173914</v>
      </c>
      <c r="M8" s="1330">
        <f t="shared" si="0"/>
        <v>0.93333333333333346</v>
      </c>
      <c r="N8" s="1331">
        <f t="shared" si="0"/>
        <v>0.9257142857142856</v>
      </c>
    </row>
    <row r="9" spans="1:14" ht="18">
      <c r="A9" s="1333" t="s">
        <v>2431</v>
      </c>
      <c r="B9" s="1328" t="s">
        <v>2432</v>
      </c>
      <c r="C9" s="1329">
        <v>0.16</v>
      </c>
      <c r="D9" s="1330">
        <v>0.08</v>
      </c>
      <c r="E9" s="1330">
        <v>7.0000000000000007E-2</v>
      </c>
      <c r="F9" s="1331">
        <v>0.04</v>
      </c>
      <c r="G9" s="1329">
        <v>0.16</v>
      </c>
      <c r="H9" s="1330">
        <v>0.06</v>
      </c>
      <c r="I9" s="1330">
        <v>0.05</v>
      </c>
      <c r="J9" s="1331">
        <v>3.7199999999999997E-2</v>
      </c>
      <c r="K9" s="1332">
        <f t="shared" si="0"/>
        <v>1</v>
      </c>
      <c r="L9" s="1330">
        <f t="shared" si="0"/>
        <v>0.75</v>
      </c>
      <c r="M9" s="1330">
        <f t="shared" si="0"/>
        <v>0.7142857142857143</v>
      </c>
      <c r="N9" s="1331">
        <f t="shared" si="0"/>
        <v>0.92999999999999994</v>
      </c>
    </row>
    <row r="10" spans="1:14" ht="18.75" thickBot="1">
      <c r="A10" s="1327" t="s">
        <v>2433</v>
      </c>
      <c r="B10" s="1336" t="s">
        <v>2434</v>
      </c>
      <c r="C10" s="1337">
        <v>0.1</v>
      </c>
      <c r="D10" s="1338">
        <v>0.11</v>
      </c>
      <c r="E10" s="1338">
        <v>7.0000000000000007E-2</v>
      </c>
      <c r="F10" s="1339">
        <v>0.03</v>
      </c>
      <c r="G10" s="1337">
        <v>6.25E-2</v>
      </c>
      <c r="H10" s="1338">
        <v>0.08</v>
      </c>
      <c r="I10" s="1338">
        <v>0.04</v>
      </c>
      <c r="J10" s="1339">
        <v>0.03</v>
      </c>
      <c r="K10" s="1340">
        <f t="shared" si="0"/>
        <v>0.625</v>
      </c>
      <c r="L10" s="1341">
        <f t="shared" si="0"/>
        <v>0.72727272727272729</v>
      </c>
      <c r="M10" s="1341">
        <f t="shared" si="0"/>
        <v>0.5714285714285714</v>
      </c>
      <c r="N10" s="1342">
        <f t="shared" si="0"/>
        <v>1</v>
      </c>
    </row>
    <row r="11" spans="1:14" ht="18.75" thickBot="1">
      <c r="A11" s="1343" t="s">
        <v>2435</v>
      </c>
      <c r="B11" s="1344" t="s">
        <v>2435</v>
      </c>
      <c r="C11" s="1345">
        <f>SUM(C3:C10)</f>
        <v>1</v>
      </c>
      <c r="D11" s="1346">
        <f t="shared" ref="D11:J11" si="1">SUM(D5:D10)</f>
        <v>1</v>
      </c>
      <c r="E11" s="1346">
        <f t="shared" si="1"/>
        <v>1</v>
      </c>
      <c r="F11" s="1347">
        <f t="shared" si="1"/>
        <v>1</v>
      </c>
      <c r="G11" s="1348">
        <f t="shared" si="1"/>
        <v>0.77129999999999999</v>
      </c>
      <c r="H11" s="1349">
        <f t="shared" si="1"/>
        <v>0.66</v>
      </c>
      <c r="I11" s="1349">
        <f t="shared" si="1"/>
        <v>0.91000000000000014</v>
      </c>
      <c r="J11" s="1350">
        <f t="shared" si="1"/>
        <v>0.92030000000000001</v>
      </c>
      <c r="K11" s="1348">
        <f>AVERAGE(K5:K10)</f>
        <v>0.82263253968253969</v>
      </c>
      <c r="L11" s="1349">
        <f t="shared" ref="L11:N11" si="2">AVERAGE(L5:L10)</f>
        <v>0.7602821695212999</v>
      </c>
      <c r="M11" s="1349">
        <f t="shared" si="2"/>
        <v>0.85446481172886257</v>
      </c>
      <c r="N11" s="1350">
        <f t="shared" si="2"/>
        <v>0.95055114638447968</v>
      </c>
    </row>
    <row r="13" spans="1:14">
      <c r="C13" s="1351"/>
      <c r="G13" s="1351"/>
    </row>
  </sheetData>
  <sheetProtection password="EEC9" sheet="1" objects="1" scenarios="1"/>
  <mergeCells count="3">
    <mergeCell ref="C1:F1"/>
    <mergeCell ref="G1:J1"/>
    <mergeCell ref="K1:N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1"/>
  <sheetViews>
    <sheetView topLeftCell="J4" zoomScale="65" zoomScaleNormal="65" workbookViewId="0">
      <selection activeCell="L14" sqref="L14"/>
    </sheetView>
  </sheetViews>
  <sheetFormatPr baseColWidth="10" defaultColWidth="11.5703125" defaultRowHeight="12.75" customHeight="1"/>
  <cols>
    <col min="1" max="1" width="16.85546875" style="514" customWidth="1"/>
    <col min="2" max="2" width="15.140625" style="514" customWidth="1"/>
    <col min="3" max="3" width="21.5703125" style="514" customWidth="1"/>
    <col min="4" max="4" width="16" style="514" customWidth="1"/>
    <col min="5" max="5" width="45" style="514" customWidth="1"/>
    <col min="6" max="6" width="11.42578125" style="514" customWidth="1"/>
    <col min="7" max="8" width="15" style="514" customWidth="1"/>
    <col min="9" max="23" width="11.42578125" style="514" customWidth="1"/>
    <col min="24" max="24" width="13" style="514" customWidth="1"/>
    <col min="25" max="25" width="26.28515625" style="514" customWidth="1"/>
    <col min="26" max="26" width="49" style="514" customWidth="1"/>
    <col min="27" max="27" width="24.28515625" style="514" customWidth="1"/>
    <col min="28" max="28" width="22.28515625" style="514" customWidth="1"/>
    <col min="29" max="29" width="14.85546875" style="514" customWidth="1"/>
    <col min="30" max="30" width="26.5703125" style="514" customWidth="1"/>
    <col min="31" max="31" width="64.28515625" style="514" customWidth="1"/>
    <col min="32" max="32" width="13" style="514" customWidth="1"/>
    <col min="33" max="33" width="11.5703125" style="514"/>
    <col min="34" max="34" width="65.140625" style="514" customWidth="1"/>
    <col min="35" max="35" width="17.5703125" style="514" customWidth="1"/>
    <col min="36" max="36" width="13.5703125" style="514" customWidth="1"/>
    <col min="37" max="37" width="11.5703125" style="514"/>
    <col min="38" max="38" width="53.42578125" style="514" customWidth="1"/>
    <col min="39" max="39" width="16.7109375" style="514" customWidth="1"/>
    <col min="40" max="40" width="14.28515625" style="514" customWidth="1"/>
    <col min="41" max="41" width="11.5703125" style="514"/>
    <col min="42" max="42" width="82.85546875" style="514" customWidth="1"/>
    <col min="43" max="43" width="24.85546875" style="514" customWidth="1"/>
    <col min="44" max="44" width="13" style="514" customWidth="1"/>
    <col min="45" max="45" width="11.5703125" style="514"/>
    <col min="46" max="46" width="55.42578125" style="514" customWidth="1"/>
    <col min="47" max="47" width="29.140625" style="514" customWidth="1"/>
    <col min="48" max="256" width="11.5703125" style="514"/>
    <col min="257" max="257" width="16.85546875" style="514" customWidth="1"/>
    <col min="258" max="258" width="15.140625" style="514" customWidth="1"/>
    <col min="259" max="259" width="21.5703125" style="514" customWidth="1"/>
    <col min="260" max="260" width="16" style="514" customWidth="1"/>
    <col min="261" max="261" width="45" style="514" customWidth="1"/>
    <col min="262" max="262" width="11.42578125" style="514" customWidth="1"/>
    <col min="263" max="264" width="15" style="514" customWidth="1"/>
    <col min="265" max="279" width="11.42578125" style="514" customWidth="1"/>
    <col min="280" max="280" width="13" style="514" customWidth="1"/>
    <col min="281" max="281" width="26.28515625" style="514" customWidth="1"/>
    <col min="282" max="282" width="49" style="514" customWidth="1"/>
    <col min="283" max="283" width="24.28515625" style="514" customWidth="1"/>
    <col min="284" max="284" width="22.28515625" style="514" customWidth="1"/>
    <col min="285" max="285" width="14.85546875" style="514" customWidth="1"/>
    <col min="286" max="286" width="26.5703125" style="514" customWidth="1"/>
    <col min="287" max="287" width="64.28515625" style="514" customWidth="1"/>
    <col min="288" max="288" width="13" style="514" customWidth="1"/>
    <col min="289" max="289" width="11.5703125" style="514"/>
    <col min="290" max="290" width="65.140625" style="514" customWidth="1"/>
    <col min="291" max="291" width="17.5703125" style="514" customWidth="1"/>
    <col min="292" max="292" width="13.5703125" style="514" customWidth="1"/>
    <col min="293" max="293" width="11.5703125" style="514"/>
    <col min="294" max="294" width="53.42578125" style="514" customWidth="1"/>
    <col min="295" max="295" width="16.7109375" style="514" customWidth="1"/>
    <col min="296" max="296" width="14.28515625" style="514" customWidth="1"/>
    <col min="297" max="297" width="11.5703125" style="514"/>
    <col min="298" max="298" width="82.85546875" style="514" customWidth="1"/>
    <col min="299" max="299" width="24.85546875" style="514" customWidth="1"/>
    <col min="300" max="300" width="13" style="514" customWidth="1"/>
    <col min="301" max="301" width="11.5703125" style="514"/>
    <col min="302" max="302" width="55.42578125" style="514" customWidth="1"/>
    <col min="303" max="303" width="29.140625" style="514" customWidth="1"/>
    <col min="304" max="512" width="11.5703125" style="514"/>
    <col min="513" max="513" width="16.85546875" style="514" customWidth="1"/>
    <col min="514" max="514" width="15.140625" style="514" customWidth="1"/>
    <col min="515" max="515" width="21.5703125" style="514" customWidth="1"/>
    <col min="516" max="516" width="16" style="514" customWidth="1"/>
    <col min="517" max="517" width="45" style="514" customWidth="1"/>
    <col min="518" max="518" width="11.42578125" style="514" customWidth="1"/>
    <col min="519" max="520" width="15" style="514" customWidth="1"/>
    <col min="521" max="535" width="11.42578125" style="514" customWidth="1"/>
    <col min="536" max="536" width="13" style="514" customWidth="1"/>
    <col min="537" max="537" width="26.28515625" style="514" customWidth="1"/>
    <col min="538" max="538" width="49" style="514" customWidth="1"/>
    <col min="539" max="539" width="24.28515625" style="514" customWidth="1"/>
    <col min="540" max="540" width="22.28515625" style="514" customWidth="1"/>
    <col min="541" max="541" width="14.85546875" style="514" customWidth="1"/>
    <col min="542" max="542" width="26.5703125" style="514" customWidth="1"/>
    <col min="543" max="543" width="64.28515625" style="514" customWidth="1"/>
    <col min="544" max="544" width="13" style="514" customWidth="1"/>
    <col min="545" max="545" width="11.5703125" style="514"/>
    <col min="546" max="546" width="65.140625" style="514" customWidth="1"/>
    <col min="547" max="547" width="17.5703125" style="514" customWidth="1"/>
    <col min="548" max="548" width="13.5703125" style="514" customWidth="1"/>
    <col min="549" max="549" width="11.5703125" style="514"/>
    <col min="550" max="550" width="53.42578125" style="514" customWidth="1"/>
    <col min="551" max="551" width="16.7109375" style="514" customWidth="1"/>
    <col min="552" max="552" width="14.28515625" style="514" customWidth="1"/>
    <col min="553" max="553" width="11.5703125" style="514"/>
    <col min="554" max="554" width="82.85546875" style="514" customWidth="1"/>
    <col min="555" max="555" width="24.85546875" style="514" customWidth="1"/>
    <col min="556" max="556" width="13" style="514" customWidth="1"/>
    <col min="557" max="557" width="11.5703125" style="514"/>
    <col min="558" max="558" width="55.42578125" style="514" customWidth="1"/>
    <col min="559" max="559" width="29.140625" style="514" customWidth="1"/>
    <col min="560" max="768" width="11.5703125" style="514"/>
    <col min="769" max="769" width="16.85546875" style="514" customWidth="1"/>
    <col min="770" max="770" width="15.140625" style="514" customWidth="1"/>
    <col min="771" max="771" width="21.5703125" style="514" customWidth="1"/>
    <col min="772" max="772" width="16" style="514" customWidth="1"/>
    <col min="773" max="773" width="45" style="514" customWidth="1"/>
    <col min="774" max="774" width="11.42578125" style="514" customWidth="1"/>
    <col min="775" max="776" width="15" style="514" customWidth="1"/>
    <col min="777" max="791" width="11.42578125" style="514" customWidth="1"/>
    <col min="792" max="792" width="13" style="514" customWidth="1"/>
    <col min="793" max="793" width="26.28515625" style="514" customWidth="1"/>
    <col min="794" max="794" width="49" style="514" customWidth="1"/>
    <col min="795" max="795" width="24.28515625" style="514" customWidth="1"/>
    <col min="796" max="796" width="22.28515625" style="514" customWidth="1"/>
    <col min="797" max="797" width="14.85546875" style="514" customWidth="1"/>
    <col min="798" max="798" width="26.5703125" style="514" customWidth="1"/>
    <col min="799" max="799" width="64.28515625" style="514" customWidth="1"/>
    <col min="800" max="800" width="13" style="514" customWidth="1"/>
    <col min="801" max="801" width="11.5703125" style="514"/>
    <col min="802" max="802" width="65.140625" style="514" customWidth="1"/>
    <col min="803" max="803" width="17.5703125" style="514" customWidth="1"/>
    <col min="804" max="804" width="13.5703125" style="514" customWidth="1"/>
    <col min="805" max="805" width="11.5703125" style="514"/>
    <col min="806" max="806" width="53.42578125" style="514" customWidth="1"/>
    <col min="807" max="807" width="16.7109375" style="514" customWidth="1"/>
    <col min="808" max="808" width="14.28515625" style="514" customWidth="1"/>
    <col min="809" max="809" width="11.5703125" style="514"/>
    <col min="810" max="810" width="82.85546875" style="514" customWidth="1"/>
    <col min="811" max="811" width="24.85546875" style="514" customWidth="1"/>
    <col min="812" max="812" width="13" style="514" customWidth="1"/>
    <col min="813" max="813" width="11.5703125" style="514"/>
    <col min="814" max="814" width="55.42578125" style="514" customWidth="1"/>
    <col min="815" max="815" width="29.140625" style="514" customWidth="1"/>
    <col min="816" max="1024" width="11.5703125" style="514"/>
    <col min="1025" max="1025" width="16.85546875" style="514" customWidth="1"/>
    <col min="1026" max="1026" width="15.140625" style="514" customWidth="1"/>
    <col min="1027" max="1027" width="21.5703125" style="514" customWidth="1"/>
    <col min="1028" max="1028" width="16" style="514" customWidth="1"/>
    <col min="1029" max="1029" width="45" style="514" customWidth="1"/>
    <col min="1030" max="1030" width="11.42578125" style="514" customWidth="1"/>
    <col min="1031" max="1032" width="15" style="514" customWidth="1"/>
    <col min="1033" max="1047" width="11.42578125" style="514" customWidth="1"/>
    <col min="1048" max="1048" width="13" style="514" customWidth="1"/>
    <col min="1049" max="1049" width="26.28515625" style="514" customWidth="1"/>
    <col min="1050" max="1050" width="49" style="514" customWidth="1"/>
    <col min="1051" max="1051" width="24.28515625" style="514" customWidth="1"/>
    <col min="1052" max="1052" width="22.28515625" style="514" customWidth="1"/>
    <col min="1053" max="1053" width="14.85546875" style="514" customWidth="1"/>
    <col min="1054" max="1054" width="26.5703125" style="514" customWidth="1"/>
    <col min="1055" max="1055" width="64.28515625" style="514" customWidth="1"/>
    <col min="1056" max="1056" width="13" style="514" customWidth="1"/>
    <col min="1057" max="1057" width="11.5703125" style="514"/>
    <col min="1058" max="1058" width="65.140625" style="514" customWidth="1"/>
    <col min="1059" max="1059" width="17.5703125" style="514" customWidth="1"/>
    <col min="1060" max="1060" width="13.5703125" style="514" customWidth="1"/>
    <col min="1061" max="1061" width="11.5703125" style="514"/>
    <col min="1062" max="1062" width="53.42578125" style="514" customWidth="1"/>
    <col min="1063" max="1063" width="16.7109375" style="514" customWidth="1"/>
    <col min="1064" max="1064" width="14.28515625" style="514" customWidth="1"/>
    <col min="1065" max="1065" width="11.5703125" style="514"/>
    <col min="1066" max="1066" width="82.85546875" style="514" customWidth="1"/>
    <col min="1067" max="1067" width="24.85546875" style="514" customWidth="1"/>
    <col min="1068" max="1068" width="13" style="514" customWidth="1"/>
    <col min="1069" max="1069" width="11.5703125" style="514"/>
    <col min="1070" max="1070" width="55.42578125" style="514" customWidth="1"/>
    <col min="1071" max="1071" width="29.140625" style="514" customWidth="1"/>
    <col min="1072" max="1280" width="11.5703125" style="514"/>
    <col min="1281" max="1281" width="16.85546875" style="514" customWidth="1"/>
    <col min="1282" max="1282" width="15.140625" style="514" customWidth="1"/>
    <col min="1283" max="1283" width="21.5703125" style="514" customWidth="1"/>
    <col min="1284" max="1284" width="16" style="514" customWidth="1"/>
    <col min="1285" max="1285" width="45" style="514" customWidth="1"/>
    <col min="1286" max="1286" width="11.42578125" style="514" customWidth="1"/>
    <col min="1287" max="1288" width="15" style="514" customWidth="1"/>
    <col min="1289" max="1303" width="11.42578125" style="514" customWidth="1"/>
    <col min="1304" max="1304" width="13" style="514" customWidth="1"/>
    <col min="1305" max="1305" width="26.28515625" style="514" customWidth="1"/>
    <col min="1306" max="1306" width="49" style="514" customWidth="1"/>
    <col min="1307" max="1307" width="24.28515625" style="514" customWidth="1"/>
    <col min="1308" max="1308" width="22.28515625" style="514" customWidth="1"/>
    <col min="1309" max="1309" width="14.85546875" style="514" customWidth="1"/>
    <col min="1310" max="1310" width="26.5703125" style="514" customWidth="1"/>
    <col min="1311" max="1311" width="64.28515625" style="514" customWidth="1"/>
    <col min="1312" max="1312" width="13" style="514" customWidth="1"/>
    <col min="1313" max="1313" width="11.5703125" style="514"/>
    <col min="1314" max="1314" width="65.140625" style="514" customWidth="1"/>
    <col min="1315" max="1315" width="17.5703125" style="514" customWidth="1"/>
    <col min="1316" max="1316" width="13.5703125" style="514" customWidth="1"/>
    <col min="1317" max="1317" width="11.5703125" style="514"/>
    <col min="1318" max="1318" width="53.42578125" style="514" customWidth="1"/>
    <col min="1319" max="1319" width="16.7109375" style="514" customWidth="1"/>
    <col min="1320" max="1320" width="14.28515625" style="514" customWidth="1"/>
    <col min="1321" max="1321" width="11.5703125" style="514"/>
    <col min="1322" max="1322" width="82.85546875" style="514" customWidth="1"/>
    <col min="1323" max="1323" width="24.85546875" style="514" customWidth="1"/>
    <col min="1324" max="1324" width="13" style="514" customWidth="1"/>
    <col min="1325" max="1325" width="11.5703125" style="514"/>
    <col min="1326" max="1326" width="55.42578125" style="514" customWidth="1"/>
    <col min="1327" max="1327" width="29.140625" style="514" customWidth="1"/>
    <col min="1328" max="1536" width="11.5703125" style="514"/>
    <col min="1537" max="1537" width="16.85546875" style="514" customWidth="1"/>
    <col min="1538" max="1538" width="15.140625" style="514" customWidth="1"/>
    <col min="1539" max="1539" width="21.5703125" style="514" customWidth="1"/>
    <col min="1540" max="1540" width="16" style="514" customWidth="1"/>
    <col min="1541" max="1541" width="45" style="514" customWidth="1"/>
    <col min="1542" max="1542" width="11.42578125" style="514" customWidth="1"/>
    <col min="1543" max="1544" width="15" style="514" customWidth="1"/>
    <col min="1545" max="1559" width="11.42578125" style="514" customWidth="1"/>
    <col min="1560" max="1560" width="13" style="514" customWidth="1"/>
    <col min="1561" max="1561" width="26.28515625" style="514" customWidth="1"/>
    <col min="1562" max="1562" width="49" style="514" customWidth="1"/>
    <col min="1563" max="1563" width="24.28515625" style="514" customWidth="1"/>
    <col min="1564" max="1564" width="22.28515625" style="514" customWidth="1"/>
    <col min="1565" max="1565" width="14.85546875" style="514" customWidth="1"/>
    <col min="1566" max="1566" width="26.5703125" style="514" customWidth="1"/>
    <col min="1567" max="1567" width="64.28515625" style="514" customWidth="1"/>
    <col min="1568" max="1568" width="13" style="514" customWidth="1"/>
    <col min="1569" max="1569" width="11.5703125" style="514"/>
    <col min="1570" max="1570" width="65.140625" style="514" customWidth="1"/>
    <col min="1571" max="1571" width="17.5703125" style="514" customWidth="1"/>
    <col min="1572" max="1572" width="13.5703125" style="514" customWidth="1"/>
    <col min="1573" max="1573" width="11.5703125" style="514"/>
    <col min="1574" max="1574" width="53.42578125" style="514" customWidth="1"/>
    <col min="1575" max="1575" width="16.7109375" style="514" customWidth="1"/>
    <col min="1576" max="1576" width="14.28515625" style="514" customWidth="1"/>
    <col min="1577" max="1577" width="11.5703125" style="514"/>
    <col min="1578" max="1578" width="82.85546875" style="514" customWidth="1"/>
    <col min="1579" max="1579" width="24.85546875" style="514" customWidth="1"/>
    <col min="1580" max="1580" width="13" style="514" customWidth="1"/>
    <col min="1581" max="1581" width="11.5703125" style="514"/>
    <col min="1582" max="1582" width="55.42578125" style="514" customWidth="1"/>
    <col min="1583" max="1583" width="29.140625" style="514" customWidth="1"/>
    <col min="1584" max="1792" width="11.5703125" style="514"/>
    <col min="1793" max="1793" width="16.85546875" style="514" customWidth="1"/>
    <col min="1794" max="1794" width="15.140625" style="514" customWidth="1"/>
    <col min="1795" max="1795" width="21.5703125" style="514" customWidth="1"/>
    <col min="1796" max="1796" width="16" style="514" customWidth="1"/>
    <col min="1797" max="1797" width="45" style="514" customWidth="1"/>
    <col min="1798" max="1798" width="11.42578125" style="514" customWidth="1"/>
    <col min="1799" max="1800" width="15" style="514" customWidth="1"/>
    <col min="1801" max="1815" width="11.42578125" style="514" customWidth="1"/>
    <col min="1816" max="1816" width="13" style="514" customWidth="1"/>
    <col min="1817" max="1817" width="26.28515625" style="514" customWidth="1"/>
    <col min="1818" max="1818" width="49" style="514" customWidth="1"/>
    <col min="1819" max="1819" width="24.28515625" style="514" customWidth="1"/>
    <col min="1820" max="1820" width="22.28515625" style="514" customWidth="1"/>
    <col min="1821" max="1821" width="14.85546875" style="514" customWidth="1"/>
    <col min="1822" max="1822" width="26.5703125" style="514" customWidth="1"/>
    <col min="1823" max="1823" width="64.28515625" style="514" customWidth="1"/>
    <col min="1824" max="1824" width="13" style="514" customWidth="1"/>
    <col min="1825" max="1825" width="11.5703125" style="514"/>
    <col min="1826" max="1826" width="65.140625" style="514" customWidth="1"/>
    <col min="1827" max="1827" width="17.5703125" style="514" customWidth="1"/>
    <col min="1828" max="1828" width="13.5703125" style="514" customWidth="1"/>
    <col min="1829" max="1829" width="11.5703125" style="514"/>
    <col min="1830" max="1830" width="53.42578125" style="514" customWidth="1"/>
    <col min="1831" max="1831" width="16.7109375" style="514" customWidth="1"/>
    <col min="1832" max="1832" width="14.28515625" style="514" customWidth="1"/>
    <col min="1833" max="1833" width="11.5703125" style="514"/>
    <col min="1834" max="1834" width="82.85546875" style="514" customWidth="1"/>
    <col min="1835" max="1835" width="24.85546875" style="514" customWidth="1"/>
    <col min="1836" max="1836" width="13" style="514" customWidth="1"/>
    <col min="1837" max="1837" width="11.5703125" style="514"/>
    <col min="1838" max="1838" width="55.42578125" style="514" customWidth="1"/>
    <col min="1839" max="1839" width="29.140625" style="514" customWidth="1"/>
    <col min="1840" max="2048" width="11.5703125" style="514"/>
    <col min="2049" max="2049" width="16.85546875" style="514" customWidth="1"/>
    <col min="2050" max="2050" width="15.140625" style="514" customWidth="1"/>
    <col min="2051" max="2051" width="21.5703125" style="514" customWidth="1"/>
    <col min="2052" max="2052" width="16" style="514" customWidth="1"/>
    <col min="2053" max="2053" width="45" style="514" customWidth="1"/>
    <col min="2054" max="2054" width="11.42578125" style="514" customWidth="1"/>
    <col min="2055" max="2056" width="15" style="514" customWidth="1"/>
    <col min="2057" max="2071" width="11.42578125" style="514" customWidth="1"/>
    <col min="2072" max="2072" width="13" style="514" customWidth="1"/>
    <col min="2073" max="2073" width="26.28515625" style="514" customWidth="1"/>
    <col min="2074" max="2074" width="49" style="514" customWidth="1"/>
    <col min="2075" max="2075" width="24.28515625" style="514" customWidth="1"/>
    <col min="2076" max="2076" width="22.28515625" style="514" customWidth="1"/>
    <col min="2077" max="2077" width="14.85546875" style="514" customWidth="1"/>
    <col min="2078" max="2078" width="26.5703125" style="514" customWidth="1"/>
    <col min="2079" max="2079" width="64.28515625" style="514" customWidth="1"/>
    <col min="2080" max="2080" width="13" style="514" customWidth="1"/>
    <col min="2081" max="2081" width="11.5703125" style="514"/>
    <col min="2082" max="2082" width="65.140625" style="514" customWidth="1"/>
    <col min="2083" max="2083" width="17.5703125" style="514" customWidth="1"/>
    <col min="2084" max="2084" width="13.5703125" style="514" customWidth="1"/>
    <col min="2085" max="2085" width="11.5703125" style="514"/>
    <col min="2086" max="2086" width="53.42578125" style="514" customWidth="1"/>
    <col min="2087" max="2087" width="16.7109375" style="514" customWidth="1"/>
    <col min="2088" max="2088" width="14.28515625" style="514" customWidth="1"/>
    <col min="2089" max="2089" width="11.5703125" style="514"/>
    <col min="2090" max="2090" width="82.85546875" style="514" customWidth="1"/>
    <col min="2091" max="2091" width="24.85546875" style="514" customWidth="1"/>
    <col min="2092" max="2092" width="13" style="514" customWidth="1"/>
    <col min="2093" max="2093" width="11.5703125" style="514"/>
    <col min="2094" max="2094" width="55.42578125" style="514" customWidth="1"/>
    <col min="2095" max="2095" width="29.140625" style="514" customWidth="1"/>
    <col min="2096" max="2304" width="11.5703125" style="514"/>
    <col min="2305" max="2305" width="16.85546875" style="514" customWidth="1"/>
    <col min="2306" max="2306" width="15.140625" style="514" customWidth="1"/>
    <col min="2307" max="2307" width="21.5703125" style="514" customWidth="1"/>
    <col min="2308" max="2308" width="16" style="514" customWidth="1"/>
    <col min="2309" max="2309" width="45" style="514" customWidth="1"/>
    <col min="2310" max="2310" width="11.42578125" style="514" customWidth="1"/>
    <col min="2311" max="2312" width="15" style="514" customWidth="1"/>
    <col min="2313" max="2327" width="11.42578125" style="514" customWidth="1"/>
    <col min="2328" max="2328" width="13" style="514" customWidth="1"/>
    <col min="2329" max="2329" width="26.28515625" style="514" customWidth="1"/>
    <col min="2330" max="2330" width="49" style="514" customWidth="1"/>
    <col min="2331" max="2331" width="24.28515625" style="514" customWidth="1"/>
    <col min="2332" max="2332" width="22.28515625" style="514" customWidth="1"/>
    <col min="2333" max="2333" width="14.85546875" style="514" customWidth="1"/>
    <col min="2334" max="2334" width="26.5703125" style="514" customWidth="1"/>
    <col min="2335" max="2335" width="64.28515625" style="514" customWidth="1"/>
    <col min="2336" max="2336" width="13" style="514" customWidth="1"/>
    <col min="2337" max="2337" width="11.5703125" style="514"/>
    <col min="2338" max="2338" width="65.140625" style="514" customWidth="1"/>
    <col min="2339" max="2339" width="17.5703125" style="514" customWidth="1"/>
    <col min="2340" max="2340" width="13.5703125" style="514" customWidth="1"/>
    <col min="2341" max="2341" width="11.5703125" style="514"/>
    <col min="2342" max="2342" width="53.42578125" style="514" customWidth="1"/>
    <col min="2343" max="2343" width="16.7109375" style="514" customWidth="1"/>
    <col min="2344" max="2344" width="14.28515625" style="514" customWidth="1"/>
    <col min="2345" max="2345" width="11.5703125" style="514"/>
    <col min="2346" max="2346" width="82.85546875" style="514" customWidth="1"/>
    <col min="2347" max="2347" width="24.85546875" style="514" customWidth="1"/>
    <col min="2348" max="2348" width="13" style="514" customWidth="1"/>
    <col min="2349" max="2349" width="11.5703125" style="514"/>
    <col min="2350" max="2350" width="55.42578125" style="514" customWidth="1"/>
    <col min="2351" max="2351" width="29.140625" style="514" customWidth="1"/>
    <col min="2352" max="2560" width="11.5703125" style="514"/>
    <col min="2561" max="2561" width="16.85546875" style="514" customWidth="1"/>
    <col min="2562" max="2562" width="15.140625" style="514" customWidth="1"/>
    <col min="2563" max="2563" width="21.5703125" style="514" customWidth="1"/>
    <col min="2564" max="2564" width="16" style="514" customWidth="1"/>
    <col min="2565" max="2565" width="45" style="514" customWidth="1"/>
    <col min="2566" max="2566" width="11.42578125" style="514" customWidth="1"/>
    <col min="2567" max="2568" width="15" style="514" customWidth="1"/>
    <col min="2569" max="2583" width="11.42578125" style="514" customWidth="1"/>
    <col min="2584" max="2584" width="13" style="514" customWidth="1"/>
    <col min="2585" max="2585" width="26.28515625" style="514" customWidth="1"/>
    <col min="2586" max="2586" width="49" style="514" customWidth="1"/>
    <col min="2587" max="2587" width="24.28515625" style="514" customWidth="1"/>
    <col min="2588" max="2588" width="22.28515625" style="514" customWidth="1"/>
    <col min="2589" max="2589" width="14.85546875" style="514" customWidth="1"/>
    <col min="2590" max="2590" width="26.5703125" style="514" customWidth="1"/>
    <col min="2591" max="2591" width="64.28515625" style="514" customWidth="1"/>
    <col min="2592" max="2592" width="13" style="514" customWidth="1"/>
    <col min="2593" max="2593" width="11.5703125" style="514"/>
    <col min="2594" max="2594" width="65.140625" style="514" customWidth="1"/>
    <col min="2595" max="2595" width="17.5703125" style="514" customWidth="1"/>
    <col min="2596" max="2596" width="13.5703125" style="514" customWidth="1"/>
    <col min="2597" max="2597" width="11.5703125" style="514"/>
    <col min="2598" max="2598" width="53.42578125" style="514" customWidth="1"/>
    <col min="2599" max="2599" width="16.7109375" style="514" customWidth="1"/>
    <col min="2600" max="2600" width="14.28515625" style="514" customWidth="1"/>
    <col min="2601" max="2601" width="11.5703125" style="514"/>
    <col min="2602" max="2602" width="82.85546875" style="514" customWidth="1"/>
    <col min="2603" max="2603" width="24.85546875" style="514" customWidth="1"/>
    <col min="2604" max="2604" width="13" style="514" customWidth="1"/>
    <col min="2605" max="2605" width="11.5703125" style="514"/>
    <col min="2606" max="2606" width="55.42578125" style="514" customWidth="1"/>
    <col min="2607" max="2607" width="29.140625" style="514" customWidth="1"/>
    <col min="2608" max="2816" width="11.5703125" style="514"/>
    <col min="2817" max="2817" width="16.85546875" style="514" customWidth="1"/>
    <col min="2818" max="2818" width="15.140625" style="514" customWidth="1"/>
    <col min="2819" max="2819" width="21.5703125" style="514" customWidth="1"/>
    <col min="2820" max="2820" width="16" style="514" customWidth="1"/>
    <col min="2821" max="2821" width="45" style="514" customWidth="1"/>
    <col min="2822" max="2822" width="11.42578125" style="514" customWidth="1"/>
    <col min="2823" max="2824" width="15" style="514" customWidth="1"/>
    <col min="2825" max="2839" width="11.42578125" style="514" customWidth="1"/>
    <col min="2840" max="2840" width="13" style="514" customWidth="1"/>
    <col min="2841" max="2841" width="26.28515625" style="514" customWidth="1"/>
    <col min="2842" max="2842" width="49" style="514" customWidth="1"/>
    <col min="2843" max="2843" width="24.28515625" style="514" customWidth="1"/>
    <col min="2844" max="2844" width="22.28515625" style="514" customWidth="1"/>
    <col min="2845" max="2845" width="14.85546875" style="514" customWidth="1"/>
    <col min="2846" max="2846" width="26.5703125" style="514" customWidth="1"/>
    <col min="2847" max="2847" width="64.28515625" style="514" customWidth="1"/>
    <col min="2848" max="2848" width="13" style="514" customWidth="1"/>
    <col min="2849" max="2849" width="11.5703125" style="514"/>
    <col min="2850" max="2850" width="65.140625" style="514" customWidth="1"/>
    <col min="2851" max="2851" width="17.5703125" style="514" customWidth="1"/>
    <col min="2852" max="2852" width="13.5703125" style="514" customWidth="1"/>
    <col min="2853" max="2853" width="11.5703125" style="514"/>
    <col min="2854" max="2854" width="53.42578125" style="514" customWidth="1"/>
    <col min="2855" max="2855" width="16.7109375" style="514" customWidth="1"/>
    <col min="2856" max="2856" width="14.28515625" style="514" customWidth="1"/>
    <col min="2857" max="2857" width="11.5703125" style="514"/>
    <col min="2858" max="2858" width="82.85546875" style="514" customWidth="1"/>
    <col min="2859" max="2859" width="24.85546875" style="514" customWidth="1"/>
    <col min="2860" max="2860" width="13" style="514" customWidth="1"/>
    <col min="2861" max="2861" width="11.5703125" style="514"/>
    <col min="2862" max="2862" width="55.42578125" style="514" customWidth="1"/>
    <col min="2863" max="2863" width="29.140625" style="514" customWidth="1"/>
    <col min="2864" max="3072" width="11.5703125" style="514"/>
    <col min="3073" max="3073" width="16.85546875" style="514" customWidth="1"/>
    <col min="3074" max="3074" width="15.140625" style="514" customWidth="1"/>
    <col min="3075" max="3075" width="21.5703125" style="514" customWidth="1"/>
    <col min="3076" max="3076" width="16" style="514" customWidth="1"/>
    <col min="3077" max="3077" width="45" style="514" customWidth="1"/>
    <col min="3078" max="3078" width="11.42578125" style="514" customWidth="1"/>
    <col min="3079" max="3080" width="15" style="514" customWidth="1"/>
    <col min="3081" max="3095" width="11.42578125" style="514" customWidth="1"/>
    <col min="3096" max="3096" width="13" style="514" customWidth="1"/>
    <col min="3097" max="3097" width="26.28515625" style="514" customWidth="1"/>
    <col min="3098" max="3098" width="49" style="514" customWidth="1"/>
    <col min="3099" max="3099" width="24.28515625" style="514" customWidth="1"/>
    <col min="3100" max="3100" width="22.28515625" style="514" customWidth="1"/>
    <col min="3101" max="3101" width="14.85546875" style="514" customWidth="1"/>
    <col min="3102" max="3102" width="26.5703125" style="514" customWidth="1"/>
    <col min="3103" max="3103" width="64.28515625" style="514" customWidth="1"/>
    <col min="3104" max="3104" width="13" style="514" customWidth="1"/>
    <col min="3105" max="3105" width="11.5703125" style="514"/>
    <col min="3106" max="3106" width="65.140625" style="514" customWidth="1"/>
    <col min="3107" max="3107" width="17.5703125" style="514" customWidth="1"/>
    <col min="3108" max="3108" width="13.5703125" style="514" customWidth="1"/>
    <col min="3109" max="3109" width="11.5703125" style="514"/>
    <col min="3110" max="3110" width="53.42578125" style="514" customWidth="1"/>
    <col min="3111" max="3111" width="16.7109375" style="514" customWidth="1"/>
    <col min="3112" max="3112" width="14.28515625" style="514" customWidth="1"/>
    <col min="3113" max="3113" width="11.5703125" style="514"/>
    <col min="3114" max="3114" width="82.85546875" style="514" customWidth="1"/>
    <col min="3115" max="3115" width="24.85546875" style="514" customWidth="1"/>
    <col min="3116" max="3116" width="13" style="514" customWidth="1"/>
    <col min="3117" max="3117" width="11.5703125" style="514"/>
    <col min="3118" max="3118" width="55.42578125" style="514" customWidth="1"/>
    <col min="3119" max="3119" width="29.140625" style="514" customWidth="1"/>
    <col min="3120" max="3328" width="11.5703125" style="514"/>
    <col min="3329" max="3329" width="16.85546875" style="514" customWidth="1"/>
    <col min="3330" max="3330" width="15.140625" style="514" customWidth="1"/>
    <col min="3331" max="3331" width="21.5703125" style="514" customWidth="1"/>
    <col min="3332" max="3332" width="16" style="514" customWidth="1"/>
    <col min="3333" max="3333" width="45" style="514" customWidth="1"/>
    <col min="3334" max="3334" width="11.42578125" style="514" customWidth="1"/>
    <col min="3335" max="3336" width="15" style="514" customWidth="1"/>
    <col min="3337" max="3351" width="11.42578125" style="514" customWidth="1"/>
    <col min="3352" max="3352" width="13" style="514" customWidth="1"/>
    <col min="3353" max="3353" width="26.28515625" style="514" customWidth="1"/>
    <col min="3354" max="3354" width="49" style="514" customWidth="1"/>
    <col min="3355" max="3355" width="24.28515625" style="514" customWidth="1"/>
    <col min="3356" max="3356" width="22.28515625" style="514" customWidth="1"/>
    <col min="3357" max="3357" width="14.85546875" style="514" customWidth="1"/>
    <col min="3358" max="3358" width="26.5703125" style="514" customWidth="1"/>
    <col min="3359" max="3359" width="64.28515625" style="514" customWidth="1"/>
    <col min="3360" max="3360" width="13" style="514" customWidth="1"/>
    <col min="3361" max="3361" width="11.5703125" style="514"/>
    <col min="3362" max="3362" width="65.140625" style="514" customWidth="1"/>
    <col min="3363" max="3363" width="17.5703125" style="514" customWidth="1"/>
    <col min="3364" max="3364" width="13.5703125" style="514" customWidth="1"/>
    <col min="3365" max="3365" width="11.5703125" style="514"/>
    <col min="3366" max="3366" width="53.42578125" style="514" customWidth="1"/>
    <col min="3367" max="3367" width="16.7109375" style="514" customWidth="1"/>
    <col min="3368" max="3368" width="14.28515625" style="514" customWidth="1"/>
    <col min="3369" max="3369" width="11.5703125" style="514"/>
    <col min="3370" max="3370" width="82.85546875" style="514" customWidth="1"/>
    <col min="3371" max="3371" width="24.85546875" style="514" customWidth="1"/>
    <col min="3372" max="3372" width="13" style="514" customWidth="1"/>
    <col min="3373" max="3373" width="11.5703125" style="514"/>
    <col min="3374" max="3374" width="55.42578125" style="514" customWidth="1"/>
    <col min="3375" max="3375" width="29.140625" style="514" customWidth="1"/>
    <col min="3376" max="3584" width="11.5703125" style="514"/>
    <col min="3585" max="3585" width="16.85546875" style="514" customWidth="1"/>
    <col min="3586" max="3586" width="15.140625" style="514" customWidth="1"/>
    <col min="3587" max="3587" width="21.5703125" style="514" customWidth="1"/>
    <col min="3588" max="3588" width="16" style="514" customWidth="1"/>
    <col min="3589" max="3589" width="45" style="514" customWidth="1"/>
    <col min="3590" max="3590" width="11.42578125" style="514" customWidth="1"/>
    <col min="3591" max="3592" width="15" style="514" customWidth="1"/>
    <col min="3593" max="3607" width="11.42578125" style="514" customWidth="1"/>
    <col min="3608" max="3608" width="13" style="514" customWidth="1"/>
    <col min="3609" max="3609" width="26.28515625" style="514" customWidth="1"/>
    <col min="3610" max="3610" width="49" style="514" customWidth="1"/>
    <col min="3611" max="3611" width="24.28515625" style="514" customWidth="1"/>
    <col min="3612" max="3612" width="22.28515625" style="514" customWidth="1"/>
    <col min="3613" max="3613" width="14.85546875" style="514" customWidth="1"/>
    <col min="3614" max="3614" width="26.5703125" style="514" customWidth="1"/>
    <col min="3615" max="3615" width="64.28515625" style="514" customWidth="1"/>
    <col min="3616" max="3616" width="13" style="514" customWidth="1"/>
    <col min="3617" max="3617" width="11.5703125" style="514"/>
    <col min="3618" max="3618" width="65.140625" style="514" customWidth="1"/>
    <col min="3619" max="3619" width="17.5703125" style="514" customWidth="1"/>
    <col min="3620" max="3620" width="13.5703125" style="514" customWidth="1"/>
    <col min="3621" max="3621" width="11.5703125" style="514"/>
    <col min="3622" max="3622" width="53.42578125" style="514" customWidth="1"/>
    <col min="3623" max="3623" width="16.7109375" style="514" customWidth="1"/>
    <col min="3624" max="3624" width="14.28515625" style="514" customWidth="1"/>
    <col min="3625" max="3625" width="11.5703125" style="514"/>
    <col min="3626" max="3626" width="82.85546875" style="514" customWidth="1"/>
    <col min="3627" max="3627" width="24.85546875" style="514" customWidth="1"/>
    <col min="3628" max="3628" width="13" style="514" customWidth="1"/>
    <col min="3629" max="3629" width="11.5703125" style="514"/>
    <col min="3630" max="3630" width="55.42578125" style="514" customWidth="1"/>
    <col min="3631" max="3631" width="29.140625" style="514" customWidth="1"/>
    <col min="3632" max="3840" width="11.5703125" style="514"/>
    <col min="3841" max="3841" width="16.85546875" style="514" customWidth="1"/>
    <col min="3842" max="3842" width="15.140625" style="514" customWidth="1"/>
    <col min="3843" max="3843" width="21.5703125" style="514" customWidth="1"/>
    <col min="3844" max="3844" width="16" style="514" customWidth="1"/>
    <col min="3845" max="3845" width="45" style="514" customWidth="1"/>
    <col min="3846" max="3846" width="11.42578125" style="514" customWidth="1"/>
    <col min="3847" max="3848" width="15" style="514" customWidth="1"/>
    <col min="3849" max="3863" width="11.42578125" style="514" customWidth="1"/>
    <col min="3864" max="3864" width="13" style="514" customWidth="1"/>
    <col min="3865" max="3865" width="26.28515625" style="514" customWidth="1"/>
    <col min="3866" max="3866" width="49" style="514" customWidth="1"/>
    <col min="3867" max="3867" width="24.28515625" style="514" customWidth="1"/>
    <col min="3868" max="3868" width="22.28515625" style="514" customWidth="1"/>
    <col min="3869" max="3869" width="14.85546875" style="514" customWidth="1"/>
    <col min="3870" max="3870" width="26.5703125" style="514" customWidth="1"/>
    <col min="3871" max="3871" width="64.28515625" style="514" customWidth="1"/>
    <col min="3872" max="3872" width="13" style="514" customWidth="1"/>
    <col min="3873" max="3873" width="11.5703125" style="514"/>
    <col min="3874" max="3874" width="65.140625" style="514" customWidth="1"/>
    <col min="3875" max="3875" width="17.5703125" style="514" customWidth="1"/>
    <col min="3876" max="3876" width="13.5703125" style="514" customWidth="1"/>
    <col min="3877" max="3877" width="11.5703125" style="514"/>
    <col min="3878" max="3878" width="53.42578125" style="514" customWidth="1"/>
    <col min="3879" max="3879" width="16.7109375" style="514" customWidth="1"/>
    <col min="3880" max="3880" width="14.28515625" style="514" customWidth="1"/>
    <col min="3881" max="3881" width="11.5703125" style="514"/>
    <col min="3882" max="3882" width="82.85546875" style="514" customWidth="1"/>
    <col min="3883" max="3883" width="24.85546875" style="514" customWidth="1"/>
    <col min="3884" max="3884" width="13" style="514" customWidth="1"/>
    <col min="3885" max="3885" width="11.5703125" style="514"/>
    <col min="3886" max="3886" width="55.42578125" style="514" customWidth="1"/>
    <col min="3887" max="3887" width="29.140625" style="514" customWidth="1"/>
    <col min="3888" max="4096" width="11.5703125" style="514"/>
    <col min="4097" max="4097" width="16.85546875" style="514" customWidth="1"/>
    <col min="4098" max="4098" width="15.140625" style="514" customWidth="1"/>
    <col min="4099" max="4099" width="21.5703125" style="514" customWidth="1"/>
    <col min="4100" max="4100" width="16" style="514" customWidth="1"/>
    <col min="4101" max="4101" width="45" style="514" customWidth="1"/>
    <col min="4102" max="4102" width="11.42578125" style="514" customWidth="1"/>
    <col min="4103" max="4104" width="15" style="514" customWidth="1"/>
    <col min="4105" max="4119" width="11.42578125" style="514" customWidth="1"/>
    <col min="4120" max="4120" width="13" style="514" customWidth="1"/>
    <col min="4121" max="4121" width="26.28515625" style="514" customWidth="1"/>
    <col min="4122" max="4122" width="49" style="514" customWidth="1"/>
    <col min="4123" max="4123" width="24.28515625" style="514" customWidth="1"/>
    <col min="4124" max="4124" width="22.28515625" style="514" customWidth="1"/>
    <col min="4125" max="4125" width="14.85546875" style="514" customWidth="1"/>
    <col min="4126" max="4126" width="26.5703125" style="514" customWidth="1"/>
    <col min="4127" max="4127" width="64.28515625" style="514" customWidth="1"/>
    <col min="4128" max="4128" width="13" style="514" customWidth="1"/>
    <col min="4129" max="4129" width="11.5703125" style="514"/>
    <col min="4130" max="4130" width="65.140625" style="514" customWidth="1"/>
    <col min="4131" max="4131" width="17.5703125" style="514" customWidth="1"/>
    <col min="4132" max="4132" width="13.5703125" style="514" customWidth="1"/>
    <col min="4133" max="4133" width="11.5703125" style="514"/>
    <col min="4134" max="4134" width="53.42578125" style="514" customWidth="1"/>
    <col min="4135" max="4135" width="16.7109375" style="514" customWidth="1"/>
    <col min="4136" max="4136" width="14.28515625" style="514" customWidth="1"/>
    <col min="4137" max="4137" width="11.5703125" style="514"/>
    <col min="4138" max="4138" width="82.85546875" style="514" customWidth="1"/>
    <col min="4139" max="4139" width="24.85546875" style="514" customWidth="1"/>
    <col min="4140" max="4140" width="13" style="514" customWidth="1"/>
    <col min="4141" max="4141" width="11.5703125" style="514"/>
    <col min="4142" max="4142" width="55.42578125" style="514" customWidth="1"/>
    <col min="4143" max="4143" width="29.140625" style="514" customWidth="1"/>
    <col min="4144" max="4352" width="11.5703125" style="514"/>
    <col min="4353" max="4353" width="16.85546875" style="514" customWidth="1"/>
    <col min="4354" max="4354" width="15.140625" style="514" customWidth="1"/>
    <col min="4355" max="4355" width="21.5703125" style="514" customWidth="1"/>
    <col min="4356" max="4356" width="16" style="514" customWidth="1"/>
    <col min="4357" max="4357" width="45" style="514" customWidth="1"/>
    <col min="4358" max="4358" width="11.42578125" style="514" customWidth="1"/>
    <col min="4359" max="4360" width="15" style="514" customWidth="1"/>
    <col min="4361" max="4375" width="11.42578125" style="514" customWidth="1"/>
    <col min="4376" max="4376" width="13" style="514" customWidth="1"/>
    <col min="4377" max="4377" width="26.28515625" style="514" customWidth="1"/>
    <col min="4378" max="4378" width="49" style="514" customWidth="1"/>
    <col min="4379" max="4379" width="24.28515625" style="514" customWidth="1"/>
    <col min="4380" max="4380" width="22.28515625" style="514" customWidth="1"/>
    <col min="4381" max="4381" width="14.85546875" style="514" customWidth="1"/>
    <col min="4382" max="4382" width="26.5703125" style="514" customWidth="1"/>
    <col min="4383" max="4383" width="64.28515625" style="514" customWidth="1"/>
    <col min="4384" max="4384" width="13" style="514" customWidth="1"/>
    <col min="4385" max="4385" width="11.5703125" style="514"/>
    <col min="4386" max="4386" width="65.140625" style="514" customWidth="1"/>
    <col min="4387" max="4387" width="17.5703125" style="514" customWidth="1"/>
    <col min="4388" max="4388" width="13.5703125" style="514" customWidth="1"/>
    <col min="4389" max="4389" width="11.5703125" style="514"/>
    <col min="4390" max="4390" width="53.42578125" style="514" customWidth="1"/>
    <col min="4391" max="4391" width="16.7109375" style="514" customWidth="1"/>
    <col min="4392" max="4392" width="14.28515625" style="514" customWidth="1"/>
    <col min="4393" max="4393" width="11.5703125" style="514"/>
    <col min="4394" max="4394" width="82.85546875" style="514" customWidth="1"/>
    <col min="4395" max="4395" width="24.85546875" style="514" customWidth="1"/>
    <col min="4396" max="4396" width="13" style="514" customWidth="1"/>
    <col min="4397" max="4397" width="11.5703125" style="514"/>
    <col min="4398" max="4398" width="55.42578125" style="514" customWidth="1"/>
    <col min="4399" max="4399" width="29.140625" style="514" customWidth="1"/>
    <col min="4400" max="4608" width="11.5703125" style="514"/>
    <col min="4609" max="4609" width="16.85546875" style="514" customWidth="1"/>
    <col min="4610" max="4610" width="15.140625" style="514" customWidth="1"/>
    <col min="4611" max="4611" width="21.5703125" style="514" customWidth="1"/>
    <col min="4612" max="4612" width="16" style="514" customWidth="1"/>
    <col min="4613" max="4613" width="45" style="514" customWidth="1"/>
    <col min="4614" max="4614" width="11.42578125" style="514" customWidth="1"/>
    <col min="4615" max="4616" width="15" style="514" customWidth="1"/>
    <col min="4617" max="4631" width="11.42578125" style="514" customWidth="1"/>
    <col min="4632" max="4632" width="13" style="514" customWidth="1"/>
    <col min="4633" max="4633" width="26.28515625" style="514" customWidth="1"/>
    <col min="4634" max="4634" width="49" style="514" customWidth="1"/>
    <col min="4635" max="4635" width="24.28515625" style="514" customWidth="1"/>
    <col min="4636" max="4636" width="22.28515625" style="514" customWidth="1"/>
    <col min="4637" max="4637" width="14.85546875" style="514" customWidth="1"/>
    <col min="4638" max="4638" width="26.5703125" style="514" customWidth="1"/>
    <col min="4639" max="4639" width="64.28515625" style="514" customWidth="1"/>
    <col min="4640" max="4640" width="13" style="514" customWidth="1"/>
    <col min="4641" max="4641" width="11.5703125" style="514"/>
    <col min="4642" max="4642" width="65.140625" style="514" customWidth="1"/>
    <col min="4643" max="4643" width="17.5703125" style="514" customWidth="1"/>
    <col min="4644" max="4644" width="13.5703125" style="514" customWidth="1"/>
    <col min="4645" max="4645" width="11.5703125" style="514"/>
    <col min="4646" max="4646" width="53.42578125" style="514" customWidth="1"/>
    <col min="4647" max="4647" width="16.7109375" style="514" customWidth="1"/>
    <col min="4648" max="4648" width="14.28515625" style="514" customWidth="1"/>
    <col min="4649" max="4649" width="11.5703125" style="514"/>
    <col min="4650" max="4650" width="82.85546875" style="514" customWidth="1"/>
    <col min="4651" max="4651" width="24.85546875" style="514" customWidth="1"/>
    <col min="4652" max="4652" width="13" style="514" customWidth="1"/>
    <col min="4653" max="4653" width="11.5703125" style="514"/>
    <col min="4654" max="4654" width="55.42578125" style="514" customWidth="1"/>
    <col min="4655" max="4655" width="29.140625" style="514" customWidth="1"/>
    <col min="4656" max="4864" width="11.5703125" style="514"/>
    <col min="4865" max="4865" width="16.85546875" style="514" customWidth="1"/>
    <col min="4866" max="4866" width="15.140625" style="514" customWidth="1"/>
    <col min="4867" max="4867" width="21.5703125" style="514" customWidth="1"/>
    <col min="4868" max="4868" width="16" style="514" customWidth="1"/>
    <col min="4869" max="4869" width="45" style="514" customWidth="1"/>
    <col min="4870" max="4870" width="11.42578125" style="514" customWidth="1"/>
    <col min="4871" max="4872" width="15" style="514" customWidth="1"/>
    <col min="4873" max="4887" width="11.42578125" style="514" customWidth="1"/>
    <col min="4888" max="4888" width="13" style="514" customWidth="1"/>
    <col min="4889" max="4889" width="26.28515625" style="514" customWidth="1"/>
    <col min="4890" max="4890" width="49" style="514" customWidth="1"/>
    <col min="4891" max="4891" width="24.28515625" style="514" customWidth="1"/>
    <col min="4892" max="4892" width="22.28515625" style="514" customWidth="1"/>
    <col min="4893" max="4893" width="14.85546875" style="514" customWidth="1"/>
    <col min="4894" max="4894" width="26.5703125" style="514" customWidth="1"/>
    <col min="4895" max="4895" width="64.28515625" style="514" customWidth="1"/>
    <col min="4896" max="4896" width="13" style="514" customWidth="1"/>
    <col min="4897" max="4897" width="11.5703125" style="514"/>
    <col min="4898" max="4898" width="65.140625" style="514" customWidth="1"/>
    <col min="4899" max="4899" width="17.5703125" style="514" customWidth="1"/>
    <col min="4900" max="4900" width="13.5703125" style="514" customWidth="1"/>
    <col min="4901" max="4901" width="11.5703125" style="514"/>
    <col min="4902" max="4902" width="53.42578125" style="514" customWidth="1"/>
    <col min="4903" max="4903" width="16.7109375" style="514" customWidth="1"/>
    <col min="4904" max="4904" width="14.28515625" style="514" customWidth="1"/>
    <col min="4905" max="4905" width="11.5703125" style="514"/>
    <col min="4906" max="4906" width="82.85546875" style="514" customWidth="1"/>
    <col min="4907" max="4907" width="24.85546875" style="514" customWidth="1"/>
    <col min="4908" max="4908" width="13" style="514" customWidth="1"/>
    <col min="4909" max="4909" width="11.5703125" style="514"/>
    <col min="4910" max="4910" width="55.42578125" style="514" customWidth="1"/>
    <col min="4911" max="4911" width="29.140625" style="514" customWidth="1"/>
    <col min="4912" max="5120" width="11.5703125" style="514"/>
    <col min="5121" max="5121" width="16.85546875" style="514" customWidth="1"/>
    <col min="5122" max="5122" width="15.140625" style="514" customWidth="1"/>
    <col min="5123" max="5123" width="21.5703125" style="514" customWidth="1"/>
    <col min="5124" max="5124" width="16" style="514" customWidth="1"/>
    <col min="5125" max="5125" width="45" style="514" customWidth="1"/>
    <col min="5126" max="5126" width="11.42578125" style="514" customWidth="1"/>
    <col min="5127" max="5128" width="15" style="514" customWidth="1"/>
    <col min="5129" max="5143" width="11.42578125" style="514" customWidth="1"/>
    <col min="5144" max="5144" width="13" style="514" customWidth="1"/>
    <col min="5145" max="5145" width="26.28515625" style="514" customWidth="1"/>
    <col min="5146" max="5146" width="49" style="514" customWidth="1"/>
    <col min="5147" max="5147" width="24.28515625" style="514" customWidth="1"/>
    <col min="5148" max="5148" width="22.28515625" style="514" customWidth="1"/>
    <col min="5149" max="5149" width="14.85546875" style="514" customWidth="1"/>
    <col min="5150" max="5150" width="26.5703125" style="514" customWidth="1"/>
    <col min="5151" max="5151" width="64.28515625" style="514" customWidth="1"/>
    <col min="5152" max="5152" width="13" style="514" customWidth="1"/>
    <col min="5153" max="5153" width="11.5703125" style="514"/>
    <col min="5154" max="5154" width="65.140625" style="514" customWidth="1"/>
    <col min="5155" max="5155" width="17.5703125" style="514" customWidth="1"/>
    <col min="5156" max="5156" width="13.5703125" style="514" customWidth="1"/>
    <col min="5157" max="5157" width="11.5703125" style="514"/>
    <col min="5158" max="5158" width="53.42578125" style="514" customWidth="1"/>
    <col min="5159" max="5159" width="16.7109375" style="514" customWidth="1"/>
    <col min="5160" max="5160" width="14.28515625" style="514" customWidth="1"/>
    <col min="5161" max="5161" width="11.5703125" style="514"/>
    <col min="5162" max="5162" width="82.85546875" style="514" customWidth="1"/>
    <col min="5163" max="5163" width="24.85546875" style="514" customWidth="1"/>
    <col min="5164" max="5164" width="13" style="514" customWidth="1"/>
    <col min="5165" max="5165" width="11.5703125" style="514"/>
    <col min="5166" max="5166" width="55.42578125" style="514" customWidth="1"/>
    <col min="5167" max="5167" width="29.140625" style="514" customWidth="1"/>
    <col min="5168" max="5376" width="11.5703125" style="514"/>
    <col min="5377" max="5377" width="16.85546875" style="514" customWidth="1"/>
    <col min="5378" max="5378" width="15.140625" style="514" customWidth="1"/>
    <col min="5379" max="5379" width="21.5703125" style="514" customWidth="1"/>
    <col min="5380" max="5380" width="16" style="514" customWidth="1"/>
    <col min="5381" max="5381" width="45" style="514" customWidth="1"/>
    <col min="5382" max="5382" width="11.42578125" style="514" customWidth="1"/>
    <col min="5383" max="5384" width="15" style="514" customWidth="1"/>
    <col min="5385" max="5399" width="11.42578125" style="514" customWidth="1"/>
    <col min="5400" max="5400" width="13" style="514" customWidth="1"/>
    <col min="5401" max="5401" width="26.28515625" style="514" customWidth="1"/>
    <col min="5402" max="5402" width="49" style="514" customWidth="1"/>
    <col min="5403" max="5403" width="24.28515625" style="514" customWidth="1"/>
    <col min="5404" max="5404" width="22.28515625" style="514" customWidth="1"/>
    <col min="5405" max="5405" width="14.85546875" style="514" customWidth="1"/>
    <col min="5406" max="5406" width="26.5703125" style="514" customWidth="1"/>
    <col min="5407" max="5407" width="64.28515625" style="514" customWidth="1"/>
    <col min="5408" max="5408" width="13" style="514" customWidth="1"/>
    <col min="5409" max="5409" width="11.5703125" style="514"/>
    <col min="5410" max="5410" width="65.140625" style="514" customWidth="1"/>
    <col min="5411" max="5411" width="17.5703125" style="514" customWidth="1"/>
    <col min="5412" max="5412" width="13.5703125" style="514" customWidth="1"/>
    <col min="5413" max="5413" width="11.5703125" style="514"/>
    <col min="5414" max="5414" width="53.42578125" style="514" customWidth="1"/>
    <col min="5415" max="5415" width="16.7109375" style="514" customWidth="1"/>
    <col min="5416" max="5416" width="14.28515625" style="514" customWidth="1"/>
    <col min="5417" max="5417" width="11.5703125" style="514"/>
    <col min="5418" max="5418" width="82.85546875" style="514" customWidth="1"/>
    <col min="5419" max="5419" width="24.85546875" style="514" customWidth="1"/>
    <col min="5420" max="5420" width="13" style="514" customWidth="1"/>
    <col min="5421" max="5421" width="11.5703125" style="514"/>
    <col min="5422" max="5422" width="55.42578125" style="514" customWidth="1"/>
    <col min="5423" max="5423" width="29.140625" style="514" customWidth="1"/>
    <col min="5424" max="5632" width="11.5703125" style="514"/>
    <col min="5633" max="5633" width="16.85546875" style="514" customWidth="1"/>
    <col min="5634" max="5634" width="15.140625" style="514" customWidth="1"/>
    <col min="5635" max="5635" width="21.5703125" style="514" customWidth="1"/>
    <col min="5636" max="5636" width="16" style="514" customWidth="1"/>
    <col min="5637" max="5637" width="45" style="514" customWidth="1"/>
    <col min="5638" max="5638" width="11.42578125" style="514" customWidth="1"/>
    <col min="5639" max="5640" width="15" style="514" customWidth="1"/>
    <col min="5641" max="5655" width="11.42578125" style="514" customWidth="1"/>
    <col min="5656" max="5656" width="13" style="514" customWidth="1"/>
    <col min="5657" max="5657" width="26.28515625" style="514" customWidth="1"/>
    <col min="5658" max="5658" width="49" style="514" customWidth="1"/>
    <col min="5659" max="5659" width="24.28515625" style="514" customWidth="1"/>
    <col min="5660" max="5660" width="22.28515625" style="514" customWidth="1"/>
    <col min="5661" max="5661" width="14.85546875" style="514" customWidth="1"/>
    <col min="5662" max="5662" width="26.5703125" style="514" customWidth="1"/>
    <col min="5663" max="5663" width="64.28515625" style="514" customWidth="1"/>
    <col min="5664" max="5664" width="13" style="514" customWidth="1"/>
    <col min="5665" max="5665" width="11.5703125" style="514"/>
    <col min="5666" max="5666" width="65.140625" style="514" customWidth="1"/>
    <col min="5667" max="5667" width="17.5703125" style="514" customWidth="1"/>
    <col min="5668" max="5668" width="13.5703125" style="514" customWidth="1"/>
    <col min="5669" max="5669" width="11.5703125" style="514"/>
    <col min="5670" max="5670" width="53.42578125" style="514" customWidth="1"/>
    <col min="5671" max="5671" width="16.7109375" style="514" customWidth="1"/>
    <col min="5672" max="5672" width="14.28515625" style="514" customWidth="1"/>
    <col min="5673" max="5673" width="11.5703125" style="514"/>
    <col min="5674" max="5674" width="82.85546875" style="514" customWidth="1"/>
    <col min="5675" max="5675" width="24.85546875" style="514" customWidth="1"/>
    <col min="5676" max="5676" width="13" style="514" customWidth="1"/>
    <col min="5677" max="5677" width="11.5703125" style="514"/>
    <col min="5678" max="5678" width="55.42578125" style="514" customWidth="1"/>
    <col min="5679" max="5679" width="29.140625" style="514" customWidth="1"/>
    <col min="5680" max="5888" width="11.5703125" style="514"/>
    <col min="5889" max="5889" width="16.85546875" style="514" customWidth="1"/>
    <col min="5890" max="5890" width="15.140625" style="514" customWidth="1"/>
    <col min="5891" max="5891" width="21.5703125" style="514" customWidth="1"/>
    <col min="5892" max="5892" width="16" style="514" customWidth="1"/>
    <col min="5893" max="5893" width="45" style="514" customWidth="1"/>
    <col min="5894" max="5894" width="11.42578125" style="514" customWidth="1"/>
    <col min="5895" max="5896" width="15" style="514" customWidth="1"/>
    <col min="5897" max="5911" width="11.42578125" style="514" customWidth="1"/>
    <col min="5912" max="5912" width="13" style="514" customWidth="1"/>
    <col min="5913" max="5913" width="26.28515625" style="514" customWidth="1"/>
    <col min="5914" max="5914" width="49" style="514" customWidth="1"/>
    <col min="5915" max="5915" width="24.28515625" style="514" customWidth="1"/>
    <col min="5916" max="5916" width="22.28515625" style="514" customWidth="1"/>
    <col min="5917" max="5917" width="14.85546875" style="514" customWidth="1"/>
    <col min="5918" max="5918" width="26.5703125" style="514" customWidth="1"/>
    <col min="5919" max="5919" width="64.28515625" style="514" customWidth="1"/>
    <col min="5920" max="5920" width="13" style="514" customWidth="1"/>
    <col min="5921" max="5921" width="11.5703125" style="514"/>
    <col min="5922" max="5922" width="65.140625" style="514" customWidth="1"/>
    <col min="5923" max="5923" width="17.5703125" style="514" customWidth="1"/>
    <col min="5924" max="5924" width="13.5703125" style="514" customWidth="1"/>
    <col min="5925" max="5925" width="11.5703125" style="514"/>
    <col min="5926" max="5926" width="53.42578125" style="514" customWidth="1"/>
    <col min="5927" max="5927" width="16.7109375" style="514" customWidth="1"/>
    <col min="5928" max="5928" width="14.28515625" style="514" customWidth="1"/>
    <col min="5929" max="5929" width="11.5703125" style="514"/>
    <col min="5930" max="5930" width="82.85546875" style="514" customWidth="1"/>
    <col min="5931" max="5931" width="24.85546875" style="514" customWidth="1"/>
    <col min="5932" max="5932" width="13" style="514" customWidth="1"/>
    <col min="5933" max="5933" width="11.5703125" style="514"/>
    <col min="5934" max="5934" width="55.42578125" style="514" customWidth="1"/>
    <col min="5935" max="5935" width="29.140625" style="514" customWidth="1"/>
    <col min="5936" max="6144" width="11.5703125" style="514"/>
    <col min="6145" max="6145" width="16.85546875" style="514" customWidth="1"/>
    <col min="6146" max="6146" width="15.140625" style="514" customWidth="1"/>
    <col min="6147" max="6147" width="21.5703125" style="514" customWidth="1"/>
    <col min="6148" max="6148" width="16" style="514" customWidth="1"/>
    <col min="6149" max="6149" width="45" style="514" customWidth="1"/>
    <col min="6150" max="6150" width="11.42578125" style="514" customWidth="1"/>
    <col min="6151" max="6152" width="15" style="514" customWidth="1"/>
    <col min="6153" max="6167" width="11.42578125" style="514" customWidth="1"/>
    <col min="6168" max="6168" width="13" style="514" customWidth="1"/>
    <col min="6169" max="6169" width="26.28515625" style="514" customWidth="1"/>
    <col min="6170" max="6170" width="49" style="514" customWidth="1"/>
    <col min="6171" max="6171" width="24.28515625" style="514" customWidth="1"/>
    <col min="6172" max="6172" width="22.28515625" style="514" customWidth="1"/>
    <col min="6173" max="6173" width="14.85546875" style="514" customWidth="1"/>
    <col min="6174" max="6174" width="26.5703125" style="514" customWidth="1"/>
    <col min="6175" max="6175" width="64.28515625" style="514" customWidth="1"/>
    <col min="6176" max="6176" width="13" style="514" customWidth="1"/>
    <col min="6177" max="6177" width="11.5703125" style="514"/>
    <col min="6178" max="6178" width="65.140625" style="514" customWidth="1"/>
    <col min="6179" max="6179" width="17.5703125" style="514" customWidth="1"/>
    <col min="6180" max="6180" width="13.5703125" style="514" customWidth="1"/>
    <col min="6181" max="6181" width="11.5703125" style="514"/>
    <col min="6182" max="6182" width="53.42578125" style="514" customWidth="1"/>
    <col min="6183" max="6183" width="16.7109375" style="514" customWidth="1"/>
    <col min="6184" max="6184" width="14.28515625" style="514" customWidth="1"/>
    <col min="6185" max="6185" width="11.5703125" style="514"/>
    <col min="6186" max="6186" width="82.85546875" style="514" customWidth="1"/>
    <col min="6187" max="6187" width="24.85546875" style="514" customWidth="1"/>
    <col min="6188" max="6188" width="13" style="514" customWidth="1"/>
    <col min="6189" max="6189" width="11.5703125" style="514"/>
    <col min="6190" max="6190" width="55.42578125" style="514" customWidth="1"/>
    <col min="6191" max="6191" width="29.140625" style="514" customWidth="1"/>
    <col min="6192" max="6400" width="11.5703125" style="514"/>
    <col min="6401" max="6401" width="16.85546875" style="514" customWidth="1"/>
    <col min="6402" max="6402" width="15.140625" style="514" customWidth="1"/>
    <col min="6403" max="6403" width="21.5703125" style="514" customWidth="1"/>
    <col min="6404" max="6404" width="16" style="514" customWidth="1"/>
    <col min="6405" max="6405" width="45" style="514" customWidth="1"/>
    <col min="6406" max="6406" width="11.42578125" style="514" customWidth="1"/>
    <col min="6407" max="6408" width="15" style="514" customWidth="1"/>
    <col min="6409" max="6423" width="11.42578125" style="514" customWidth="1"/>
    <col min="6424" max="6424" width="13" style="514" customWidth="1"/>
    <col min="6425" max="6425" width="26.28515625" style="514" customWidth="1"/>
    <col min="6426" max="6426" width="49" style="514" customWidth="1"/>
    <col min="6427" max="6427" width="24.28515625" style="514" customWidth="1"/>
    <col min="6428" max="6428" width="22.28515625" style="514" customWidth="1"/>
    <col min="6429" max="6429" width="14.85546875" style="514" customWidth="1"/>
    <col min="6430" max="6430" width="26.5703125" style="514" customWidth="1"/>
    <col min="6431" max="6431" width="64.28515625" style="514" customWidth="1"/>
    <col min="6432" max="6432" width="13" style="514" customWidth="1"/>
    <col min="6433" max="6433" width="11.5703125" style="514"/>
    <col min="6434" max="6434" width="65.140625" style="514" customWidth="1"/>
    <col min="6435" max="6435" width="17.5703125" style="514" customWidth="1"/>
    <col min="6436" max="6436" width="13.5703125" style="514" customWidth="1"/>
    <col min="6437" max="6437" width="11.5703125" style="514"/>
    <col min="6438" max="6438" width="53.42578125" style="514" customWidth="1"/>
    <col min="6439" max="6439" width="16.7109375" style="514" customWidth="1"/>
    <col min="6440" max="6440" width="14.28515625" style="514" customWidth="1"/>
    <col min="6441" max="6441" width="11.5703125" style="514"/>
    <col min="6442" max="6442" width="82.85546875" style="514" customWidth="1"/>
    <col min="6443" max="6443" width="24.85546875" style="514" customWidth="1"/>
    <col min="6444" max="6444" width="13" style="514" customWidth="1"/>
    <col min="6445" max="6445" width="11.5703125" style="514"/>
    <col min="6446" max="6446" width="55.42578125" style="514" customWidth="1"/>
    <col min="6447" max="6447" width="29.140625" style="514" customWidth="1"/>
    <col min="6448" max="6656" width="11.5703125" style="514"/>
    <col min="6657" max="6657" width="16.85546875" style="514" customWidth="1"/>
    <col min="6658" max="6658" width="15.140625" style="514" customWidth="1"/>
    <col min="6659" max="6659" width="21.5703125" style="514" customWidth="1"/>
    <col min="6660" max="6660" width="16" style="514" customWidth="1"/>
    <col min="6661" max="6661" width="45" style="514" customWidth="1"/>
    <col min="6662" max="6662" width="11.42578125" style="514" customWidth="1"/>
    <col min="6663" max="6664" width="15" style="514" customWidth="1"/>
    <col min="6665" max="6679" width="11.42578125" style="514" customWidth="1"/>
    <col min="6680" max="6680" width="13" style="514" customWidth="1"/>
    <col min="6681" max="6681" width="26.28515625" style="514" customWidth="1"/>
    <col min="6682" max="6682" width="49" style="514" customWidth="1"/>
    <col min="6683" max="6683" width="24.28515625" style="514" customWidth="1"/>
    <col min="6684" max="6684" width="22.28515625" style="514" customWidth="1"/>
    <col min="6685" max="6685" width="14.85546875" style="514" customWidth="1"/>
    <col min="6686" max="6686" width="26.5703125" style="514" customWidth="1"/>
    <col min="6687" max="6687" width="64.28515625" style="514" customWidth="1"/>
    <col min="6688" max="6688" width="13" style="514" customWidth="1"/>
    <col min="6689" max="6689" width="11.5703125" style="514"/>
    <col min="6690" max="6690" width="65.140625" style="514" customWidth="1"/>
    <col min="6691" max="6691" width="17.5703125" style="514" customWidth="1"/>
    <col min="6692" max="6692" width="13.5703125" style="514" customWidth="1"/>
    <col min="6693" max="6693" width="11.5703125" style="514"/>
    <col min="6694" max="6694" width="53.42578125" style="514" customWidth="1"/>
    <col min="6695" max="6695" width="16.7109375" style="514" customWidth="1"/>
    <col min="6696" max="6696" width="14.28515625" style="514" customWidth="1"/>
    <col min="6697" max="6697" width="11.5703125" style="514"/>
    <col min="6698" max="6698" width="82.85546875" style="514" customWidth="1"/>
    <col min="6699" max="6699" width="24.85546875" style="514" customWidth="1"/>
    <col min="6700" max="6700" width="13" style="514" customWidth="1"/>
    <col min="6701" max="6701" width="11.5703125" style="514"/>
    <col min="6702" max="6702" width="55.42578125" style="514" customWidth="1"/>
    <col min="6703" max="6703" width="29.140625" style="514" customWidth="1"/>
    <col min="6704" max="6912" width="11.5703125" style="514"/>
    <col min="6913" max="6913" width="16.85546875" style="514" customWidth="1"/>
    <col min="6914" max="6914" width="15.140625" style="514" customWidth="1"/>
    <col min="6915" max="6915" width="21.5703125" style="514" customWidth="1"/>
    <col min="6916" max="6916" width="16" style="514" customWidth="1"/>
    <col min="6917" max="6917" width="45" style="514" customWidth="1"/>
    <col min="6918" max="6918" width="11.42578125" style="514" customWidth="1"/>
    <col min="6919" max="6920" width="15" style="514" customWidth="1"/>
    <col min="6921" max="6935" width="11.42578125" style="514" customWidth="1"/>
    <col min="6936" max="6936" width="13" style="514" customWidth="1"/>
    <col min="6937" max="6937" width="26.28515625" style="514" customWidth="1"/>
    <col min="6938" max="6938" width="49" style="514" customWidth="1"/>
    <col min="6939" max="6939" width="24.28515625" style="514" customWidth="1"/>
    <col min="6940" max="6940" width="22.28515625" style="514" customWidth="1"/>
    <col min="6941" max="6941" width="14.85546875" style="514" customWidth="1"/>
    <col min="6942" max="6942" width="26.5703125" style="514" customWidth="1"/>
    <col min="6943" max="6943" width="64.28515625" style="514" customWidth="1"/>
    <col min="6944" max="6944" width="13" style="514" customWidth="1"/>
    <col min="6945" max="6945" width="11.5703125" style="514"/>
    <col min="6946" max="6946" width="65.140625" style="514" customWidth="1"/>
    <col min="6947" max="6947" width="17.5703125" style="514" customWidth="1"/>
    <col min="6948" max="6948" width="13.5703125" style="514" customWidth="1"/>
    <col min="6949" max="6949" width="11.5703125" style="514"/>
    <col min="6950" max="6950" width="53.42578125" style="514" customWidth="1"/>
    <col min="6951" max="6951" width="16.7109375" style="514" customWidth="1"/>
    <col min="6952" max="6952" width="14.28515625" style="514" customWidth="1"/>
    <col min="6953" max="6953" width="11.5703125" style="514"/>
    <col min="6954" max="6954" width="82.85546875" style="514" customWidth="1"/>
    <col min="6955" max="6955" width="24.85546875" style="514" customWidth="1"/>
    <col min="6956" max="6956" width="13" style="514" customWidth="1"/>
    <col min="6957" max="6957" width="11.5703125" style="514"/>
    <col min="6958" max="6958" width="55.42578125" style="514" customWidth="1"/>
    <col min="6959" max="6959" width="29.140625" style="514" customWidth="1"/>
    <col min="6960" max="7168" width="11.5703125" style="514"/>
    <col min="7169" max="7169" width="16.85546875" style="514" customWidth="1"/>
    <col min="7170" max="7170" width="15.140625" style="514" customWidth="1"/>
    <col min="7171" max="7171" width="21.5703125" style="514" customWidth="1"/>
    <col min="7172" max="7172" width="16" style="514" customWidth="1"/>
    <col min="7173" max="7173" width="45" style="514" customWidth="1"/>
    <col min="7174" max="7174" width="11.42578125" style="514" customWidth="1"/>
    <col min="7175" max="7176" width="15" style="514" customWidth="1"/>
    <col min="7177" max="7191" width="11.42578125" style="514" customWidth="1"/>
    <col min="7192" max="7192" width="13" style="514" customWidth="1"/>
    <col min="7193" max="7193" width="26.28515625" style="514" customWidth="1"/>
    <col min="7194" max="7194" width="49" style="514" customWidth="1"/>
    <col min="7195" max="7195" width="24.28515625" style="514" customWidth="1"/>
    <col min="7196" max="7196" width="22.28515625" style="514" customWidth="1"/>
    <col min="7197" max="7197" width="14.85546875" style="514" customWidth="1"/>
    <col min="7198" max="7198" width="26.5703125" style="514" customWidth="1"/>
    <col min="7199" max="7199" width="64.28515625" style="514" customWidth="1"/>
    <col min="7200" max="7200" width="13" style="514" customWidth="1"/>
    <col min="7201" max="7201" width="11.5703125" style="514"/>
    <col min="7202" max="7202" width="65.140625" style="514" customWidth="1"/>
    <col min="7203" max="7203" width="17.5703125" style="514" customWidth="1"/>
    <col min="7204" max="7204" width="13.5703125" style="514" customWidth="1"/>
    <col min="7205" max="7205" width="11.5703125" style="514"/>
    <col min="7206" max="7206" width="53.42578125" style="514" customWidth="1"/>
    <col min="7207" max="7207" width="16.7109375" style="514" customWidth="1"/>
    <col min="7208" max="7208" width="14.28515625" style="514" customWidth="1"/>
    <col min="7209" max="7209" width="11.5703125" style="514"/>
    <col min="7210" max="7210" width="82.85546875" style="514" customWidth="1"/>
    <col min="7211" max="7211" width="24.85546875" style="514" customWidth="1"/>
    <col min="7212" max="7212" width="13" style="514" customWidth="1"/>
    <col min="7213" max="7213" width="11.5703125" style="514"/>
    <col min="7214" max="7214" width="55.42578125" style="514" customWidth="1"/>
    <col min="7215" max="7215" width="29.140625" style="514" customWidth="1"/>
    <col min="7216" max="7424" width="11.5703125" style="514"/>
    <col min="7425" max="7425" width="16.85546875" style="514" customWidth="1"/>
    <col min="7426" max="7426" width="15.140625" style="514" customWidth="1"/>
    <col min="7427" max="7427" width="21.5703125" style="514" customWidth="1"/>
    <col min="7428" max="7428" width="16" style="514" customWidth="1"/>
    <col min="7429" max="7429" width="45" style="514" customWidth="1"/>
    <col min="7430" max="7430" width="11.42578125" style="514" customWidth="1"/>
    <col min="7431" max="7432" width="15" style="514" customWidth="1"/>
    <col min="7433" max="7447" width="11.42578125" style="514" customWidth="1"/>
    <col min="7448" max="7448" width="13" style="514" customWidth="1"/>
    <col min="7449" max="7449" width="26.28515625" style="514" customWidth="1"/>
    <col min="7450" max="7450" width="49" style="514" customWidth="1"/>
    <col min="7451" max="7451" width="24.28515625" style="514" customWidth="1"/>
    <col min="7452" max="7452" width="22.28515625" style="514" customWidth="1"/>
    <col min="7453" max="7453" width="14.85546875" style="514" customWidth="1"/>
    <col min="7454" max="7454" width="26.5703125" style="514" customWidth="1"/>
    <col min="7455" max="7455" width="64.28515625" style="514" customWidth="1"/>
    <col min="7456" max="7456" width="13" style="514" customWidth="1"/>
    <col min="7457" max="7457" width="11.5703125" style="514"/>
    <col min="7458" max="7458" width="65.140625" style="514" customWidth="1"/>
    <col min="7459" max="7459" width="17.5703125" style="514" customWidth="1"/>
    <col min="7460" max="7460" width="13.5703125" style="514" customWidth="1"/>
    <col min="7461" max="7461" width="11.5703125" style="514"/>
    <col min="7462" max="7462" width="53.42578125" style="514" customWidth="1"/>
    <col min="7463" max="7463" width="16.7109375" style="514" customWidth="1"/>
    <col min="7464" max="7464" width="14.28515625" style="514" customWidth="1"/>
    <col min="7465" max="7465" width="11.5703125" style="514"/>
    <col min="7466" max="7466" width="82.85546875" style="514" customWidth="1"/>
    <col min="7467" max="7467" width="24.85546875" style="514" customWidth="1"/>
    <col min="7468" max="7468" width="13" style="514" customWidth="1"/>
    <col min="7469" max="7469" width="11.5703125" style="514"/>
    <col min="7470" max="7470" width="55.42578125" style="514" customWidth="1"/>
    <col min="7471" max="7471" width="29.140625" style="514" customWidth="1"/>
    <col min="7472" max="7680" width="11.5703125" style="514"/>
    <col min="7681" max="7681" width="16.85546875" style="514" customWidth="1"/>
    <col min="7682" max="7682" width="15.140625" style="514" customWidth="1"/>
    <col min="7683" max="7683" width="21.5703125" style="514" customWidth="1"/>
    <col min="7684" max="7684" width="16" style="514" customWidth="1"/>
    <col min="7685" max="7685" width="45" style="514" customWidth="1"/>
    <col min="7686" max="7686" width="11.42578125" style="514" customWidth="1"/>
    <col min="7687" max="7688" width="15" style="514" customWidth="1"/>
    <col min="7689" max="7703" width="11.42578125" style="514" customWidth="1"/>
    <col min="7704" max="7704" width="13" style="514" customWidth="1"/>
    <col min="7705" max="7705" width="26.28515625" style="514" customWidth="1"/>
    <col min="7706" max="7706" width="49" style="514" customWidth="1"/>
    <col min="7707" max="7707" width="24.28515625" style="514" customWidth="1"/>
    <col min="7708" max="7708" width="22.28515625" style="514" customWidth="1"/>
    <col min="7709" max="7709" width="14.85546875" style="514" customWidth="1"/>
    <col min="7710" max="7710" width="26.5703125" style="514" customWidth="1"/>
    <col min="7711" max="7711" width="64.28515625" style="514" customWidth="1"/>
    <col min="7712" max="7712" width="13" style="514" customWidth="1"/>
    <col min="7713" max="7713" width="11.5703125" style="514"/>
    <col min="7714" max="7714" width="65.140625" style="514" customWidth="1"/>
    <col min="7715" max="7715" width="17.5703125" style="514" customWidth="1"/>
    <col min="7716" max="7716" width="13.5703125" style="514" customWidth="1"/>
    <col min="7717" max="7717" width="11.5703125" style="514"/>
    <col min="7718" max="7718" width="53.42578125" style="514" customWidth="1"/>
    <col min="7719" max="7719" width="16.7109375" style="514" customWidth="1"/>
    <col min="7720" max="7720" width="14.28515625" style="514" customWidth="1"/>
    <col min="7721" max="7721" width="11.5703125" style="514"/>
    <col min="7722" max="7722" width="82.85546875" style="514" customWidth="1"/>
    <col min="7723" max="7723" width="24.85546875" style="514" customWidth="1"/>
    <col min="7724" max="7724" width="13" style="514" customWidth="1"/>
    <col min="7725" max="7725" width="11.5703125" style="514"/>
    <col min="7726" max="7726" width="55.42578125" style="514" customWidth="1"/>
    <col min="7727" max="7727" width="29.140625" style="514" customWidth="1"/>
    <col min="7728" max="7936" width="11.5703125" style="514"/>
    <col min="7937" max="7937" width="16.85546875" style="514" customWidth="1"/>
    <col min="7938" max="7938" width="15.140625" style="514" customWidth="1"/>
    <col min="7939" max="7939" width="21.5703125" style="514" customWidth="1"/>
    <col min="7940" max="7940" width="16" style="514" customWidth="1"/>
    <col min="7941" max="7941" width="45" style="514" customWidth="1"/>
    <col min="7942" max="7942" width="11.42578125" style="514" customWidth="1"/>
    <col min="7943" max="7944" width="15" style="514" customWidth="1"/>
    <col min="7945" max="7959" width="11.42578125" style="514" customWidth="1"/>
    <col min="7960" max="7960" width="13" style="514" customWidth="1"/>
    <col min="7961" max="7961" width="26.28515625" style="514" customWidth="1"/>
    <col min="7962" max="7962" width="49" style="514" customWidth="1"/>
    <col min="7963" max="7963" width="24.28515625" style="514" customWidth="1"/>
    <col min="7964" max="7964" width="22.28515625" style="514" customWidth="1"/>
    <col min="7965" max="7965" width="14.85546875" style="514" customWidth="1"/>
    <col min="7966" max="7966" width="26.5703125" style="514" customWidth="1"/>
    <col min="7967" max="7967" width="64.28515625" style="514" customWidth="1"/>
    <col min="7968" max="7968" width="13" style="514" customWidth="1"/>
    <col min="7969" max="7969" width="11.5703125" style="514"/>
    <col min="7970" max="7970" width="65.140625" style="514" customWidth="1"/>
    <col min="7971" max="7971" width="17.5703125" style="514" customWidth="1"/>
    <col min="7972" max="7972" width="13.5703125" style="514" customWidth="1"/>
    <col min="7973" max="7973" width="11.5703125" style="514"/>
    <col min="7974" max="7974" width="53.42578125" style="514" customWidth="1"/>
    <col min="7975" max="7975" width="16.7109375" style="514" customWidth="1"/>
    <col min="7976" max="7976" width="14.28515625" style="514" customWidth="1"/>
    <col min="7977" max="7977" width="11.5703125" style="514"/>
    <col min="7978" max="7978" width="82.85546875" style="514" customWidth="1"/>
    <col min="7979" max="7979" width="24.85546875" style="514" customWidth="1"/>
    <col min="7980" max="7980" width="13" style="514" customWidth="1"/>
    <col min="7981" max="7981" width="11.5703125" style="514"/>
    <col min="7982" max="7982" width="55.42578125" style="514" customWidth="1"/>
    <col min="7983" max="7983" width="29.140625" style="514" customWidth="1"/>
    <col min="7984" max="8192" width="11.5703125" style="514"/>
    <col min="8193" max="8193" width="16.85546875" style="514" customWidth="1"/>
    <col min="8194" max="8194" width="15.140625" style="514" customWidth="1"/>
    <col min="8195" max="8195" width="21.5703125" style="514" customWidth="1"/>
    <col min="8196" max="8196" width="16" style="514" customWidth="1"/>
    <col min="8197" max="8197" width="45" style="514" customWidth="1"/>
    <col min="8198" max="8198" width="11.42578125" style="514" customWidth="1"/>
    <col min="8199" max="8200" width="15" style="514" customWidth="1"/>
    <col min="8201" max="8215" width="11.42578125" style="514" customWidth="1"/>
    <col min="8216" max="8216" width="13" style="514" customWidth="1"/>
    <col min="8217" max="8217" width="26.28515625" style="514" customWidth="1"/>
    <col min="8218" max="8218" width="49" style="514" customWidth="1"/>
    <col min="8219" max="8219" width="24.28515625" style="514" customWidth="1"/>
    <col min="8220" max="8220" width="22.28515625" style="514" customWidth="1"/>
    <col min="8221" max="8221" width="14.85546875" style="514" customWidth="1"/>
    <col min="8222" max="8222" width="26.5703125" style="514" customWidth="1"/>
    <col min="8223" max="8223" width="64.28515625" style="514" customWidth="1"/>
    <col min="8224" max="8224" width="13" style="514" customWidth="1"/>
    <col min="8225" max="8225" width="11.5703125" style="514"/>
    <col min="8226" max="8226" width="65.140625" style="514" customWidth="1"/>
    <col min="8227" max="8227" width="17.5703125" style="514" customWidth="1"/>
    <col min="8228" max="8228" width="13.5703125" style="514" customWidth="1"/>
    <col min="8229" max="8229" width="11.5703125" style="514"/>
    <col min="8230" max="8230" width="53.42578125" style="514" customWidth="1"/>
    <col min="8231" max="8231" width="16.7109375" style="514" customWidth="1"/>
    <col min="8232" max="8232" width="14.28515625" style="514" customWidth="1"/>
    <col min="8233" max="8233" width="11.5703125" style="514"/>
    <col min="8234" max="8234" width="82.85546875" style="514" customWidth="1"/>
    <col min="8235" max="8235" width="24.85546875" style="514" customWidth="1"/>
    <col min="8236" max="8236" width="13" style="514" customWidth="1"/>
    <col min="8237" max="8237" width="11.5703125" style="514"/>
    <col min="8238" max="8238" width="55.42578125" style="514" customWidth="1"/>
    <col min="8239" max="8239" width="29.140625" style="514" customWidth="1"/>
    <col min="8240" max="8448" width="11.5703125" style="514"/>
    <col min="8449" max="8449" width="16.85546875" style="514" customWidth="1"/>
    <col min="8450" max="8450" width="15.140625" style="514" customWidth="1"/>
    <col min="8451" max="8451" width="21.5703125" style="514" customWidth="1"/>
    <col min="8452" max="8452" width="16" style="514" customWidth="1"/>
    <col min="8453" max="8453" width="45" style="514" customWidth="1"/>
    <col min="8454" max="8454" width="11.42578125" style="514" customWidth="1"/>
    <col min="8455" max="8456" width="15" style="514" customWidth="1"/>
    <col min="8457" max="8471" width="11.42578125" style="514" customWidth="1"/>
    <col min="8472" max="8472" width="13" style="514" customWidth="1"/>
    <col min="8473" max="8473" width="26.28515625" style="514" customWidth="1"/>
    <col min="8474" max="8474" width="49" style="514" customWidth="1"/>
    <col min="8475" max="8475" width="24.28515625" style="514" customWidth="1"/>
    <col min="8476" max="8476" width="22.28515625" style="514" customWidth="1"/>
    <col min="8477" max="8477" width="14.85546875" style="514" customWidth="1"/>
    <col min="8478" max="8478" width="26.5703125" style="514" customWidth="1"/>
    <col min="8479" max="8479" width="64.28515625" style="514" customWidth="1"/>
    <col min="8480" max="8480" width="13" style="514" customWidth="1"/>
    <col min="8481" max="8481" width="11.5703125" style="514"/>
    <col min="8482" max="8482" width="65.140625" style="514" customWidth="1"/>
    <col min="8483" max="8483" width="17.5703125" style="514" customWidth="1"/>
    <col min="8484" max="8484" width="13.5703125" style="514" customWidth="1"/>
    <col min="8485" max="8485" width="11.5703125" style="514"/>
    <col min="8486" max="8486" width="53.42578125" style="514" customWidth="1"/>
    <col min="8487" max="8487" width="16.7109375" style="514" customWidth="1"/>
    <col min="8488" max="8488" width="14.28515625" style="514" customWidth="1"/>
    <col min="8489" max="8489" width="11.5703125" style="514"/>
    <col min="8490" max="8490" width="82.85546875" style="514" customWidth="1"/>
    <col min="8491" max="8491" width="24.85546875" style="514" customWidth="1"/>
    <col min="8492" max="8492" width="13" style="514" customWidth="1"/>
    <col min="8493" max="8493" width="11.5703125" style="514"/>
    <col min="8494" max="8494" width="55.42578125" style="514" customWidth="1"/>
    <col min="8495" max="8495" width="29.140625" style="514" customWidth="1"/>
    <col min="8496" max="8704" width="11.5703125" style="514"/>
    <col min="8705" max="8705" width="16.85546875" style="514" customWidth="1"/>
    <col min="8706" max="8706" width="15.140625" style="514" customWidth="1"/>
    <col min="8707" max="8707" width="21.5703125" style="514" customWidth="1"/>
    <col min="8708" max="8708" width="16" style="514" customWidth="1"/>
    <col min="8709" max="8709" width="45" style="514" customWidth="1"/>
    <col min="8710" max="8710" width="11.42578125" style="514" customWidth="1"/>
    <col min="8711" max="8712" width="15" style="514" customWidth="1"/>
    <col min="8713" max="8727" width="11.42578125" style="514" customWidth="1"/>
    <col min="8728" max="8728" width="13" style="514" customWidth="1"/>
    <col min="8729" max="8729" width="26.28515625" style="514" customWidth="1"/>
    <col min="8730" max="8730" width="49" style="514" customWidth="1"/>
    <col min="8731" max="8731" width="24.28515625" style="514" customWidth="1"/>
    <col min="8732" max="8732" width="22.28515625" style="514" customWidth="1"/>
    <col min="8733" max="8733" width="14.85546875" style="514" customWidth="1"/>
    <col min="8734" max="8734" width="26.5703125" style="514" customWidth="1"/>
    <col min="8735" max="8735" width="64.28515625" style="514" customWidth="1"/>
    <col min="8736" max="8736" width="13" style="514" customWidth="1"/>
    <col min="8737" max="8737" width="11.5703125" style="514"/>
    <col min="8738" max="8738" width="65.140625" style="514" customWidth="1"/>
    <col min="8739" max="8739" width="17.5703125" style="514" customWidth="1"/>
    <col min="8740" max="8740" width="13.5703125" style="514" customWidth="1"/>
    <col min="8741" max="8741" width="11.5703125" style="514"/>
    <col min="8742" max="8742" width="53.42578125" style="514" customWidth="1"/>
    <col min="8743" max="8743" width="16.7109375" style="514" customWidth="1"/>
    <col min="8744" max="8744" width="14.28515625" style="514" customWidth="1"/>
    <col min="8745" max="8745" width="11.5703125" style="514"/>
    <col min="8746" max="8746" width="82.85546875" style="514" customWidth="1"/>
    <col min="8747" max="8747" width="24.85546875" style="514" customWidth="1"/>
    <col min="8748" max="8748" width="13" style="514" customWidth="1"/>
    <col min="8749" max="8749" width="11.5703125" style="514"/>
    <col min="8750" max="8750" width="55.42578125" style="514" customWidth="1"/>
    <col min="8751" max="8751" width="29.140625" style="514" customWidth="1"/>
    <col min="8752" max="8960" width="11.5703125" style="514"/>
    <col min="8961" max="8961" width="16.85546875" style="514" customWidth="1"/>
    <col min="8962" max="8962" width="15.140625" style="514" customWidth="1"/>
    <col min="8963" max="8963" width="21.5703125" style="514" customWidth="1"/>
    <col min="8964" max="8964" width="16" style="514" customWidth="1"/>
    <col min="8965" max="8965" width="45" style="514" customWidth="1"/>
    <col min="8966" max="8966" width="11.42578125" style="514" customWidth="1"/>
    <col min="8967" max="8968" width="15" style="514" customWidth="1"/>
    <col min="8969" max="8983" width="11.42578125" style="514" customWidth="1"/>
    <col min="8984" max="8984" width="13" style="514" customWidth="1"/>
    <col min="8985" max="8985" width="26.28515625" style="514" customWidth="1"/>
    <col min="8986" max="8986" width="49" style="514" customWidth="1"/>
    <col min="8987" max="8987" width="24.28515625" style="514" customWidth="1"/>
    <col min="8988" max="8988" width="22.28515625" style="514" customWidth="1"/>
    <col min="8989" max="8989" width="14.85546875" style="514" customWidth="1"/>
    <col min="8990" max="8990" width="26.5703125" style="514" customWidth="1"/>
    <col min="8991" max="8991" width="64.28515625" style="514" customWidth="1"/>
    <col min="8992" max="8992" width="13" style="514" customWidth="1"/>
    <col min="8993" max="8993" width="11.5703125" style="514"/>
    <col min="8994" max="8994" width="65.140625" style="514" customWidth="1"/>
    <col min="8995" max="8995" width="17.5703125" style="514" customWidth="1"/>
    <col min="8996" max="8996" width="13.5703125" style="514" customWidth="1"/>
    <col min="8997" max="8997" width="11.5703125" style="514"/>
    <col min="8998" max="8998" width="53.42578125" style="514" customWidth="1"/>
    <col min="8999" max="8999" width="16.7109375" style="514" customWidth="1"/>
    <col min="9000" max="9000" width="14.28515625" style="514" customWidth="1"/>
    <col min="9001" max="9001" width="11.5703125" style="514"/>
    <col min="9002" max="9002" width="82.85546875" style="514" customWidth="1"/>
    <col min="9003" max="9003" width="24.85546875" style="514" customWidth="1"/>
    <col min="9004" max="9004" width="13" style="514" customWidth="1"/>
    <col min="9005" max="9005" width="11.5703125" style="514"/>
    <col min="9006" max="9006" width="55.42578125" style="514" customWidth="1"/>
    <col min="9007" max="9007" width="29.140625" style="514" customWidth="1"/>
    <col min="9008" max="9216" width="11.5703125" style="514"/>
    <col min="9217" max="9217" width="16.85546875" style="514" customWidth="1"/>
    <col min="9218" max="9218" width="15.140625" style="514" customWidth="1"/>
    <col min="9219" max="9219" width="21.5703125" style="514" customWidth="1"/>
    <col min="9220" max="9220" width="16" style="514" customWidth="1"/>
    <col min="9221" max="9221" width="45" style="514" customWidth="1"/>
    <col min="9222" max="9222" width="11.42578125" style="514" customWidth="1"/>
    <col min="9223" max="9224" width="15" style="514" customWidth="1"/>
    <col min="9225" max="9239" width="11.42578125" style="514" customWidth="1"/>
    <col min="9240" max="9240" width="13" style="514" customWidth="1"/>
    <col min="9241" max="9241" width="26.28515625" style="514" customWidth="1"/>
    <col min="9242" max="9242" width="49" style="514" customWidth="1"/>
    <col min="9243" max="9243" width="24.28515625" style="514" customWidth="1"/>
    <col min="9244" max="9244" width="22.28515625" style="514" customWidth="1"/>
    <col min="9245" max="9245" width="14.85546875" style="514" customWidth="1"/>
    <col min="9246" max="9246" width="26.5703125" style="514" customWidth="1"/>
    <col min="9247" max="9247" width="64.28515625" style="514" customWidth="1"/>
    <col min="9248" max="9248" width="13" style="514" customWidth="1"/>
    <col min="9249" max="9249" width="11.5703125" style="514"/>
    <col min="9250" max="9250" width="65.140625" style="514" customWidth="1"/>
    <col min="9251" max="9251" width="17.5703125" style="514" customWidth="1"/>
    <col min="9252" max="9252" width="13.5703125" style="514" customWidth="1"/>
    <col min="9253" max="9253" width="11.5703125" style="514"/>
    <col min="9254" max="9254" width="53.42578125" style="514" customWidth="1"/>
    <col min="9255" max="9255" width="16.7109375" style="514" customWidth="1"/>
    <col min="9256" max="9256" width="14.28515625" style="514" customWidth="1"/>
    <col min="9257" max="9257" width="11.5703125" style="514"/>
    <col min="9258" max="9258" width="82.85546875" style="514" customWidth="1"/>
    <col min="9259" max="9259" width="24.85546875" style="514" customWidth="1"/>
    <col min="9260" max="9260" width="13" style="514" customWidth="1"/>
    <col min="9261" max="9261" width="11.5703125" style="514"/>
    <col min="9262" max="9262" width="55.42578125" style="514" customWidth="1"/>
    <col min="9263" max="9263" width="29.140625" style="514" customWidth="1"/>
    <col min="9264" max="9472" width="11.5703125" style="514"/>
    <col min="9473" max="9473" width="16.85546875" style="514" customWidth="1"/>
    <col min="9474" max="9474" width="15.140625" style="514" customWidth="1"/>
    <col min="9475" max="9475" width="21.5703125" style="514" customWidth="1"/>
    <col min="9476" max="9476" width="16" style="514" customWidth="1"/>
    <col min="9477" max="9477" width="45" style="514" customWidth="1"/>
    <col min="9478" max="9478" width="11.42578125" style="514" customWidth="1"/>
    <col min="9479" max="9480" width="15" style="514" customWidth="1"/>
    <col min="9481" max="9495" width="11.42578125" style="514" customWidth="1"/>
    <col min="9496" max="9496" width="13" style="514" customWidth="1"/>
    <col min="9497" max="9497" width="26.28515625" style="514" customWidth="1"/>
    <col min="9498" max="9498" width="49" style="514" customWidth="1"/>
    <col min="9499" max="9499" width="24.28515625" style="514" customWidth="1"/>
    <col min="9500" max="9500" width="22.28515625" style="514" customWidth="1"/>
    <col min="9501" max="9501" width="14.85546875" style="514" customWidth="1"/>
    <col min="9502" max="9502" width="26.5703125" style="514" customWidth="1"/>
    <col min="9503" max="9503" width="64.28515625" style="514" customWidth="1"/>
    <col min="9504" max="9504" width="13" style="514" customWidth="1"/>
    <col min="9505" max="9505" width="11.5703125" style="514"/>
    <col min="9506" max="9506" width="65.140625" style="514" customWidth="1"/>
    <col min="9507" max="9507" width="17.5703125" style="514" customWidth="1"/>
    <col min="9508" max="9508" width="13.5703125" style="514" customWidth="1"/>
    <col min="9509" max="9509" width="11.5703125" style="514"/>
    <col min="9510" max="9510" width="53.42578125" style="514" customWidth="1"/>
    <col min="9511" max="9511" width="16.7109375" style="514" customWidth="1"/>
    <col min="9512" max="9512" width="14.28515625" style="514" customWidth="1"/>
    <col min="9513" max="9513" width="11.5703125" style="514"/>
    <col min="9514" max="9514" width="82.85546875" style="514" customWidth="1"/>
    <col min="9515" max="9515" width="24.85546875" style="514" customWidth="1"/>
    <col min="9516" max="9516" width="13" style="514" customWidth="1"/>
    <col min="9517" max="9517" width="11.5703125" style="514"/>
    <col min="9518" max="9518" width="55.42578125" style="514" customWidth="1"/>
    <col min="9519" max="9519" width="29.140625" style="514" customWidth="1"/>
    <col min="9520" max="9728" width="11.5703125" style="514"/>
    <col min="9729" max="9729" width="16.85546875" style="514" customWidth="1"/>
    <col min="9730" max="9730" width="15.140625" style="514" customWidth="1"/>
    <col min="9731" max="9731" width="21.5703125" style="514" customWidth="1"/>
    <col min="9732" max="9732" width="16" style="514" customWidth="1"/>
    <col min="9733" max="9733" width="45" style="514" customWidth="1"/>
    <col min="9734" max="9734" width="11.42578125" style="514" customWidth="1"/>
    <col min="9735" max="9736" width="15" style="514" customWidth="1"/>
    <col min="9737" max="9751" width="11.42578125" style="514" customWidth="1"/>
    <col min="9752" max="9752" width="13" style="514" customWidth="1"/>
    <col min="9753" max="9753" width="26.28515625" style="514" customWidth="1"/>
    <col min="9754" max="9754" width="49" style="514" customWidth="1"/>
    <col min="9755" max="9755" width="24.28515625" style="514" customWidth="1"/>
    <col min="9756" max="9756" width="22.28515625" style="514" customWidth="1"/>
    <col min="9757" max="9757" width="14.85546875" style="514" customWidth="1"/>
    <col min="9758" max="9758" width="26.5703125" style="514" customWidth="1"/>
    <col min="9759" max="9759" width="64.28515625" style="514" customWidth="1"/>
    <col min="9760" max="9760" width="13" style="514" customWidth="1"/>
    <col min="9761" max="9761" width="11.5703125" style="514"/>
    <col min="9762" max="9762" width="65.140625" style="514" customWidth="1"/>
    <col min="9763" max="9763" width="17.5703125" style="514" customWidth="1"/>
    <col min="9764" max="9764" width="13.5703125" style="514" customWidth="1"/>
    <col min="9765" max="9765" width="11.5703125" style="514"/>
    <col min="9766" max="9766" width="53.42578125" style="514" customWidth="1"/>
    <col min="9767" max="9767" width="16.7109375" style="514" customWidth="1"/>
    <col min="9768" max="9768" width="14.28515625" style="514" customWidth="1"/>
    <col min="9769" max="9769" width="11.5703125" style="514"/>
    <col min="9770" max="9770" width="82.85546875" style="514" customWidth="1"/>
    <col min="9771" max="9771" width="24.85546875" style="514" customWidth="1"/>
    <col min="9772" max="9772" width="13" style="514" customWidth="1"/>
    <col min="9773" max="9773" width="11.5703125" style="514"/>
    <col min="9774" max="9774" width="55.42578125" style="514" customWidth="1"/>
    <col min="9775" max="9775" width="29.140625" style="514" customWidth="1"/>
    <col min="9776" max="9984" width="11.5703125" style="514"/>
    <col min="9985" max="9985" width="16.85546875" style="514" customWidth="1"/>
    <col min="9986" max="9986" width="15.140625" style="514" customWidth="1"/>
    <col min="9987" max="9987" width="21.5703125" style="514" customWidth="1"/>
    <col min="9988" max="9988" width="16" style="514" customWidth="1"/>
    <col min="9989" max="9989" width="45" style="514" customWidth="1"/>
    <col min="9990" max="9990" width="11.42578125" style="514" customWidth="1"/>
    <col min="9991" max="9992" width="15" style="514" customWidth="1"/>
    <col min="9993" max="10007" width="11.42578125" style="514" customWidth="1"/>
    <col min="10008" max="10008" width="13" style="514" customWidth="1"/>
    <col min="10009" max="10009" width="26.28515625" style="514" customWidth="1"/>
    <col min="10010" max="10010" width="49" style="514" customWidth="1"/>
    <col min="10011" max="10011" width="24.28515625" style="514" customWidth="1"/>
    <col min="10012" max="10012" width="22.28515625" style="514" customWidth="1"/>
    <col min="10013" max="10013" width="14.85546875" style="514" customWidth="1"/>
    <col min="10014" max="10014" width="26.5703125" style="514" customWidth="1"/>
    <col min="10015" max="10015" width="64.28515625" style="514" customWidth="1"/>
    <col min="10016" max="10016" width="13" style="514" customWidth="1"/>
    <col min="10017" max="10017" width="11.5703125" style="514"/>
    <col min="10018" max="10018" width="65.140625" style="514" customWidth="1"/>
    <col min="10019" max="10019" width="17.5703125" style="514" customWidth="1"/>
    <col min="10020" max="10020" width="13.5703125" style="514" customWidth="1"/>
    <col min="10021" max="10021" width="11.5703125" style="514"/>
    <col min="10022" max="10022" width="53.42578125" style="514" customWidth="1"/>
    <col min="10023" max="10023" width="16.7109375" style="514" customWidth="1"/>
    <col min="10024" max="10024" width="14.28515625" style="514" customWidth="1"/>
    <col min="10025" max="10025" width="11.5703125" style="514"/>
    <col min="10026" max="10026" width="82.85546875" style="514" customWidth="1"/>
    <col min="10027" max="10027" width="24.85546875" style="514" customWidth="1"/>
    <col min="10028" max="10028" width="13" style="514" customWidth="1"/>
    <col min="10029" max="10029" width="11.5703125" style="514"/>
    <col min="10030" max="10030" width="55.42578125" style="514" customWidth="1"/>
    <col min="10031" max="10031" width="29.140625" style="514" customWidth="1"/>
    <col min="10032" max="10240" width="11.5703125" style="514"/>
    <col min="10241" max="10241" width="16.85546875" style="514" customWidth="1"/>
    <col min="10242" max="10242" width="15.140625" style="514" customWidth="1"/>
    <col min="10243" max="10243" width="21.5703125" style="514" customWidth="1"/>
    <col min="10244" max="10244" width="16" style="514" customWidth="1"/>
    <col min="10245" max="10245" width="45" style="514" customWidth="1"/>
    <col min="10246" max="10246" width="11.42578125" style="514" customWidth="1"/>
    <col min="10247" max="10248" width="15" style="514" customWidth="1"/>
    <col min="10249" max="10263" width="11.42578125" style="514" customWidth="1"/>
    <col min="10264" max="10264" width="13" style="514" customWidth="1"/>
    <col min="10265" max="10265" width="26.28515625" style="514" customWidth="1"/>
    <col min="10266" max="10266" width="49" style="514" customWidth="1"/>
    <col min="10267" max="10267" width="24.28515625" style="514" customWidth="1"/>
    <col min="10268" max="10268" width="22.28515625" style="514" customWidth="1"/>
    <col min="10269" max="10269" width="14.85546875" style="514" customWidth="1"/>
    <col min="10270" max="10270" width="26.5703125" style="514" customWidth="1"/>
    <col min="10271" max="10271" width="64.28515625" style="514" customWidth="1"/>
    <col min="10272" max="10272" width="13" style="514" customWidth="1"/>
    <col min="10273" max="10273" width="11.5703125" style="514"/>
    <col min="10274" max="10274" width="65.140625" style="514" customWidth="1"/>
    <col min="10275" max="10275" width="17.5703125" style="514" customWidth="1"/>
    <col min="10276" max="10276" width="13.5703125" style="514" customWidth="1"/>
    <col min="10277" max="10277" width="11.5703125" style="514"/>
    <col min="10278" max="10278" width="53.42578125" style="514" customWidth="1"/>
    <col min="10279" max="10279" width="16.7109375" style="514" customWidth="1"/>
    <col min="10280" max="10280" width="14.28515625" style="514" customWidth="1"/>
    <col min="10281" max="10281" width="11.5703125" style="514"/>
    <col min="10282" max="10282" width="82.85546875" style="514" customWidth="1"/>
    <col min="10283" max="10283" width="24.85546875" style="514" customWidth="1"/>
    <col min="10284" max="10284" width="13" style="514" customWidth="1"/>
    <col min="10285" max="10285" width="11.5703125" style="514"/>
    <col min="10286" max="10286" width="55.42578125" style="514" customWidth="1"/>
    <col min="10287" max="10287" width="29.140625" style="514" customWidth="1"/>
    <col min="10288" max="10496" width="11.5703125" style="514"/>
    <col min="10497" max="10497" width="16.85546875" style="514" customWidth="1"/>
    <col min="10498" max="10498" width="15.140625" style="514" customWidth="1"/>
    <col min="10499" max="10499" width="21.5703125" style="514" customWidth="1"/>
    <col min="10500" max="10500" width="16" style="514" customWidth="1"/>
    <col min="10501" max="10501" width="45" style="514" customWidth="1"/>
    <col min="10502" max="10502" width="11.42578125" style="514" customWidth="1"/>
    <col min="10503" max="10504" width="15" style="514" customWidth="1"/>
    <col min="10505" max="10519" width="11.42578125" style="514" customWidth="1"/>
    <col min="10520" max="10520" width="13" style="514" customWidth="1"/>
    <col min="10521" max="10521" width="26.28515625" style="514" customWidth="1"/>
    <col min="10522" max="10522" width="49" style="514" customWidth="1"/>
    <col min="10523" max="10523" width="24.28515625" style="514" customWidth="1"/>
    <col min="10524" max="10524" width="22.28515625" style="514" customWidth="1"/>
    <col min="10525" max="10525" width="14.85546875" style="514" customWidth="1"/>
    <col min="10526" max="10526" width="26.5703125" style="514" customWidth="1"/>
    <col min="10527" max="10527" width="64.28515625" style="514" customWidth="1"/>
    <col min="10528" max="10528" width="13" style="514" customWidth="1"/>
    <col min="10529" max="10529" width="11.5703125" style="514"/>
    <col min="10530" max="10530" width="65.140625" style="514" customWidth="1"/>
    <col min="10531" max="10531" width="17.5703125" style="514" customWidth="1"/>
    <col min="10532" max="10532" width="13.5703125" style="514" customWidth="1"/>
    <col min="10533" max="10533" width="11.5703125" style="514"/>
    <col min="10534" max="10534" width="53.42578125" style="514" customWidth="1"/>
    <col min="10535" max="10535" width="16.7109375" style="514" customWidth="1"/>
    <col min="10536" max="10536" width="14.28515625" style="514" customWidth="1"/>
    <col min="10537" max="10537" width="11.5703125" style="514"/>
    <col min="10538" max="10538" width="82.85546875" style="514" customWidth="1"/>
    <col min="10539" max="10539" width="24.85546875" style="514" customWidth="1"/>
    <col min="10540" max="10540" width="13" style="514" customWidth="1"/>
    <col min="10541" max="10541" width="11.5703125" style="514"/>
    <col min="10542" max="10542" width="55.42578125" style="514" customWidth="1"/>
    <col min="10543" max="10543" width="29.140625" style="514" customWidth="1"/>
    <col min="10544" max="10752" width="11.5703125" style="514"/>
    <col min="10753" max="10753" width="16.85546875" style="514" customWidth="1"/>
    <col min="10754" max="10754" width="15.140625" style="514" customWidth="1"/>
    <col min="10755" max="10755" width="21.5703125" style="514" customWidth="1"/>
    <col min="10756" max="10756" width="16" style="514" customWidth="1"/>
    <col min="10757" max="10757" width="45" style="514" customWidth="1"/>
    <col min="10758" max="10758" width="11.42578125" style="514" customWidth="1"/>
    <col min="10759" max="10760" width="15" style="514" customWidth="1"/>
    <col min="10761" max="10775" width="11.42578125" style="514" customWidth="1"/>
    <col min="10776" max="10776" width="13" style="514" customWidth="1"/>
    <col min="10777" max="10777" width="26.28515625" style="514" customWidth="1"/>
    <col min="10778" max="10778" width="49" style="514" customWidth="1"/>
    <col min="10779" max="10779" width="24.28515625" style="514" customWidth="1"/>
    <col min="10780" max="10780" width="22.28515625" style="514" customWidth="1"/>
    <col min="10781" max="10781" width="14.85546875" style="514" customWidth="1"/>
    <col min="10782" max="10782" width="26.5703125" style="514" customWidth="1"/>
    <col min="10783" max="10783" width="64.28515625" style="514" customWidth="1"/>
    <col min="10784" max="10784" width="13" style="514" customWidth="1"/>
    <col min="10785" max="10785" width="11.5703125" style="514"/>
    <col min="10786" max="10786" width="65.140625" style="514" customWidth="1"/>
    <col min="10787" max="10787" width="17.5703125" style="514" customWidth="1"/>
    <col min="10788" max="10788" width="13.5703125" style="514" customWidth="1"/>
    <col min="10789" max="10789" width="11.5703125" style="514"/>
    <col min="10790" max="10790" width="53.42578125" style="514" customWidth="1"/>
    <col min="10791" max="10791" width="16.7109375" style="514" customWidth="1"/>
    <col min="10792" max="10792" width="14.28515625" style="514" customWidth="1"/>
    <col min="10793" max="10793" width="11.5703125" style="514"/>
    <col min="10794" max="10794" width="82.85546875" style="514" customWidth="1"/>
    <col min="10795" max="10795" width="24.85546875" style="514" customWidth="1"/>
    <col min="10796" max="10796" width="13" style="514" customWidth="1"/>
    <col min="10797" max="10797" width="11.5703125" style="514"/>
    <col min="10798" max="10798" width="55.42578125" style="514" customWidth="1"/>
    <col min="10799" max="10799" width="29.140625" style="514" customWidth="1"/>
    <col min="10800" max="11008" width="11.5703125" style="514"/>
    <col min="11009" max="11009" width="16.85546875" style="514" customWidth="1"/>
    <col min="11010" max="11010" width="15.140625" style="514" customWidth="1"/>
    <col min="11011" max="11011" width="21.5703125" style="514" customWidth="1"/>
    <col min="11012" max="11012" width="16" style="514" customWidth="1"/>
    <col min="11013" max="11013" width="45" style="514" customWidth="1"/>
    <col min="11014" max="11014" width="11.42578125" style="514" customWidth="1"/>
    <col min="11015" max="11016" width="15" style="514" customWidth="1"/>
    <col min="11017" max="11031" width="11.42578125" style="514" customWidth="1"/>
    <col min="11032" max="11032" width="13" style="514" customWidth="1"/>
    <col min="11033" max="11033" width="26.28515625" style="514" customWidth="1"/>
    <col min="11034" max="11034" width="49" style="514" customWidth="1"/>
    <col min="11035" max="11035" width="24.28515625" style="514" customWidth="1"/>
    <col min="11036" max="11036" width="22.28515625" style="514" customWidth="1"/>
    <col min="11037" max="11037" width="14.85546875" style="514" customWidth="1"/>
    <col min="11038" max="11038" width="26.5703125" style="514" customWidth="1"/>
    <col min="11039" max="11039" width="64.28515625" style="514" customWidth="1"/>
    <col min="11040" max="11040" width="13" style="514" customWidth="1"/>
    <col min="11041" max="11041" width="11.5703125" style="514"/>
    <col min="11042" max="11042" width="65.140625" style="514" customWidth="1"/>
    <col min="11043" max="11043" width="17.5703125" style="514" customWidth="1"/>
    <col min="11044" max="11044" width="13.5703125" style="514" customWidth="1"/>
    <col min="11045" max="11045" width="11.5703125" style="514"/>
    <col min="11046" max="11046" width="53.42578125" style="514" customWidth="1"/>
    <col min="11047" max="11047" width="16.7109375" style="514" customWidth="1"/>
    <col min="11048" max="11048" width="14.28515625" style="514" customWidth="1"/>
    <col min="11049" max="11049" width="11.5703125" style="514"/>
    <col min="11050" max="11050" width="82.85546875" style="514" customWidth="1"/>
    <col min="11051" max="11051" width="24.85546875" style="514" customWidth="1"/>
    <col min="11052" max="11052" width="13" style="514" customWidth="1"/>
    <col min="11053" max="11053" width="11.5703125" style="514"/>
    <col min="11054" max="11054" width="55.42578125" style="514" customWidth="1"/>
    <col min="11055" max="11055" width="29.140625" style="514" customWidth="1"/>
    <col min="11056" max="11264" width="11.5703125" style="514"/>
    <col min="11265" max="11265" width="16.85546875" style="514" customWidth="1"/>
    <col min="11266" max="11266" width="15.140625" style="514" customWidth="1"/>
    <col min="11267" max="11267" width="21.5703125" style="514" customWidth="1"/>
    <col min="11268" max="11268" width="16" style="514" customWidth="1"/>
    <col min="11269" max="11269" width="45" style="514" customWidth="1"/>
    <col min="11270" max="11270" width="11.42578125" style="514" customWidth="1"/>
    <col min="11271" max="11272" width="15" style="514" customWidth="1"/>
    <col min="11273" max="11287" width="11.42578125" style="514" customWidth="1"/>
    <col min="11288" max="11288" width="13" style="514" customWidth="1"/>
    <col min="11289" max="11289" width="26.28515625" style="514" customWidth="1"/>
    <col min="11290" max="11290" width="49" style="514" customWidth="1"/>
    <col min="11291" max="11291" width="24.28515625" style="514" customWidth="1"/>
    <col min="11292" max="11292" width="22.28515625" style="514" customWidth="1"/>
    <col min="11293" max="11293" width="14.85546875" style="514" customWidth="1"/>
    <col min="11294" max="11294" width="26.5703125" style="514" customWidth="1"/>
    <col min="11295" max="11295" width="64.28515625" style="514" customWidth="1"/>
    <col min="11296" max="11296" width="13" style="514" customWidth="1"/>
    <col min="11297" max="11297" width="11.5703125" style="514"/>
    <col min="11298" max="11298" width="65.140625" style="514" customWidth="1"/>
    <col min="11299" max="11299" width="17.5703125" style="514" customWidth="1"/>
    <col min="11300" max="11300" width="13.5703125" style="514" customWidth="1"/>
    <col min="11301" max="11301" width="11.5703125" style="514"/>
    <col min="11302" max="11302" width="53.42578125" style="514" customWidth="1"/>
    <col min="11303" max="11303" width="16.7109375" style="514" customWidth="1"/>
    <col min="11304" max="11304" width="14.28515625" style="514" customWidth="1"/>
    <col min="11305" max="11305" width="11.5703125" style="514"/>
    <col min="11306" max="11306" width="82.85546875" style="514" customWidth="1"/>
    <col min="11307" max="11307" width="24.85546875" style="514" customWidth="1"/>
    <col min="11308" max="11308" width="13" style="514" customWidth="1"/>
    <col min="11309" max="11309" width="11.5703125" style="514"/>
    <col min="11310" max="11310" width="55.42578125" style="514" customWidth="1"/>
    <col min="11311" max="11311" width="29.140625" style="514" customWidth="1"/>
    <col min="11312" max="11520" width="11.5703125" style="514"/>
    <col min="11521" max="11521" width="16.85546875" style="514" customWidth="1"/>
    <col min="11522" max="11522" width="15.140625" style="514" customWidth="1"/>
    <col min="11523" max="11523" width="21.5703125" style="514" customWidth="1"/>
    <col min="11524" max="11524" width="16" style="514" customWidth="1"/>
    <col min="11525" max="11525" width="45" style="514" customWidth="1"/>
    <col min="11526" max="11526" width="11.42578125" style="514" customWidth="1"/>
    <col min="11527" max="11528" width="15" style="514" customWidth="1"/>
    <col min="11529" max="11543" width="11.42578125" style="514" customWidth="1"/>
    <col min="11544" max="11544" width="13" style="514" customWidth="1"/>
    <col min="11545" max="11545" width="26.28515625" style="514" customWidth="1"/>
    <col min="11546" max="11546" width="49" style="514" customWidth="1"/>
    <col min="11547" max="11547" width="24.28515625" style="514" customWidth="1"/>
    <col min="11548" max="11548" width="22.28515625" style="514" customWidth="1"/>
    <col min="11549" max="11549" width="14.85546875" style="514" customWidth="1"/>
    <col min="11550" max="11550" width="26.5703125" style="514" customWidth="1"/>
    <col min="11551" max="11551" width="64.28515625" style="514" customWidth="1"/>
    <col min="11552" max="11552" width="13" style="514" customWidth="1"/>
    <col min="11553" max="11553" width="11.5703125" style="514"/>
    <col min="11554" max="11554" width="65.140625" style="514" customWidth="1"/>
    <col min="11555" max="11555" width="17.5703125" style="514" customWidth="1"/>
    <col min="11556" max="11556" width="13.5703125" style="514" customWidth="1"/>
    <col min="11557" max="11557" width="11.5703125" style="514"/>
    <col min="11558" max="11558" width="53.42578125" style="514" customWidth="1"/>
    <col min="11559" max="11559" width="16.7109375" style="514" customWidth="1"/>
    <col min="11560" max="11560" width="14.28515625" style="514" customWidth="1"/>
    <col min="11561" max="11561" width="11.5703125" style="514"/>
    <col min="11562" max="11562" width="82.85546875" style="514" customWidth="1"/>
    <col min="11563" max="11563" width="24.85546875" style="514" customWidth="1"/>
    <col min="11564" max="11564" width="13" style="514" customWidth="1"/>
    <col min="11565" max="11565" width="11.5703125" style="514"/>
    <col min="11566" max="11566" width="55.42578125" style="514" customWidth="1"/>
    <col min="11567" max="11567" width="29.140625" style="514" customWidth="1"/>
    <col min="11568" max="11776" width="11.5703125" style="514"/>
    <col min="11777" max="11777" width="16.85546875" style="514" customWidth="1"/>
    <col min="11778" max="11778" width="15.140625" style="514" customWidth="1"/>
    <col min="11779" max="11779" width="21.5703125" style="514" customWidth="1"/>
    <col min="11780" max="11780" width="16" style="514" customWidth="1"/>
    <col min="11781" max="11781" width="45" style="514" customWidth="1"/>
    <col min="11782" max="11782" width="11.42578125" style="514" customWidth="1"/>
    <col min="11783" max="11784" width="15" style="514" customWidth="1"/>
    <col min="11785" max="11799" width="11.42578125" style="514" customWidth="1"/>
    <col min="11800" max="11800" width="13" style="514" customWidth="1"/>
    <col min="11801" max="11801" width="26.28515625" style="514" customWidth="1"/>
    <col min="11802" max="11802" width="49" style="514" customWidth="1"/>
    <col min="11803" max="11803" width="24.28515625" style="514" customWidth="1"/>
    <col min="11804" max="11804" width="22.28515625" style="514" customWidth="1"/>
    <col min="11805" max="11805" width="14.85546875" style="514" customWidth="1"/>
    <col min="11806" max="11806" width="26.5703125" style="514" customWidth="1"/>
    <col min="11807" max="11807" width="64.28515625" style="514" customWidth="1"/>
    <col min="11808" max="11808" width="13" style="514" customWidth="1"/>
    <col min="11809" max="11809" width="11.5703125" style="514"/>
    <col min="11810" max="11810" width="65.140625" style="514" customWidth="1"/>
    <col min="11811" max="11811" width="17.5703125" style="514" customWidth="1"/>
    <col min="11812" max="11812" width="13.5703125" style="514" customWidth="1"/>
    <col min="11813" max="11813" width="11.5703125" style="514"/>
    <col min="11814" max="11814" width="53.42578125" style="514" customWidth="1"/>
    <col min="11815" max="11815" width="16.7109375" style="514" customWidth="1"/>
    <col min="11816" max="11816" width="14.28515625" style="514" customWidth="1"/>
    <col min="11817" max="11817" width="11.5703125" style="514"/>
    <col min="11818" max="11818" width="82.85546875" style="514" customWidth="1"/>
    <col min="11819" max="11819" width="24.85546875" style="514" customWidth="1"/>
    <col min="11820" max="11820" width="13" style="514" customWidth="1"/>
    <col min="11821" max="11821" width="11.5703125" style="514"/>
    <col min="11822" max="11822" width="55.42578125" style="514" customWidth="1"/>
    <col min="11823" max="11823" width="29.140625" style="514" customWidth="1"/>
    <col min="11824" max="12032" width="11.5703125" style="514"/>
    <col min="12033" max="12033" width="16.85546875" style="514" customWidth="1"/>
    <col min="12034" max="12034" width="15.140625" style="514" customWidth="1"/>
    <col min="12035" max="12035" width="21.5703125" style="514" customWidth="1"/>
    <col min="12036" max="12036" width="16" style="514" customWidth="1"/>
    <col min="12037" max="12037" width="45" style="514" customWidth="1"/>
    <col min="12038" max="12038" width="11.42578125" style="514" customWidth="1"/>
    <col min="12039" max="12040" width="15" style="514" customWidth="1"/>
    <col min="12041" max="12055" width="11.42578125" style="514" customWidth="1"/>
    <col min="12056" max="12056" width="13" style="514" customWidth="1"/>
    <col min="12057" max="12057" width="26.28515625" style="514" customWidth="1"/>
    <col min="12058" max="12058" width="49" style="514" customWidth="1"/>
    <col min="12059" max="12059" width="24.28515625" style="514" customWidth="1"/>
    <col min="12060" max="12060" width="22.28515625" style="514" customWidth="1"/>
    <col min="12061" max="12061" width="14.85546875" style="514" customWidth="1"/>
    <col min="12062" max="12062" width="26.5703125" style="514" customWidth="1"/>
    <col min="12063" max="12063" width="64.28515625" style="514" customWidth="1"/>
    <col min="12064" max="12064" width="13" style="514" customWidth="1"/>
    <col min="12065" max="12065" width="11.5703125" style="514"/>
    <col min="12066" max="12066" width="65.140625" style="514" customWidth="1"/>
    <col min="12067" max="12067" width="17.5703125" style="514" customWidth="1"/>
    <col min="12068" max="12068" width="13.5703125" style="514" customWidth="1"/>
    <col min="12069" max="12069" width="11.5703125" style="514"/>
    <col min="12070" max="12070" width="53.42578125" style="514" customWidth="1"/>
    <col min="12071" max="12071" width="16.7109375" style="514" customWidth="1"/>
    <col min="12072" max="12072" width="14.28515625" style="514" customWidth="1"/>
    <col min="12073" max="12073" width="11.5703125" style="514"/>
    <col min="12074" max="12074" width="82.85546875" style="514" customWidth="1"/>
    <col min="12075" max="12075" width="24.85546875" style="514" customWidth="1"/>
    <col min="12076" max="12076" width="13" style="514" customWidth="1"/>
    <col min="12077" max="12077" width="11.5703125" style="514"/>
    <col min="12078" max="12078" width="55.42578125" style="514" customWidth="1"/>
    <col min="12079" max="12079" width="29.140625" style="514" customWidth="1"/>
    <col min="12080" max="12288" width="11.5703125" style="514"/>
    <col min="12289" max="12289" width="16.85546875" style="514" customWidth="1"/>
    <col min="12290" max="12290" width="15.140625" style="514" customWidth="1"/>
    <col min="12291" max="12291" width="21.5703125" style="514" customWidth="1"/>
    <col min="12292" max="12292" width="16" style="514" customWidth="1"/>
    <col min="12293" max="12293" width="45" style="514" customWidth="1"/>
    <col min="12294" max="12294" width="11.42578125" style="514" customWidth="1"/>
    <col min="12295" max="12296" width="15" style="514" customWidth="1"/>
    <col min="12297" max="12311" width="11.42578125" style="514" customWidth="1"/>
    <col min="12312" max="12312" width="13" style="514" customWidth="1"/>
    <col min="12313" max="12313" width="26.28515625" style="514" customWidth="1"/>
    <col min="12314" max="12314" width="49" style="514" customWidth="1"/>
    <col min="12315" max="12315" width="24.28515625" style="514" customWidth="1"/>
    <col min="12316" max="12316" width="22.28515625" style="514" customWidth="1"/>
    <col min="12317" max="12317" width="14.85546875" style="514" customWidth="1"/>
    <col min="12318" max="12318" width="26.5703125" style="514" customWidth="1"/>
    <col min="12319" max="12319" width="64.28515625" style="514" customWidth="1"/>
    <col min="12320" max="12320" width="13" style="514" customWidth="1"/>
    <col min="12321" max="12321" width="11.5703125" style="514"/>
    <col min="12322" max="12322" width="65.140625" style="514" customWidth="1"/>
    <col min="12323" max="12323" width="17.5703125" style="514" customWidth="1"/>
    <col min="12324" max="12324" width="13.5703125" style="514" customWidth="1"/>
    <col min="12325" max="12325" width="11.5703125" style="514"/>
    <col min="12326" max="12326" width="53.42578125" style="514" customWidth="1"/>
    <col min="12327" max="12327" width="16.7109375" style="514" customWidth="1"/>
    <col min="12328" max="12328" width="14.28515625" style="514" customWidth="1"/>
    <col min="12329" max="12329" width="11.5703125" style="514"/>
    <col min="12330" max="12330" width="82.85546875" style="514" customWidth="1"/>
    <col min="12331" max="12331" width="24.85546875" style="514" customWidth="1"/>
    <col min="12332" max="12332" width="13" style="514" customWidth="1"/>
    <col min="12333" max="12333" width="11.5703125" style="514"/>
    <col min="12334" max="12334" width="55.42578125" style="514" customWidth="1"/>
    <col min="12335" max="12335" width="29.140625" style="514" customWidth="1"/>
    <col min="12336" max="12544" width="11.5703125" style="514"/>
    <col min="12545" max="12545" width="16.85546875" style="514" customWidth="1"/>
    <col min="12546" max="12546" width="15.140625" style="514" customWidth="1"/>
    <col min="12547" max="12547" width="21.5703125" style="514" customWidth="1"/>
    <col min="12548" max="12548" width="16" style="514" customWidth="1"/>
    <col min="12549" max="12549" width="45" style="514" customWidth="1"/>
    <col min="12550" max="12550" width="11.42578125" style="514" customWidth="1"/>
    <col min="12551" max="12552" width="15" style="514" customWidth="1"/>
    <col min="12553" max="12567" width="11.42578125" style="514" customWidth="1"/>
    <col min="12568" max="12568" width="13" style="514" customWidth="1"/>
    <col min="12569" max="12569" width="26.28515625" style="514" customWidth="1"/>
    <col min="12570" max="12570" width="49" style="514" customWidth="1"/>
    <col min="12571" max="12571" width="24.28515625" style="514" customWidth="1"/>
    <col min="12572" max="12572" width="22.28515625" style="514" customWidth="1"/>
    <col min="12573" max="12573" width="14.85546875" style="514" customWidth="1"/>
    <col min="12574" max="12574" width="26.5703125" style="514" customWidth="1"/>
    <col min="12575" max="12575" width="64.28515625" style="514" customWidth="1"/>
    <col min="12576" max="12576" width="13" style="514" customWidth="1"/>
    <col min="12577" max="12577" width="11.5703125" style="514"/>
    <col min="12578" max="12578" width="65.140625" style="514" customWidth="1"/>
    <col min="12579" max="12579" width="17.5703125" style="514" customWidth="1"/>
    <col min="12580" max="12580" width="13.5703125" style="514" customWidth="1"/>
    <col min="12581" max="12581" width="11.5703125" style="514"/>
    <col min="12582" max="12582" width="53.42578125" style="514" customWidth="1"/>
    <col min="12583" max="12583" width="16.7109375" style="514" customWidth="1"/>
    <col min="12584" max="12584" width="14.28515625" style="514" customWidth="1"/>
    <col min="12585" max="12585" width="11.5703125" style="514"/>
    <col min="12586" max="12586" width="82.85546875" style="514" customWidth="1"/>
    <col min="12587" max="12587" width="24.85546875" style="514" customWidth="1"/>
    <col min="12588" max="12588" width="13" style="514" customWidth="1"/>
    <col min="12589" max="12589" width="11.5703125" style="514"/>
    <col min="12590" max="12590" width="55.42578125" style="514" customWidth="1"/>
    <col min="12591" max="12591" width="29.140625" style="514" customWidth="1"/>
    <col min="12592" max="12800" width="11.5703125" style="514"/>
    <col min="12801" max="12801" width="16.85546875" style="514" customWidth="1"/>
    <col min="12802" max="12802" width="15.140625" style="514" customWidth="1"/>
    <col min="12803" max="12803" width="21.5703125" style="514" customWidth="1"/>
    <col min="12804" max="12804" width="16" style="514" customWidth="1"/>
    <col min="12805" max="12805" width="45" style="514" customWidth="1"/>
    <col min="12806" max="12806" width="11.42578125" style="514" customWidth="1"/>
    <col min="12807" max="12808" width="15" style="514" customWidth="1"/>
    <col min="12809" max="12823" width="11.42578125" style="514" customWidth="1"/>
    <col min="12824" max="12824" width="13" style="514" customWidth="1"/>
    <col min="12825" max="12825" width="26.28515625" style="514" customWidth="1"/>
    <col min="12826" max="12826" width="49" style="514" customWidth="1"/>
    <col min="12827" max="12827" width="24.28515625" style="514" customWidth="1"/>
    <col min="12828" max="12828" width="22.28515625" style="514" customWidth="1"/>
    <col min="12829" max="12829" width="14.85546875" style="514" customWidth="1"/>
    <col min="12830" max="12830" width="26.5703125" style="514" customWidth="1"/>
    <col min="12831" max="12831" width="64.28515625" style="514" customWidth="1"/>
    <col min="12832" max="12832" width="13" style="514" customWidth="1"/>
    <col min="12833" max="12833" width="11.5703125" style="514"/>
    <col min="12834" max="12834" width="65.140625" style="514" customWidth="1"/>
    <col min="12835" max="12835" width="17.5703125" style="514" customWidth="1"/>
    <col min="12836" max="12836" width="13.5703125" style="514" customWidth="1"/>
    <col min="12837" max="12837" width="11.5703125" style="514"/>
    <col min="12838" max="12838" width="53.42578125" style="514" customWidth="1"/>
    <col min="12839" max="12839" width="16.7109375" style="514" customWidth="1"/>
    <col min="12840" max="12840" width="14.28515625" style="514" customWidth="1"/>
    <col min="12841" max="12841" width="11.5703125" style="514"/>
    <col min="12842" max="12842" width="82.85546875" style="514" customWidth="1"/>
    <col min="12843" max="12843" width="24.85546875" style="514" customWidth="1"/>
    <col min="12844" max="12844" width="13" style="514" customWidth="1"/>
    <col min="12845" max="12845" width="11.5703125" style="514"/>
    <col min="12846" max="12846" width="55.42578125" style="514" customWidth="1"/>
    <col min="12847" max="12847" width="29.140625" style="514" customWidth="1"/>
    <col min="12848" max="13056" width="11.5703125" style="514"/>
    <col min="13057" max="13057" width="16.85546875" style="514" customWidth="1"/>
    <col min="13058" max="13058" width="15.140625" style="514" customWidth="1"/>
    <col min="13059" max="13059" width="21.5703125" style="514" customWidth="1"/>
    <col min="13060" max="13060" width="16" style="514" customWidth="1"/>
    <col min="13061" max="13061" width="45" style="514" customWidth="1"/>
    <col min="13062" max="13062" width="11.42578125" style="514" customWidth="1"/>
    <col min="13063" max="13064" width="15" style="514" customWidth="1"/>
    <col min="13065" max="13079" width="11.42578125" style="514" customWidth="1"/>
    <col min="13080" max="13080" width="13" style="514" customWidth="1"/>
    <col min="13081" max="13081" width="26.28515625" style="514" customWidth="1"/>
    <col min="13082" max="13082" width="49" style="514" customWidth="1"/>
    <col min="13083" max="13083" width="24.28515625" style="514" customWidth="1"/>
    <col min="13084" max="13084" width="22.28515625" style="514" customWidth="1"/>
    <col min="13085" max="13085" width="14.85546875" style="514" customWidth="1"/>
    <col min="13086" max="13086" width="26.5703125" style="514" customWidth="1"/>
    <col min="13087" max="13087" width="64.28515625" style="514" customWidth="1"/>
    <col min="13088" max="13088" width="13" style="514" customWidth="1"/>
    <col min="13089" max="13089" width="11.5703125" style="514"/>
    <col min="13090" max="13090" width="65.140625" style="514" customWidth="1"/>
    <col min="13091" max="13091" width="17.5703125" style="514" customWidth="1"/>
    <col min="13092" max="13092" width="13.5703125" style="514" customWidth="1"/>
    <col min="13093" max="13093" width="11.5703125" style="514"/>
    <col min="13094" max="13094" width="53.42578125" style="514" customWidth="1"/>
    <col min="13095" max="13095" width="16.7109375" style="514" customWidth="1"/>
    <col min="13096" max="13096" width="14.28515625" style="514" customWidth="1"/>
    <col min="13097" max="13097" width="11.5703125" style="514"/>
    <col min="13098" max="13098" width="82.85546875" style="514" customWidth="1"/>
    <col min="13099" max="13099" width="24.85546875" style="514" customWidth="1"/>
    <col min="13100" max="13100" width="13" style="514" customWidth="1"/>
    <col min="13101" max="13101" width="11.5703125" style="514"/>
    <col min="13102" max="13102" width="55.42578125" style="514" customWidth="1"/>
    <col min="13103" max="13103" width="29.140625" style="514" customWidth="1"/>
    <col min="13104" max="13312" width="11.5703125" style="514"/>
    <col min="13313" max="13313" width="16.85546875" style="514" customWidth="1"/>
    <col min="13314" max="13314" width="15.140625" style="514" customWidth="1"/>
    <col min="13315" max="13315" width="21.5703125" style="514" customWidth="1"/>
    <col min="13316" max="13316" width="16" style="514" customWidth="1"/>
    <col min="13317" max="13317" width="45" style="514" customWidth="1"/>
    <col min="13318" max="13318" width="11.42578125" style="514" customWidth="1"/>
    <col min="13319" max="13320" width="15" style="514" customWidth="1"/>
    <col min="13321" max="13335" width="11.42578125" style="514" customWidth="1"/>
    <col min="13336" max="13336" width="13" style="514" customWidth="1"/>
    <col min="13337" max="13337" width="26.28515625" style="514" customWidth="1"/>
    <col min="13338" max="13338" width="49" style="514" customWidth="1"/>
    <col min="13339" max="13339" width="24.28515625" style="514" customWidth="1"/>
    <col min="13340" max="13340" width="22.28515625" style="514" customWidth="1"/>
    <col min="13341" max="13341" width="14.85546875" style="514" customWidth="1"/>
    <col min="13342" max="13342" width="26.5703125" style="514" customWidth="1"/>
    <col min="13343" max="13343" width="64.28515625" style="514" customWidth="1"/>
    <col min="13344" max="13344" width="13" style="514" customWidth="1"/>
    <col min="13345" max="13345" width="11.5703125" style="514"/>
    <col min="13346" max="13346" width="65.140625" style="514" customWidth="1"/>
    <col min="13347" max="13347" width="17.5703125" style="514" customWidth="1"/>
    <col min="13348" max="13348" width="13.5703125" style="514" customWidth="1"/>
    <col min="13349" max="13349" width="11.5703125" style="514"/>
    <col min="13350" max="13350" width="53.42578125" style="514" customWidth="1"/>
    <col min="13351" max="13351" width="16.7109375" style="514" customWidth="1"/>
    <col min="13352" max="13352" width="14.28515625" style="514" customWidth="1"/>
    <col min="13353" max="13353" width="11.5703125" style="514"/>
    <col min="13354" max="13354" width="82.85546875" style="514" customWidth="1"/>
    <col min="13355" max="13355" width="24.85546875" style="514" customWidth="1"/>
    <col min="13356" max="13356" width="13" style="514" customWidth="1"/>
    <col min="13357" max="13357" width="11.5703125" style="514"/>
    <col min="13358" max="13358" width="55.42578125" style="514" customWidth="1"/>
    <col min="13359" max="13359" width="29.140625" style="514" customWidth="1"/>
    <col min="13360" max="13568" width="11.5703125" style="514"/>
    <col min="13569" max="13569" width="16.85546875" style="514" customWidth="1"/>
    <col min="13570" max="13570" width="15.140625" style="514" customWidth="1"/>
    <col min="13571" max="13571" width="21.5703125" style="514" customWidth="1"/>
    <col min="13572" max="13572" width="16" style="514" customWidth="1"/>
    <col min="13573" max="13573" width="45" style="514" customWidth="1"/>
    <col min="13574" max="13574" width="11.42578125" style="514" customWidth="1"/>
    <col min="13575" max="13576" width="15" style="514" customWidth="1"/>
    <col min="13577" max="13591" width="11.42578125" style="514" customWidth="1"/>
    <col min="13592" max="13592" width="13" style="514" customWidth="1"/>
    <col min="13593" max="13593" width="26.28515625" style="514" customWidth="1"/>
    <col min="13594" max="13594" width="49" style="514" customWidth="1"/>
    <col min="13595" max="13595" width="24.28515625" style="514" customWidth="1"/>
    <col min="13596" max="13596" width="22.28515625" style="514" customWidth="1"/>
    <col min="13597" max="13597" width="14.85546875" style="514" customWidth="1"/>
    <col min="13598" max="13598" width="26.5703125" style="514" customWidth="1"/>
    <col min="13599" max="13599" width="64.28515625" style="514" customWidth="1"/>
    <col min="13600" max="13600" width="13" style="514" customWidth="1"/>
    <col min="13601" max="13601" width="11.5703125" style="514"/>
    <col min="13602" max="13602" width="65.140625" style="514" customWidth="1"/>
    <col min="13603" max="13603" width="17.5703125" style="514" customWidth="1"/>
    <col min="13604" max="13604" width="13.5703125" style="514" customWidth="1"/>
    <col min="13605" max="13605" width="11.5703125" style="514"/>
    <col min="13606" max="13606" width="53.42578125" style="514" customWidth="1"/>
    <col min="13607" max="13607" width="16.7109375" style="514" customWidth="1"/>
    <col min="13608" max="13608" width="14.28515625" style="514" customWidth="1"/>
    <col min="13609" max="13609" width="11.5703125" style="514"/>
    <col min="13610" max="13610" width="82.85546875" style="514" customWidth="1"/>
    <col min="13611" max="13611" width="24.85546875" style="514" customWidth="1"/>
    <col min="13612" max="13612" width="13" style="514" customWidth="1"/>
    <col min="13613" max="13613" width="11.5703125" style="514"/>
    <col min="13614" max="13614" width="55.42578125" style="514" customWidth="1"/>
    <col min="13615" max="13615" width="29.140625" style="514" customWidth="1"/>
    <col min="13616" max="13824" width="11.5703125" style="514"/>
    <col min="13825" max="13825" width="16.85546875" style="514" customWidth="1"/>
    <col min="13826" max="13826" width="15.140625" style="514" customWidth="1"/>
    <col min="13827" max="13827" width="21.5703125" style="514" customWidth="1"/>
    <col min="13828" max="13828" width="16" style="514" customWidth="1"/>
    <col min="13829" max="13829" width="45" style="514" customWidth="1"/>
    <col min="13830" max="13830" width="11.42578125" style="514" customWidth="1"/>
    <col min="13831" max="13832" width="15" style="514" customWidth="1"/>
    <col min="13833" max="13847" width="11.42578125" style="514" customWidth="1"/>
    <col min="13848" max="13848" width="13" style="514" customWidth="1"/>
    <col min="13849" max="13849" width="26.28515625" style="514" customWidth="1"/>
    <col min="13850" max="13850" width="49" style="514" customWidth="1"/>
    <col min="13851" max="13851" width="24.28515625" style="514" customWidth="1"/>
    <col min="13852" max="13852" width="22.28515625" style="514" customWidth="1"/>
    <col min="13853" max="13853" width="14.85546875" style="514" customWidth="1"/>
    <col min="13854" max="13854" width="26.5703125" style="514" customWidth="1"/>
    <col min="13855" max="13855" width="64.28515625" style="514" customWidth="1"/>
    <col min="13856" max="13856" width="13" style="514" customWidth="1"/>
    <col min="13857" max="13857" width="11.5703125" style="514"/>
    <col min="13858" max="13858" width="65.140625" style="514" customWidth="1"/>
    <col min="13859" max="13859" width="17.5703125" style="514" customWidth="1"/>
    <col min="13860" max="13860" width="13.5703125" style="514" customWidth="1"/>
    <col min="13861" max="13861" width="11.5703125" style="514"/>
    <col min="13862" max="13862" width="53.42578125" style="514" customWidth="1"/>
    <col min="13863" max="13863" width="16.7109375" style="514" customWidth="1"/>
    <col min="13864" max="13864" width="14.28515625" style="514" customWidth="1"/>
    <col min="13865" max="13865" width="11.5703125" style="514"/>
    <col min="13866" max="13866" width="82.85546875" style="514" customWidth="1"/>
    <col min="13867" max="13867" width="24.85546875" style="514" customWidth="1"/>
    <col min="13868" max="13868" width="13" style="514" customWidth="1"/>
    <col min="13869" max="13869" width="11.5703125" style="514"/>
    <col min="13870" max="13870" width="55.42578125" style="514" customWidth="1"/>
    <col min="13871" max="13871" width="29.140625" style="514" customWidth="1"/>
    <col min="13872" max="14080" width="11.5703125" style="514"/>
    <col min="14081" max="14081" width="16.85546875" style="514" customWidth="1"/>
    <col min="14082" max="14082" width="15.140625" style="514" customWidth="1"/>
    <col min="14083" max="14083" width="21.5703125" style="514" customWidth="1"/>
    <col min="14084" max="14084" width="16" style="514" customWidth="1"/>
    <col min="14085" max="14085" width="45" style="514" customWidth="1"/>
    <col min="14086" max="14086" width="11.42578125" style="514" customWidth="1"/>
    <col min="14087" max="14088" width="15" style="514" customWidth="1"/>
    <col min="14089" max="14103" width="11.42578125" style="514" customWidth="1"/>
    <col min="14104" max="14104" width="13" style="514" customWidth="1"/>
    <col min="14105" max="14105" width="26.28515625" style="514" customWidth="1"/>
    <col min="14106" max="14106" width="49" style="514" customWidth="1"/>
    <col min="14107" max="14107" width="24.28515625" style="514" customWidth="1"/>
    <col min="14108" max="14108" width="22.28515625" style="514" customWidth="1"/>
    <col min="14109" max="14109" width="14.85546875" style="514" customWidth="1"/>
    <col min="14110" max="14110" width="26.5703125" style="514" customWidth="1"/>
    <col min="14111" max="14111" width="64.28515625" style="514" customWidth="1"/>
    <col min="14112" max="14112" width="13" style="514" customWidth="1"/>
    <col min="14113" max="14113" width="11.5703125" style="514"/>
    <col min="14114" max="14114" width="65.140625" style="514" customWidth="1"/>
    <col min="14115" max="14115" width="17.5703125" style="514" customWidth="1"/>
    <col min="14116" max="14116" width="13.5703125" style="514" customWidth="1"/>
    <col min="14117" max="14117" width="11.5703125" style="514"/>
    <col min="14118" max="14118" width="53.42578125" style="514" customWidth="1"/>
    <col min="14119" max="14119" width="16.7109375" style="514" customWidth="1"/>
    <col min="14120" max="14120" width="14.28515625" style="514" customWidth="1"/>
    <col min="14121" max="14121" width="11.5703125" style="514"/>
    <col min="14122" max="14122" width="82.85546875" style="514" customWidth="1"/>
    <col min="14123" max="14123" width="24.85546875" style="514" customWidth="1"/>
    <col min="14124" max="14124" width="13" style="514" customWidth="1"/>
    <col min="14125" max="14125" width="11.5703125" style="514"/>
    <col min="14126" max="14126" width="55.42578125" style="514" customWidth="1"/>
    <col min="14127" max="14127" width="29.140625" style="514" customWidth="1"/>
    <col min="14128" max="14336" width="11.5703125" style="514"/>
    <col min="14337" max="14337" width="16.85546875" style="514" customWidth="1"/>
    <col min="14338" max="14338" width="15.140625" style="514" customWidth="1"/>
    <col min="14339" max="14339" width="21.5703125" style="514" customWidth="1"/>
    <col min="14340" max="14340" width="16" style="514" customWidth="1"/>
    <col min="14341" max="14341" width="45" style="514" customWidth="1"/>
    <col min="14342" max="14342" width="11.42578125" style="514" customWidth="1"/>
    <col min="14343" max="14344" width="15" style="514" customWidth="1"/>
    <col min="14345" max="14359" width="11.42578125" style="514" customWidth="1"/>
    <col min="14360" max="14360" width="13" style="514" customWidth="1"/>
    <col min="14361" max="14361" width="26.28515625" style="514" customWidth="1"/>
    <col min="14362" max="14362" width="49" style="514" customWidth="1"/>
    <col min="14363" max="14363" width="24.28515625" style="514" customWidth="1"/>
    <col min="14364" max="14364" width="22.28515625" style="514" customWidth="1"/>
    <col min="14365" max="14365" width="14.85546875" style="514" customWidth="1"/>
    <col min="14366" max="14366" width="26.5703125" style="514" customWidth="1"/>
    <col min="14367" max="14367" width="64.28515625" style="514" customWidth="1"/>
    <col min="14368" max="14368" width="13" style="514" customWidth="1"/>
    <col min="14369" max="14369" width="11.5703125" style="514"/>
    <col min="14370" max="14370" width="65.140625" style="514" customWidth="1"/>
    <col min="14371" max="14371" width="17.5703125" style="514" customWidth="1"/>
    <col min="14372" max="14372" width="13.5703125" style="514" customWidth="1"/>
    <col min="14373" max="14373" width="11.5703125" style="514"/>
    <col min="14374" max="14374" width="53.42578125" style="514" customWidth="1"/>
    <col min="14375" max="14375" width="16.7109375" style="514" customWidth="1"/>
    <col min="14376" max="14376" width="14.28515625" style="514" customWidth="1"/>
    <col min="14377" max="14377" width="11.5703125" style="514"/>
    <col min="14378" max="14378" width="82.85546875" style="514" customWidth="1"/>
    <col min="14379" max="14379" width="24.85546875" style="514" customWidth="1"/>
    <col min="14380" max="14380" width="13" style="514" customWidth="1"/>
    <col min="14381" max="14381" width="11.5703125" style="514"/>
    <col min="14382" max="14382" width="55.42578125" style="514" customWidth="1"/>
    <col min="14383" max="14383" width="29.140625" style="514" customWidth="1"/>
    <col min="14384" max="14592" width="11.5703125" style="514"/>
    <col min="14593" max="14593" width="16.85546875" style="514" customWidth="1"/>
    <col min="14594" max="14594" width="15.140625" style="514" customWidth="1"/>
    <col min="14595" max="14595" width="21.5703125" style="514" customWidth="1"/>
    <col min="14596" max="14596" width="16" style="514" customWidth="1"/>
    <col min="14597" max="14597" width="45" style="514" customWidth="1"/>
    <col min="14598" max="14598" width="11.42578125" style="514" customWidth="1"/>
    <col min="14599" max="14600" width="15" style="514" customWidth="1"/>
    <col min="14601" max="14615" width="11.42578125" style="514" customWidth="1"/>
    <col min="14616" max="14616" width="13" style="514" customWidth="1"/>
    <col min="14617" max="14617" width="26.28515625" style="514" customWidth="1"/>
    <col min="14618" max="14618" width="49" style="514" customWidth="1"/>
    <col min="14619" max="14619" width="24.28515625" style="514" customWidth="1"/>
    <col min="14620" max="14620" width="22.28515625" style="514" customWidth="1"/>
    <col min="14621" max="14621" width="14.85546875" style="514" customWidth="1"/>
    <col min="14622" max="14622" width="26.5703125" style="514" customWidth="1"/>
    <col min="14623" max="14623" width="64.28515625" style="514" customWidth="1"/>
    <col min="14624" max="14624" width="13" style="514" customWidth="1"/>
    <col min="14625" max="14625" width="11.5703125" style="514"/>
    <col min="14626" max="14626" width="65.140625" style="514" customWidth="1"/>
    <col min="14627" max="14627" width="17.5703125" style="514" customWidth="1"/>
    <col min="14628" max="14628" width="13.5703125" style="514" customWidth="1"/>
    <col min="14629" max="14629" width="11.5703125" style="514"/>
    <col min="14630" max="14630" width="53.42578125" style="514" customWidth="1"/>
    <col min="14631" max="14631" width="16.7109375" style="514" customWidth="1"/>
    <col min="14632" max="14632" width="14.28515625" style="514" customWidth="1"/>
    <col min="14633" max="14633" width="11.5703125" style="514"/>
    <col min="14634" max="14634" width="82.85546875" style="514" customWidth="1"/>
    <col min="14635" max="14635" width="24.85546875" style="514" customWidth="1"/>
    <col min="14636" max="14636" width="13" style="514" customWidth="1"/>
    <col min="14637" max="14637" width="11.5703125" style="514"/>
    <col min="14638" max="14638" width="55.42578125" style="514" customWidth="1"/>
    <col min="14639" max="14639" width="29.140625" style="514" customWidth="1"/>
    <col min="14640" max="14848" width="11.5703125" style="514"/>
    <col min="14849" max="14849" width="16.85546875" style="514" customWidth="1"/>
    <col min="14850" max="14850" width="15.140625" style="514" customWidth="1"/>
    <col min="14851" max="14851" width="21.5703125" style="514" customWidth="1"/>
    <col min="14852" max="14852" width="16" style="514" customWidth="1"/>
    <col min="14853" max="14853" width="45" style="514" customWidth="1"/>
    <col min="14854" max="14854" width="11.42578125" style="514" customWidth="1"/>
    <col min="14855" max="14856" width="15" style="514" customWidth="1"/>
    <col min="14857" max="14871" width="11.42578125" style="514" customWidth="1"/>
    <col min="14872" max="14872" width="13" style="514" customWidth="1"/>
    <col min="14873" max="14873" width="26.28515625" style="514" customWidth="1"/>
    <col min="14874" max="14874" width="49" style="514" customWidth="1"/>
    <col min="14875" max="14875" width="24.28515625" style="514" customWidth="1"/>
    <col min="14876" max="14876" width="22.28515625" style="514" customWidth="1"/>
    <col min="14877" max="14877" width="14.85546875" style="514" customWidth="1"/>
    <col min="14878" max="14878" width="26.5703125" style="514" customWidth="1"/>
    <col min="14879" max="14879" width="64.28515625" style="514" customWidth="1"/>
    <col min="14880" max="14880" width="13" style="514" customWidth="1"/>
    <col min="14881" max="14881" width="11.5703125" style="514"/>
    <col min="14882" max="14882" width="65.140625" style="514" customWidth="1"/>
    <col min="14883" max="14883" width="17.5703125" style="514" customWidth="1"/>
    <col min="14884" max="14884" width="13.5703125" style="514" customWidth="1"/>
    <col min="14885" max="14885" width="11.5703125" style="514"/>
    <col min="14886" max="14886" width="53.42578125" style="514" customWidth="1"/>
    <col min="14887" max="14887" width="16.7109375" style="514" customWidth="1"/>
    <col min="14888" max="14888" width="14.28515625" style="514" customWidth="1"/>
    <col min="14889" max="14889" width="11.5703125" style="514"/>
    <col min="14890" max="14890" width="82.85546875" style="514" customWidth="1"/>
    <col min="14891" max="14891" width="24.85546875" style="514" customWidth="1"/>
    <col min="14892" max="14892" width="13" style="514" customWidth="1"/>
    <col min="14893" max="14893" width="11.5703125" style="514"/>
    <col min="14894" max="14894" width="55.42578125" style="514" customWidth="1"/>
    <col min="14895" max="14895" width="29.140625" style="514" customWidth="1"/>
    <col min="14896" max="15104" width="11.5703125" style="514"/>
    <col min="15105" max="15105" width="16.85546875" style="514" customWidth="1"/>
    <col min="15106" max="15106" width="15.140625" style="514" customWidth="1"/>
    <col min="15107" max="15107" width="21.5703125" style="514" customWidth="1"/>
    <col min="15108" max="15108" width="16" style="514" customWidth="1"/>
    <col min="15109" max="15109" width="45" style="514" customWidth="1"/>
    <col min="15110" max="15110" width="11.42578125" style="514" customWidth="1"/>
    <col min="15111" max="15112" width="15" style="514" customWidth="1"/>
    <col min="15113" max="15127" width="11.42578125" style="514" customWidth="1"/>
    <col min="15128" max="15128" width="13" style="514" customWidth="1"/>
    <col min="15129" max="15129" width="26.28515625" style="514" customWidth="1"/>
    <col min="15130" max="15130" width="49" style="514" customWidth="1"/>
    <col min="15131" max="15131" width="24.28515625" style="514" customWidth="1"/>
    <col min="15132" max="15132" width="22.28515625" style="514" customWidth="1"/>
    <col min="15133" max="15133" width="14.85546875" style="514" customWidth="1"/>
    <col min="15134" max="15134" width="26.5703125" style="514" customWidth="1"/>
    <col min="15135" max="15135" width="64.28515625" style="514" customWidth="1"/>
    <col min="15136" max="15136" width="13" style="514" customWidth="1"/>
    <col min="15137" max="15137" width="11.5703125" style="514"/>
    <col min="15138" max="15138" width="65.140625" style="514" customWidth="1"/>
    <col min="15139" max="15139" width="17.5703125" style="514" customWidth="1"/>
    <col min="15140" max="15140" width="13.5703125" style="514" customWidth="1"/>
    <col min="15141" max="15141" width="11.5703125" style="514"/>
    <col min="15142" max="15142" width="53.42578125" style="514" customWidth="1"/>
    <col min="15143" max="15143" width="16.7109375" style="514" customWidth="1"/>
    <col min="15144" max="15144" width="14.28515625" style="514" customWidth="1"/>
    <col min="15145" max="15145" width="11.5703125" style="514"/>
    <col min="15146" max="15146" width="82.85546875" style="514" customWidth="1"/>
    <col min="15147" max="15147" width="24.85546875" style="514" customWidth="1"/>
    <col min="15148" max="15148" width="13" style="514" customWidth="1"/>
    <col min="15149" max="15149" width="11.5703125" style="514"/>
    <col min="15150" max="15150" width="55.42578125" style="514" customWidth="1"/>
    <col min="15151" max="15151" width="29.140625" style="514" customWidth="1"/>
    <col min="15152" max="15360" width="11.5703125" style="514"/>
    <col min="15361" max="15361" width="16.85546875" style="514" customWidth="1"/>
    <col min="15362" max="15362" width="15.140625" style="514" customWidth="1"/>
    <col min="15363" max="15363" width="21.5703125" style="514" customWidth="1"/>
    <col min="15364" max="15364" width="16" style="514" customWidth="1"/>
    <col min="15365" max="15365" width="45" style="514" customWidth="1"/>
    <col min="15366" max="15366" width="11.42578125" style="514" customWidth="1"/>
    <col min="15367" max="15368" width="15" style="514" customWidth="1"/>
    <col min="15369" max="15383" width="11.42578125" style="514" customWidth="1"/>
    <col min="15384" max="15384" width="13" style="514" customWidth="1"/>
    <col min="15385" max="15385" width="26.28515625" style="514" customWidth="1"/>
    <col min="15386" max="15386" width="49" style="514" customWidth="1"/>
    <col min="15387" max="15387" width="24.28515625" style="514" customWidth="1"/>
    <col min="15388" max="15388" width="22.28515625" style="514" customWidth="1"/>
    <col min="15389" max="15389" width="14.85546875" style="514" customWidth="1"/>
    <col min="15390" max="15390" width="26.5703125" style="514" customWidth="1"/>
    <col min="15391" max="15391" width="64.28515625" style="514" customWidth="1"/>
    <col min="15392" max="15392" width="13" style="514" customWidth="1"/>
    <col min="15393" max="15393" width="11.5703125" style="514"/>
    <col min="15394" max="15394" width="65.140625" style="514" customWidth="1"/>
    <col min="15395" max="15395" width="17.5703125" style="514" customWidth="1"/>
    <col min="15396" max="15396" width="13.5703125" style="514" customWidth="1"/>
    <col min="15397" max="15397" width="11.5703125" style="514"/>
    <col min="15398" max="15398" width="53.42578125" style="514" customWidth="1"/>
    <col min="15399" max="15399" width="16.7109375" style="514" customWidth="1"/>
    <col min="15400" max="15400" width="14.28515625" style="514" customWidth="1"/>
    <col min="15401" max="15401" width="11.5703125" style="514"/>
    <col min="15402" max="15402" width="82.85546875" style="514" customWidth="1"/>
    <col min="15403" max="15403" width="24.85546875" style="514" customWidth="1"/>
    <col min="15404" max="15404" width="13" style="514" customWidth="1"/>
    <col min="15405" max="15405" width="11.5703125" style="514"/>
    <col min="15406" max="15406" width="55.42578125" style="514" customWidth="1"/>
    <col min="15407" max="15407" width="29.140625" style="514" customWidth="1"/>
    <col min="15408" max="15616" width="11.5703125" style="514"/>
    <col min="15617" max="15617" width="16.85546875" style="514" customWidth="1"/>
    <col min="15618" max="15618" width="15.140625" style="514" customWidth="1"/>
    <col min="15619" max="15619" width="21.5703125" style="514" customWidth="1"/>
    <col min="15620" max="15620" width="16" style="514" customWidth="1"/>
    <col min="15621" max="15621" width="45" style="514" customWidth="1"/>
    <col min="15622" max="15622" width="11.42578125" style="514" customWidth="1"/>
    <col min="15623" max="15624" width="15" style="514" customWidth="1"/>
    <col min="15625" max="15639" width="11.42578125" style="514" customWidth="1"/>
    <col min="15640" max="15640" width="13" style="514" customWidth="1"/>
    <col min="15641" max="15641" width="26.28515625" style="514" customWidth="1"/>
    <col min="15642" max="15642" width="49" style="514" customWidth="1"/>
    <col min="15643" max="15643" width="24.28515625" style="514" customWidth="1"/>
    <col min="15644" max="15644" width="22.28515625" style="514" customWidth="1"/>
    <col min="15645" max="15645" width="14.85546875" style="514" customWidth="1"/>
    <col min="15646" max="15646" width="26.5703125" style="514" customWidth="1"/>
    <col min="15647" max="15647" width="64.28515625" style="514" customWidth="1"/>
    <col min="15648" max="15648" width="13" style="514" customWidth="1"/>
    <col min="15649" max="15649" width="11.5703125" style="514"/>
    <col min="15650" max="15650" width="65.140625" style="514" customWidth="1"/>
    <col min="15651" max="15651" width="17.5703125" style="514" customWidth="1"/>
    <col min="15652" max="15652" width="13.5703125" style="514" customWidth="1"/>
    <col min="15653" max="15653" width="11.5703125" style="514"/>
    <col min="15654" max="15654" width="53.42578125" style="514" customWidth="1"/>
    <col min="15655" max="15655" width="16.7109375" style="514" customWidth="1"/>
    <col min="15656" max="15656" width="14.28515625" style="514" customWidth="1"/>
    <col min="15657" max="15657" width="11.5703125" style="514"/>
    <col min="15658" max="15658" width="82.85546875" style="514" customWidth="1"/>
    <col min="15659" max="15659" width="24.85546875" style="514" customWidth="1"/>
    <col min="15660" max="15660" width="13" style="514" customWidth="1"/>
    <col min="15661" max="15661" width="11.5703125" style="514"/>
    <col min="15662" max="15662" width="55.42578125" style="514" customWidth="1"/>
    <col min="15663" max="15663" width="29.140625" style="514" customWidth="1"/>
    <col min="15664" max="15872" width="11.5703125" style="514"/>
    <col min="15873" max="15873" width="16.85546875" style="514" customWidth="1"/>
    <col min="15874" max="15874" width="15.140625" style="514" customWidth="1"/>
    <col min="15875" max="15875" width="21.5703125" style="514" customWidth="1"/>
    <col min="15876" max="15876" width="16" style="514" customWidth="1"/>
    <col min="15877" max="15877" width="45" style="514" customWidth="1"/>
    <col min="15878" max="15878" width="11.42578125" style="514" customWidth="1"/>
    <col min="15879" max="15880" width="15" style="514" customWidth="1"/>
    <col min="15881" max="15895" width="11.42578125" style="514" customWidth="1"/>
    <col min="15896" max="15896" width="13" style="514" customWidth="1"/>
    <col min="15897" max="15897" width="26.28515625" style="514" customWidth="1"/>
    <col min="15898" max="15898" width="49" style="514" customWidth="1"/>
    <col min="15899" max="15899" width="24.28515625" style="514" customWidth="1"/>
    <col min="15900" max="15900" width="22.28515625" style="514" customWidth="1"/>
    <col min="15901" max="15901" width="14.85546875" style="514" customWidth="1"/>
    <col min="15902" max="15902" width="26.5703125" style="514" customWidth="1"/>
    <col min="15903" max="15903" width="64.28515625" style="514" customWidth="1"/>
    <col min="15904" max="15904" width="13" style="514" customWidth="1"/>
    <col min="15905" max="15905" width="11.5703125" style="514"/>
    <col min="15906" max="15906" width="65.140625" style="514" customWidth="1"/>
    <col min="15907" max="15907" width="17.5703125" style="514" customWidth="1"/>
    <col min="15908" max="15908" width="13.5703125" style="514" customWidth="1"/>
    <col min="15909" max="15909" width="11.5703125" style="514"/>
    <col min="15910" max="15910" width="53.42578125" style="514" customWidth="1"/>
    <col min="15911" max="15911" width="16.7109375" style="514" customWidth="1"/>
    <col min="15912" max="15912" width="14.28515625" style="514" customWidth="1"/>
    <col min="15913" max="15913" width="11.5703125" style="514"/>
    <col min="15914" max="15914" width="82.85546875" style="514" customWidth="1"/>
    <col min="15915" max="15915" width="24.85546875" style="514" customWidth="1"/>
    <col min="15916" max="15916" width="13" style="514" customWidth="1"/>
    <col min="15917" max="15917" width="11.5703125" style="514"/>
    <col min="15918" max="15918" width="55.42578125" style="514" customWidth="1"/>
    <col min="15919" max="15919" width="29.140625" style="514" customWidth="1"/>
    <col min="15920" max="16128" width="11.5703125" style="514"/>
    <col min="16129" max="16129" width="16.85546875" style="514" customWidth="1"/>
    <col min="16130" max="16130" width="15.140625" style="514" customWidth="1"/>
    <col min="16131" max="16131" width="21.5703125" style="514" customWidth="1"/>
    <col min="16132" max="16132" width="16" style="514" customWidth="1"/>
    <col min="16133" max="16133" width="45" style="514" customWidth="1"/>
    <col min="16134" max="16134" width="11.42578125" style="514" customWidth="1"/>
    <col min="16135" max="16136" width="15" style="514" customWidth="1"/>
    <col min="16137" max="16151" width="11.42578125" style="514" customWidth="1"/>
    <col min="16152" max="16152" width="13" style="514" customWidth="1"/>
    <col min="16153" max="16153" width="26.28515625" style="514" customWidth="1"/>
    <col min="16154" max="16154" width="49" style="514" customWidth="1"/>
    <col min="16155" max="16155" width="24.28515625" style="514" customWidth="1"/>
    <col min="16156" max="16156" width="22.28515625" style="514" customWidth="1"/>
    <col min="16157" max="16157" width="14.85546875" style="514" customWidth="1"/>
    <col min="16158" max="16158" width="26.5703125" style="514" customWidth="1"/>
    <col min="16159" max="16159" width="64.28515625" style="514" customWidth="1"/>
    <col min="16160" max="16160" width="13" style="514" customWidth="1"/>
    <col min="16161" max="16161" width="11.5703125" style="514"/>
    <col min="16162" max="16162" width="65.140625" style="514" customWidth="1"/>
    <col min="16163" max="16163" width="17.5703125" style="514" customWidth="1"/>
    <col min="16164" max="16164" width="13.5703125" style="514" customWidth="1"/>
    <col min="16165" max="16165" width="11.5703125" style="514"/>
    <col min="16166" max="16166" width="53.42578125" style="514" customWidth="1"/>
    <col min="16167" max="16167" width="16.7109375" style="514" customWidth="1"/>
    <col min="16168" max="16168" width="14.28515625" style="514" customWidth="1"/>
    <col min="16169" max="16169" width="11.5703125" style="514"/>
    <col min="16170" max="16170" width="82.85546875" style="514" customWidth="1"/>
    <col min="16171" max="16171" width="24.85546875" style="514" customWidth="1"/>
    <col min="16172" max="16172" width="13" style="514" customWidth="1"/>
    <col min="16173" max="16173" width="11.5703125" style="514"/>
    <col min="16174" max="16174" width="55.42578125" style="514" customWidth="1"/>
    <col min="16175" max="16175" width="29.140625" style="514" customWidth="1"/>
    <col min="16176" max="16384" width="11.5703125" style="514"/>
  </cols>
  <sheetData>
    <row r="1" spans="1:47" ht="12.75" customHeight="1" thickBot="1">
      <c r="A1" s="1536"/>
      <c r="B1" s="1536"/>
      <c r="C1" s="1536"/>
      <c r="D1" s="1536"/>
      <c r="E1" s="1536"/>
      <c r="F1" s="1537" t="s">
        <v>1262</v>
      </c>
      <c r="G1" s="1537"/>
      <c r="H1" s="1537"/>
      <c r="I1" s="1537"/>
      <c r="J1" s="1537"/>
      <c r="K1" s="1537"/>
      <c r="L1" s="1537"/>
      <c r="M1" s="1537"/>
      <c r="N1" s="1537"/>
      <c r="O1" s="1537"/>
      <c r="P1" s="1537"/>
      <c r="Q1" s="1537"/>
      <c r="R1" s="1537"/>
      <c r="S1" s="1537"/>
      <c r="T1" s="1537"/>
      <c r="U1" s="1537"/>
      <c r="V1" s="1537"/>
      <c r="W1" s="1537"/>
      <c r="X1" s="1537"/>
      <c r="Y1" s="1537"/>
      <c r="Z1" s="1537"/>
      <c r="AA1" s="1537"/>
      <c r="AB1" s="1537"/>
      <c r="AC1" s="1537"/>
      <c r="AD1" s="809"/>
      <c r="AE1" s="809"/>
    </row>
    <row r="2" spans="1:47" ht="12.75" customHeight="1" thickBot="1">
      <c r="A2" s="1536"/>
      <c r="B2" s="1536"/>
      <c r="C2" s="1536"/>
      <c r="D2" s="1536"/>
      <c r="E2" s="1536"/>
      <c r="F2" s="1537" t="s">
        <v>1261</v>
      </c>
      <c r="G2" s="1537"/>
      <c r="H2" s="1537"/>
      <c r="I2" s="1537"/>
      <c r="J2" s="1537"/>
      <c r="K2" s="1537"/>
      <c r="L2" s="1537"/>
      <c r="M2" s="1537"/>
      <c r="N2" s="1537"/>
      <c r="O2" s="1537"/>
      <c r="P2" s="1537"/>
      <c r="Q2" s="1537"/>
      <c r="R2" s="1537"/>
      <c r="S2" s="1537"/>
      <c r="T2" s="1537"/>
      <c r="U2" s="1537"/>
      <c r="V2" s="1537"/>
      <c r="W2" s="1537"/>
      <c r="X2" s="1537"/>
      <c r="Y2" s="1537"/>
      <c r="Z2" s="1537"/>
      <c r="AA2" s="1537"/>
      <c r="AB2" s="1537"/>
      <c r="AC2" s="1537"/>
      <c r="AD2" s="809"/>
      <c r="AE2" s="809"/>
    </row>
    <row r="3" spans="1:47" ht="15.6" customHeight="1">
      <c r="A3" s="1536"/>
      <c r="B3" s="1536"/>
      <c r="C3" s="1536"/>
      <c r="D3" s="1536"/>
      <c r="E3" s="1536"/>
      <c r="F3" s="1538" t="s">
        <v>2023</v>
      </c>
      <c r="G3" s="1538"/>
      <c r="H3" s="1538"/>
      <c r="I3" s="1538"/>
      <c r="J3" s="1538"/>
      <c r="K3" s="1538"/>
      <c r="L3" s="1538"/>
      <c r="M3" s="1538"/>
      <c r="N3" s="1538"/>
      <c r="O3" s="1538"/>
      <c r="P3" s="1538"/>
      <c r="Q3" s="1538"/>
      <c r="R3" s="1538"/>
      <c r="S3" s="1538"/>
      <c r="T3" s="1538"/>
      <c r="U3" s="1538"/>
      <c r="V3" s="1538"/>
      <c r="W3" s="1538"/>
      <c r="X3" s="1538"/>
      <c r="Y3" s="1538"/>
      <c r="Z3" s="1538"/>
      <c r="AA3" s="1538"/>
      <c r="AB3" s="1538"/>
      <c r="AC3" s="1538"/>
      <c r="AD3" s="810"/>
      <c r="AE3" s="810"/>
    </row>
    <row r="4" spans="1:47" ht="41.1" customHeight="1">
      <c r="A4" s="1539" t="s">
        <v>1260</v>
      </c>
      <c r="B4" s="1539"/>
      <c r="C4" s="1539"/>
      <c r="D4" s="1539"/>
      <c r="E4" s="1539"/>
      <c r="F4" s="1540" t="s">
        <v>2024</v>
      </c>
      <c r="G4" s="1540"/>
      <c r="H4" s="1540"/>
      <c r="I4" s="1540"/>
      <c r="J4" s="1540"/>
      <c r="K4" s="1540"/>
      <c r="L4" s="1540"/>
      <c r="M4" s="1540"/>
      <c r="N4" s="1540"/>
      <c r="O4" s="1540"/>
      <c r="P4" s="1540"/>
      <c r="Q4" s="1540"/>
      <c r="R4" s="1540"/>
      <c r="S4" s="1540"/>
      <c r="T4" s="1540"/>
      <c r="U4" s="1540"/>
      <c r="V4" s="1540"/>
      <c r="W4" s="1540"/>
      <c r="X4" s="1540"/>
      <c r="Y4" s="1540"/>
      <c r="Z4" s="1540"/>
      <c r="AA4" s="1540"/>
      <c r="AB4" s="1540"/>
      <c r="AC4" s="1540"/>
      <c r="AD4" s="1024"/>
      <c r="AE4" s="1024"/>
    </row>
    <row r="5" spans="1:47" ht="15.6" customHeight="1">
      <c r="A5" s="1539" t="s">
        <v>598</v>
      </c>
      <c r="B5" s="1539"/>
      <c r="C5" s="1539"/>
      <c r="D5" s="1539"/>
      <c r="E5" s="1539"/>
      <c r="F5" s="1543" t="s">
        <v>2025</v>
      </c>
      <c r="G5" s="1543"/>
      <c r="H5" s="1543"/>
      <c r="I5" s="1543"/>
      <c r="J5" s="1543"/>
      <c r="K5" s="1543"/>
      <c r="L5" s="1543"/>
      <c r="M5" s="1543"/>
      <c r="N5" s="1543"/>
      <c r="O5" s="1543"/>
      <c r="P5" s="1543"/>
      <c r="Q5" s="1543"/>
      <c r="R5" s="1543"/>
      <c r="S5" s="1543"/>
      <c r="T5" s="1543"/>
      <c r="U5" s="1543"/>
      <c r="V5" s="1543"/>
      <c r="W5" s="1543"/>
      <c r="X5" s="1543"/>
      <c r="Y5" s="1543"/>
      <c r="Z5" s="1543"/>
      <c r="AA5" s="1543"/>
      <c r="AB5" s="1543"/>
      <c r="AC5" s="1543"/>
      <c r="AD5" s="1025"/>
      <c r="AE5" s="1025"/>
    </row>
    <row r="6" spans="1:47" ht="15.6" customHeight="1">
      <c r="A6" s="1544" t="s">
        <v>1639</v>
      </c>
      <c r="B6" s="1544"/>
      <c r="C6" s="1544"/>
      <c r="D6" s="1544"/>
      <c r="E6" s="1544"/>
      <c r="F6" s="1545">
        <v>42067</v>
      </c>
      <c r="G6" s="1545"/>
      <c r="H6" s="1545"/>
      <c r="I6" s="1545"/>
      <c r="J6" s="1545"/>
      <c r="K6" s="1545"/>
      <c r="L6" s="1545"/>
      <c r="M6" s="1545"/>
      <c r="N6" s="1545"/>
      <c r="O6" s="1545"/>
      <c r="P6" s="1545"/>
      <c r="Q6" s="1545"/>
      <c r="R6" s="1545"/>
      <c r="S6" s="1545"/>
      <c r="T6" s="1545"/>
      <c r="U6" s="1545"/>
      <c r="V6" s="1545"/>
      <c r="W6" s="1545"/>
      <c r="X6" s="1545"/>
      <c r="Y6" s="1545"/>
      <c r="Z6" s="1545"/>
      <c r="AA6" s="1545"/>
      <c r="AB6" s="1545"/>
      <c r="AC6" s="1545"/>
      <c r="AD6" s="1025"/>
      <c r="AE6" s="1025"/>
    </row>
    <row r="7" spans="1:47" ht="15.6" customHeight="1" thickBot="1">
      <c r="A7" s="1546" t="s">
        <v>1257</v>
      </c>
      <c r="B7" s="1546"/>
      <c r="C7" s="1546"/>
      <c r="D7" s="1546"/>
      <c r="E7" s="1546"/>
      <c r="F7" s="1547" t="s">
        <v>2026</v>
      </c>
      <c r="G7" s="1547"/>
      <c r="H7" s="1547"/>
      <c r="I7" s="1547"/>
      <c r="J7" s="1547"/>
      <c r="K7" s="1547"/>
      <c r="L7" s="1547"/>
      <c r="M7" s="1547"/>
      <c r="N7" s="1547"/>
      <c r="O7" s="1547"/>
      <c r="P7" s="1547"/>
      <c r="Q7" s="1547"/>
      <c r="R7" s="1547"/>
      <c r="S7" s="1547"/>
      <c r="T7" s="1547"/>
      <c r="U7" s="1547"/>
      <c r="V7" s="1547"/>
      <c r="W7" s="1547"/>
      <c r="X7" s="1547"/>
      <c r="Y7" s="1547"/>
      <c r="Z7" s="1547"/>
      <c r="AA7" s="1547"/>
      <c r="AB7" s="1547"/>
      <c r="AC7" s="1547"/>
      <c r="AD7" s="1026"/>
      <c r="AE7" s="1026"/>
    </row>
    <row r="8" spans="1:47" ht="15.6" customHeight="1" thickBot="1">
      <c r="A8" s="1548" t="s">
        <v>1255</v>
      </c>
      <c r="B8" s="1548" t="s">
        <v>1641</v>
      </c>
      <c r="C8" s="1549" t="s">
        <v>256</v>
      </c>
      <c r="D8" s="1550" t="s">
        <v>1279</v>
      </c>
      <c r="E8" s="1541" t="s">
        <v>1253</v>
      </c>
      <c r="F8" s="1542" t="s">
        <v>1252</v>
      </c>
      <c r="G8" s="1541" t="s">
        <v>1251</v>
      </c>
      <c r="H8" s="1541" t="s">
        <v>1250</v>
      </c>
      <c r="I8" s="1541" t="s">
        <v>1249</v>
      </c>
      <c r="J8" s="1541"/>
      <c r="K8" s="1541"/>
      <c r="L8" s="1541"/>
      <c r="M8" s="1541"/>
      <c r="N8" s="1541"/>
      <c r="O8" s="1541"/>
      <c r="P8" s="1541"/>
      <c r="Q8" s="1541"/>
      <c r="R8" s="1541"/>
      <c r="S8" s="1541"/>
      <c r="T8" s="1541"/>
      <c r="U8" s="1541"/>
      <c r="V8" s="1541"/>
      <c r="W8" s="1541"/>
      <c r="X8" s="1541"/>
      <c r="Y8" s="1535" t="s">
        <v>544</v>
      </c>
      <c r="Z8" s="1535"/>
      <c r="AA8" s="1535"/>
      <c r="AB8" s="1535"/>
      <c r="AC8" s="1535"/>
      <c r="AD8" s="1535"/>
      <c r="AE8" s="1535"/>
      <c r="AF8" s="814"/>
      <c r="AG8" s="814"/>
      <c r="AH8" s="814"/>
      <c r="AI8" s="814"/>
      <c r="AJ8" s="814"/>
      <c r="AK8" s="814"/>
      <c r="AL8" s="814"/>
      <c r="AM8" s="814"/>
      <c r="AN8" s="814"/>
      <c r="AO8" s="814"/>
      <c r="AP8" s="814"/>
      <c r="AQ8" s="814"/>
      <c r="AR8" s="814"/>
      <c r="AS8" s="814"/>
      <c r="AT8" s="814"/>
      <c r="AU8" s="814"/>
    </row>
    <row r="9" spans="1:47" ht="53.65" customHeight="1" thickBot="1">
      <c r="A9" s="1548"/>
      <c r="B9" s="1548"/>
      <c r="C9" s="1549"/>
      <c r="D9" s="1550"/>
      <c r="E9" s="1541"/>
      <c r="F9" s="1542"/>
      <c r="G9" s="1541"/>
      <c r="H9" s="1541"/>
      <c r="I9" s="1541" t="s">
        <v>1267</v>
      </c>
      <c r="J9" s="1541"/>
      <c r="K9" s="1541"/>
      <c r="L9" s="1541" t="s">
        <v>1268</v>
      </c>
      <c r="M9" s="1541"/>
      <c r="N9" s="1541"/>
      <c r="O9" s="1541" t="s">
        <v>1269</v>
      </c>
      <c r="P9" s="1541"/>
      <c r="Q9" s="1541"/>
      <c r="R9" s="1541" t="s">
        <v>1270</v>
      </c>
      <c r="S9" s="1541"/>
      <c r="T9" s="1541"/>
      <c r="U9" s="1541" t="s">
        <v>1238</v>
      </c>
      <c r="V9" s="1541"/>
      <c r="W9" s="1541"/>
      <c r="X9" s="1027" t="s">
        <v>1642</v>
      </c>
      <c r="Y9" s="1541" t="s">
        <v>1237</v>
      </c>
      <c r="Z9" s="1541" t="s">
        <v>2027</v>
      </c>
      <c r="AA9" s="1541" t="s">
        <v>1236</v>
      </c>
      <c r="AB9" s="1541"/>
      <c r="AC9" s="1563" t="s">
        <v>2028</v>
      </c>
      <c r="AD9" s="1563" t="s">
        <v>2029</v>
      </c>
      <c r="AE9" s="1563" t="s">
        <v>1644</v>
      </c>
      <c r="AF9" s="814"/>
      <c r="AG9" s="814"/>
      <c r="AH9" s="814"/>
      <c r="AI9" s="814"/>
      <c r="AJ9" s="814"/>
      <c r="AK9" s="814"/>
      <c r="AL9" s="814"/>
      <c r="AM9" s="814"/>
      <c r="AN9" s="814"/>
      <c r="AO9" s="814"/>
      <c r="AP9" s="814"/>
      <c r="AQ9" s="814"/>
      <c r="AR9" s="814"/>
      <c r="AS9" s="814"/>
      <c r="AT9" s="814"/>
      <c r="AU9" s="814"/>
    </row>
    <row r="10" spans="1:47" ht="29.85" customHeight="1" thickTop="1" thickBot="1">
      <c r="A10" s="1548"/>
      <c r="B10" s="1548"/>
      <c r="C10" s="1549"/>
      <c r="D10" s="1550"/>
      <c r="E10" s="1541"/>
      <c r="F10" s="1542"/>
      <c r="G10" s="1541"/>
      <c r="H10" s="1541"/>
      <c r="I10" s="1541" t="s">
        <v>1232</v>
      </c>
      <c r="J10" s="1541" t="s">
        <v>1272</v>
      </c>
      <c r="K10" s="1541" t="s">
        <v>1273</v>
      </c>
      <c r="L10" s="1541" t="s">
        <v>1232</v>
      </c>
      <c r="M10" s="1541" t="s">
        <v>1272</v>
      </c>
      <c r="N10" s="1541" t="s">
        <v>1273</v>
      </c>
      <c r="O10" s="1541" t="s">
        <v>1232</v>
      </c>
      <c r="P10" s="1541" t="s">
        <v>1272</v>
      </c>
      <c r="Q10" s="1541" t="s">
        <v>1273</v>
      </c>
      <c r="R10" s="1541" t="s">
        <v>1232</v>
      </c>
      <c r="S10" s="1541" t="s">
        <v>1272</v>
      </c>
      <c r="T10" s="1541" t="s">
        <v>1273</v>
      </c>
      <c r="U10" s="1541" t="s">
        <v>1232</v>
      </c>
      <c r="V10" s="1541" t="s">
        <v>1272</v>
      </c>
      <c r="W10" s="1541" t="s">
        <v>1273</v>
      </c>
      <c r="X10" s="1558">
        <f>SUM(X12:X60)</f>
        <v>0.92030789566518967</v>
      </c>
      <c r="Y10" s="1541"/>
      <c r="Z10" s="1541"/>
      <c r="AA10" s="1553" t="s">
        <v>2030</v>
      </c>
      <c r="AB10" s="1553" t="s">
        <v>2031</v>
      </c>
      <c r="AC10" s="1563"/>
      <c r="AD10" s="1563"/>
      <c r="AE10" s="1563"/>
      <c r="AF10" s="1554" t="s">
        <v>1274</v>
      </c>
      <c r="AG10" s="1554" t="s">
        <v>1274</v>
      </c>
      <c r="AH10" s="1554" t="s">
        <v>1274</v>
      </c>
      <c r="AI10" s="1554" t="s">
        <v>1274</v>
      </c>
      <c r="AJ10" s="1555" t="s">
        <v>1275</v>
      </c>
      <c r="AK10" s="1555" t="s">
        <v>1274</v>
      </c>
      <c r="AL10" s="1555" t="s">
        <v>1274</v>
      </c>
      <c r="AM10" s="1555" t="s">
        <v>1274</v>
      </c>
      <c r="AN10" s="1555" t="s">
        <v>1276</v>
      </c>
      <c r="AO10" s="1555" t="s">
        <v>1276</v>
      </c>
      <c r="AP10" s="1555" t="s">
        <v>1276</v>
      </c>
      <c r="AQ10" s="1555" t="s">
        <v>1276</v>
      </c>
      <c r="AR10" s="1555" t="s">
        <v>1277</v>
      </c>
      <c r="AS10" s="1555" t="s">
        <v>1276</v>
      </c>
      <c r="AT10" s="1555" t="s">
        <v>1276</v>
      </c>
      <c r="AU10" s="1555" t="s">
        <v>1276</v>
      </c>
    </row>
    <row r="11" spans="1:47" ht="42.75" customHeight="1" thickTop="1" thickBot="1">
      <c r="A11" s="1548"/>
      <c r="B11" s="1548"/>
      <c r="C11" s="1028" t="s">
        <v>1645</v>
      </c>
      <c r="D11" s="1550"/>
      <c r="E11" s="1541"/>
      <c r="F11" s="1542"/>
      <c r="G11" s="1541"/>
      <c r="H11" s="1541"/>
      <c r="I11" s="1541"/>
      <c r="J11" s="1541"/>
      <c r="K11" s="1541"/>
      <c r="L11" s="1541"/>
      <c r="M11" s="1541"/>
      <c r="N11" s="1541"/>
      <c r="O11" s="1541"/>
      <c r="P11" s="1541"/>
      <c r="Q11" s="1541"/>
      <c r="R11" s="1541"/>
      <c r="S11" s="1541"/>
      <c r="T11" s="1541"/>
      <c r="U11" s="1541"/>
      <c r="V11" s="1541"/>
      <c r="W11" s="1541"/>
      <c r="X11" s="1558"/>
      <c r="Y11" s="1541"/>
      <c r="Z11" s="1541"/>
      <c r="AA11" s="1553"/>
      <c r="AB11" s="1553"/>
      <c r="AC11" s="1563"/>
      <c r="AD11" s="1563"/>
      <c r="AE11" s="1563"/>
      <c r="AF11" s="1029" t="s">
        <v>1280</v>
      </c>
      <c r="AG11" s="1030" t="s">
        <v>1281</v>
      </c>
      <c r="AH11" s="1030" t="s">
        <v>1282</v>
      </c>
      <c r="AI11" s="1031" t="s">
        <v>1283</v>
      </c>
      <c r="AJ11" s="1032" t="s">
        <v>1280</v>
      </c>
      <c r="AK11" s="1032" t="s">
        <v>1281</v>
      </c>
      <c r="AL11" s="1032" t="s">
        <v>1282</v>
      </c>
      <c r="AM11" s="1032" t="s">
        <v>1283</v>
      </c>
      <c r="AN11" s="1032" t="s">
        <v>1280</v>
      </c>
      <c r="AO11" s="1032" t="s">
        <v>1281</v>
      </c>
      <c r="AP11" s="1032" t="s">
        <v>1282</v>
      </c>
      <c r="AQ11" s="1032" t="s">
        <v>1283</v>
      </c>
      <c r="AR11" s="1032" t="s">
        <v>1280</v>
      </c>
      <c r="AS11" s="1032" t="s">
        <v>1281</v>
      </c>
      <c r="AT11" s="1032" t="s">
        <v>1282</v>
      </c>
      <c r="AU11" s="1032" t="s">
        <v>1283</v>
      </c>
    </row>
    <row r="12" spans="1:47" ht="129.19999999999999" customHeight="1" thickTop="1" thickBot="1">
      <c r="A12" s="1556" t="s">
        <v>1646</v>
      </c>
      <c r="B12" s="1557"/>
      <c r="C12" s="1557" t="s">
        <v>1284</v>
      </c>
      <c r="D12" s="1034">
        <v>8</v>
      </c>
      <c r="E12" s="1035" t="s">
        <v>2032</v>
      </c>
      <c r="F12" s="1036">
        <v>0.03</v>
      </c>
      <c r="G12" s="1037" t="s">
        <v>1286</v>
      </c>
      <c r="H12" s="1038" t="s">
        <v>532</v>
      </c>
      <c r="I12" s="1039">
        <v>0</v>
      </c>
      <c r="J12" s="1040">
        <f>AG12</f>
        <v>0</v>
      </c>
      <c r="K12" s="1041" t="str">
        <f>IF(ISERROR(J12/I12),"",(J12/I12))</f>
        <v/>
      </c>
      <c r="L12" s="1042">
        <v>1</v>
      </c>
      <c r="M12" s="1043">
        <f>AK12</f>
        <v>0</v>
      </c>
      <c r="N12" s="1044">
        <f>IF(ISERROR(M12/L12),"",(M12/L12))</f>
        <v>0</v>
      </c>
      <c r="O12" s="1039">
        <v>0</v>
      </c>
      <c r="P12" s="1040">
        <f>AO12</f>
        <v>1</v>
      </c>
      <c r="Q12" s="1041" t="str">
        <f>IF(ISERROR(P12/O12),"",(P12/O12))</f>
        <v/>
      </c>
      <c r="R12" s="1042">
        <v>1</v>
      </c>
      <c r="S12" s="1043">
        <f>AS12</f>
        <v>2</v>
      </c>
      <c r="T12" s="1044">
        <f>IF(ISERROR(S12/R12),"",(S12/R12))</f>
        <v>2</v>
      </c>
      <c r="U12" s="1045">
        <f t="shared" ref="U12:V14" si="0">SUM(I12,L12,O12,R12)</f>
        <v>2</v>
      </c>
      <c r="V12" s="1046">
        <f t="shared" si="0"/>
        <v>3</v>
      </c>
      <c r="W12" s="1047">
        <f>IF((IF(ISERROR(V12/U12),0,(V12/U12)))&gt;1,1,(IF(ISERROR(V12/U12),0,(V12/U12))))</f>
        <v>1</v>
      </c>
      <c r="X12" s="1047">
        <f>F12*W12</f>
        <v>0.03</v>
      </c>
      <c r="Y12" s="1279" t="s">
        <v>1648</v>
      </c>
      <c r="Z12" s="1279" t="s">
        <v>2033</v>
      </c>
      <c r="AA12" s="1048" t="s">
        <v>1649</v>
      </c>
      <c r="AB12" s="1049" t="s">
        <v>1289</v>
      </c>
      <c r="AC12" s="1050" t="s">
        <v>542</v>
      </c>
      <c r="AD12" s="1051" t="s">
        <v>2034</v>
      </c>
      <c r="AE12" s="1050"/>
      <c r="AF12" s="1052">
        <f t="shared" ref="AF12:AF60" si="1">I12</f>
        <v>0</v>
      </c>
      <c r="AG12" s="1052">
        <v>0</v>
      </c>
      <c r="AH12" s="1053" t="s">
        <v>2035</v>
      </c>
      <c r="AI12" s="1053" t="s">
        <v>2035</v>
      </c>
      <c r="AJ12" s="993">
        <f t="shared" ref="AJ12:AJ60" si="2">L12</f>
        <v>1</v>
      </c>
      <c r="AK12" s="993">
        <v>0</v>
      </c>
      <c r="AL12" s="1054" t="s">
        <v>2036</v>
      </c>
      <c r="AM12" s="1055"/>
      <c r="AN12" s="1052">
        <f t="shared" ref="AN12:AN60" si="3">O12</f>
        <v>0</v>
      </c>
      <c r="AO12" s="1056">
        <v>1</v>
      </c>
      <c r="AP12" s="1057" t="s">
        <v>2037</v>
      </c>
      <c r="AQ12" s="1057" t="s">
        <v>2038</v>
      </c>
      <c r="AR12" s="993">
        <f t="shared" ref="AR12:AR60" si="4">R12</f>
        <v>1</v>
      </c>
      <c r="AS12" s="1280">
        <v>2</v>
      </c>
      <c r="AT12" s="1281" t="s">
        <v>2382</v>
      </c>
      <c r="AU12" s="1281" t="s">
        <v>2383</v>
      </c>
    </row>
    <row r="13" spans="1:47" ht="169.7" customHeight="1" thickTop="1" thickBot="1">
      <c r="A13" s="1556"/>
      <c r="B13" s="1557"/>
      <c r="C13" s="1557"/>
      <c r="D13" s="1058">
        <v>9</v>
      </c>
      <c r="E13" s="1059" t="s">
        <v>2039</v>
      </c>
      <c r="F13" s="1036">
        <v>0.02</v>
      </c>
      <c r="G13" s="1060" t="s">
        <v>1286</v>
      </c>
      <c r="H13" s="1061" t="s">
        <v>532</v>
      </c>
      <c r="I13" s="1062">
        <v>1</v>
      </c>
      <c r="J13" s="1040">
        <f>AG13</f>
        <v>1</v>
      </c>
      <c r="K13" s="1041">
        <f>IF(ISERROR(J13/I13),"",(J13/I13))</f>
        <v>1</v>
      </c>
      <c r="L13" s="1063">
        <v>0</v>
      </c>
      <c r="M13" s="1043">
        <f>AK13</f>
        <v>0</v>
      </c>
      <c r="N13" s="1044" t="str">
        <f>IF(ISERROR(M13/L13),"",(M13/L13))</f>
        <v/>
      </c>
      <c r="O13" s="1062">
        <v>0</v>
      </c>
      <c r="P13" s="1040">
        <f>AO13</f>
        <v>0</v>
      </c>
      <c r="Q13" s="1041" t="str">
        <f>IF(ISERROR(P13/O13),"",(P13/O13))</f>
        <v/>
      </c>
      <c r="R13" s="1063">
        <v>0</v>
      </c>
      <c r="S13" s="1043">
        <f>AS13</f>
        <v>0</v>
      </c>
      <c r="T13" s="1044" t="str">
        <f>IF(ISERROR(S13/R13),"",(S13/R13))</f>
        <v/>
      </c>
      <c r="U13" s="1045">
        <f t="shared" si="0"/>
        <v>1</v>
      </c>
      <c r="V13" s="1046">
        <f t="shared" si="0"/>
        <v>1</v>
      </c>
      <c r="W13" s="1047">
        <f>IF((IF(ISERROR(V13/U13),0,(V13/U13)))&gt;1,1,(IF(ISERROR(V13/U13),0,(V13/U13))))</f>
        <v>1</v>
      </c>
      <c r="X13" s="1047">
        <f>F13*W13</f>
        <v>0.02</v>
      </c>
      <c r="Y13" s="1282" t="s">
        <v>1655</v>
      </c>
      <c r="Z13" s="1282" t="s">
        <v>2040</v>
      </c>
      <c r="AA13" s="1064" t="s">
        <v>1656</v>
      </c>
      <c r="AB13" s="1064" t="s">
        <v>1657</v>
      </c>
      <c r="AC13" s="1065" t="s">
        <v>542</v>
      </c>
      <c r="AD13" s="1051" t="s">
        <v>2041</v>
      </c>
      <c r="AE13" s="1065"/>
      <c r="AF13" s="1052">
        <f t="shared" si="1"/>
        <v>1</v>
      </c>
      <c r="AG13" s="1052">
        <v>1</v>
      </c>
      <c r="AH13" s="1053" t="s">
        <v>2042</v>
      </c>
      <c r="AI13" s="1053" t="s">
        <v>2043</v>
      </c>
      <c r="AJ13" s="993">
        <f t="shared" si="2"/>
        <v>0</v>
      </c>
      <c r="AK13" s="993">
        <v>0</v>
      </c>
      <c r="AL13" s="1054" t="s">
        <v>2035</v>
      </c>
      <c r="AM13" s="1055" t="s">
        <v>2035</v>
      </c>
      <c r="AN13" s="1052">
        <f t="shared" si="3"/>
        <v>0</v>
      </c>
      <c r="AO13" s="1056"/>
      <c r="AP13" s="1057"/>
      <c r="AQ13" s="1057"/>
      <c r="AR13" s="993">
        <f t="shared" si="4"/>
        <v>0</v>
      </c>
      <c r="AS13" s="1283">
        <v>0</v>
      </c>
      <c r="AT13" s="1284" t="s">
        <v>2035</v>
      </c>
      <c r="AU13" s="1284" t="s">
        <v>2035</v>
      </c>
    </row>
    <row r="14" spans="1:47" ht="205.9" customHeight="1" thickTop="1" thickBot="1">
      <c r="A14" s="1556"/>
      <c r="B14" s="1557"/>
      <c r="C14" s="1557"/>
      <c r="D14" s="1066">
        <v>10</v>
      </c>
      <c r="E14" s="1067" t="s">
        <v>2044</v>
      </c>
      <c r="F14" s="1036">
        <v>0.02</v>
      </c>
      <c r="G14" s="1068" t="s">
        <v>1286</v>
      </c>
      <c r="H14" s="1069" t="s">
        <v>532</v>
      </c>
      <c r="I14" s="1070">
        <v>2</v>
      </c>
      <c r="J14" s="1040">
        <f>AG14</f>
        <v>2</v>
      </c>
      <c r="K14" s="1041">
        <f>IF(ISERROR(J14/I14),"",(J14/I14))</f>
        <v>1</v>
      </c>
      <c r="L14" s="1071">
        <v>0</v>
      </c>
      <c r="M14" s="1043">
        <f>AK14</f>
        <v>0</v>
      </c>
      <c r="N14" s="1044" t="str">
        <f>IF(ISERROR(M14/L14),"",(M14/L14))</f>
        <v/>
      </c>
      <c r="O14" s="1070">
        <v>2</v>
      </c>
      <c r="P14" s="1040">
        <f>AO14</f>
        <v>2</v>
      </c>
      <c r="Q14" s="1041">
        <f>IF(ISERROR(P14/O14),"",(P14/O14))</f>
        <v>1</v>
      </c>
      <c r="R14" s="1071">
        <v>2</v>
      </c>
      <c r="S14" s="1043">
        <f>AS14</f>
        <v>2</v>
      </c>
      <c r="T14" s="1044">
        <f>IF(ISERROR(S14/R14),"",(S14/R14))</f>
        <v>1</v>
      </c>
      <c r="U14" s="1045">
        <f t="shared" si="0"/>
        <v>6</v>
      </c>
      <c r="V14" s="1046">
        <f t="shared" si="0"/>
        <v>6</v>
      </c>
      <c r="W14" s="1047">
        <f>IF((IF(ISERROR(V14/U14),0,(V14/U14)))&gt;1,1,(IF(ISERROR(V14/U14),0,(V14/U14))))</f>
        <v>1</v>
      </c>
      <c r="X14" s="1047">
        <f>F14*W14</f>
        <v>0.02</v>
      </c>
      <c r="Y14" s="1072" t="s">
        <v>1661</v>
      </c>
      <c r="Z14" s="1072" t="s">
        <v>2045</v>
      </c>
      <c r="AA14" s="1073" t="s">
        <v>2046</v>
      </c>
      <c r="AB14" s="1073" t="s">
        <v>2047</v>
      </c>
      <c r="AC14" s="1074" t="s">
        <v>542</v>
      </c>
      <c r="AD14" s="1051" t="s">
        <v>2048</v>
      </c>
      <c r="AE14" s="1074"/>
      <c r="AF14" s="1052">
        <f t="shared" si="1"/>
        <v>2</v>
      </c>
      <c r="AG14" s="1052">
        <v>2</v>
      </c>
      <c r="AH14" s="1075" t="s">
        <v>2049</v>
      </c>
      <c r="AI14" s="1076" t="s">
        <v>2050</v>
      </c>
      <c r="AJ14" s="993">
        <f t="shared" si="2"/>
        <v>0</v>
      </c>
      <c r="AK14" s="993">
        <v>0</v>
      </c>
      <c r="AL14" s="1077" t="s">
        <v>2035</v>
      </c>
      <c r="AM14" s="1078" t="s">
        <v>2035</v>
      </c>
      <c r="AN14" s="1052">
        <f t="shared" si="3"/>
        <v>2</v>
      </c>
      <c r="AO14" s="1056">
        <v>2</v>
      </c>
      <c r="AP14" s="1079" t="s">
        <v>2051</v>
      </c>
      <c r="AQ14" s="1080" t="s">
        <v>2052</v>
      </c>
      <c r="AR14" s="993">
        <f t="shared" si="4"/>
        <v>2</v>
      </c>
      <c r="AS14" s="1283">
        <v>2</v>
      </c>
      <c r="AT14" s="1285" t="s">
        <v>2384</v>
      </c>
      <c r="AU14" s="1281" t="s">
        <v>2383</v>
      </c>
    </row>
    <row r="15" spans="1:47" ht="58.7" customHeight="1" thickBot="1">
      <c r="A15" s="1559"/>
      <c r="B15" s="1559"/>
      <c r="C15" s="1081" t="s">
        <v>1667</v>
      </c>
      <c r="D15" s="1560"/>
      <c r="E15" s="1560"/>
      <c r="F15" s="1560"/>
      <c r="G15" s="1560"/>
      <c r="H15" s="1560"/>
      <c r="I15" s="1560"/>
      <c r="J15" s="1560"/>
      <c r="K15" s="1560"/>
      <c r="L15" s="1560"/>
      <c r="M15" s="1560"/>
      <c r="N15" s="1560"/>
      <c r="O15" s="1560"/>
      <c r="P15" s="1560"/>
      <c r="Q15" s="1560"/>
      <c r="R15" s="1560"/>
      <c r="S15" s="1560"/>
      <c r="T15" s="1560"/>
      <c r="U15" s="1560"/>
      <c r="V15" s="1560"/>
      <c r="W15" s="1560"/>
      <c r="X15" s="1560"/>
      <c r="Y15" s="1560"/>
      <c r="Z15" s="1560"/>
      <c r="AA15" s="1560"/>
      <c r="AB15" s="1560"/>
      <c r="AC15" s="1560"/>
      <c r="AD15" s="1560"/>
      <c r="AE15" s="1560"/>
      <c r="AF15" s="1560">
        <f t="shared" si="1"/>
        <v>0</v>
      </c>
      <c r="AG15" s="1560"/>
      <c r="AH15" s="1560"/>
      <c r="AI15" s="1560"/>
      <c r="AJ15" s="1560">
        <f t="shared" si="2"/>
        <v>0</v>
      </c>
      <c r="AK15" s="1560"/>
      <c r="AL15" s="1560"/>
      <c r="AM15" s="1560"/>
      <c r="AN15" s="1560">
        <f t="shared" si="3"/>
        <v>0</v>
      </c>
      <c r="AO15" s="1560"/>
      <c r="AP15" s="1560"/>
      <c r="AQ15" s="1560"/>
      <c r="AR15" s="1560">
        <f t="shared" si="4"/>
        <v>0</v>
      </c>
      <c r="AS15" s="1560"/>
      <c r="AT15" s="1560"/>
      <c r="AU15" s="1560"/>
    </row>
    <row r="16" spans="1:47" ht="159" customHeight="1" thickTop="1" thickBot="1">
      <c r="A16" s="1527" t="s">
        <v>1646</v>
      </c>
      <c r="B16" s="1561"/>
      <c r="C16" s="1562" t="s">
        <v>1310</v>
      </c>
      <c r="D16" s="1034">
        <v>1</v>
      </c>
      <c r="E16" s="1082" t="s">
        <v>2053</v>
      </c>
      <c r="F16" s="1083">
        <v>0.02</v>
      </c>
      <c r="G16" s="1037" t="s">
        <v>537</v>
      </c>
      <c r="H16" s="1038" t="s">
        <v>531</v>
      </c>
      <c r="I16" s="1084">
        <v>1</v>
      </c>
      <c r="J16" s="1085">
        <f t="shared" ref="J16:J22" si="5">AG16</f>
        <v>1</v>
      </c>
      <c r="K16" s="1041">
        <f t="shared" ref="K16:K22" si="6">IF(ISERROR(J16/I16),"",(J16/I16))</f>
        <v>1</v>
      </c>
      <c r="L16" s="1086">
        <v>1</v>
      </c>
      <c r="M16" s="1087">
        <f t="shared" ref="M16:M22" si="7">AK16</f>
        <v>1</v>
      </c>
      <c r="N16" s="1044">
        <f t="shared" ref="N16:N22" si="8">IF(ISERROR(M16/L16),"",(M16/L16))</f>
        <v>1</v>
      </c>
      <c r="O16" s="1084">
        <v>1</v>
      </c>
      <c r="P16" s="1085">
        <f t="shared" ref="P16:P22" si="9">AO16</f>
        <v>1</v>
      </c>
      <c r="Q16" s="1041">
        <f t="shared" ref="Q16:Q22" si="10">IF(ISERROR(P16/O16),"",(P16/O16))</f>
        <v>1</v>
      </c>
      <c r="R16" s="1086">
        <v>1</v>
      </c>
      <c r="S16" s="1087">
        <f t="shared" ref="S16:S22" si="11">AS16</f>
        <v>1</v>
      </c>
      <c r="T16" s="1044">
        <f t="shared" ref="T16:T22" si="12">IF(ISERROR(S16/R16),"",(S16/R16))</f>
        <v>1</v>
      </c>
      <c r="U16" s="1088">
        <f>SUM(I16,L16,O16,R16)/4</f>
        <v>1</v>
      </c>
      <c r="V16" s="1088">
        <f>SUM(J16,M16,P16,S16)/4</f>
        <v>1</v>
      </c>
      <c r="W16" s="1047">
        <f t="shared" ref="W16:W22" si="13">IF((IF(ISERROR(V16/U16),0,(V16/U16)))&gt;1,1,(IF(ISERROR(V16/U16),0,(V16/U16))))</f>
        <v>1</v>
      </c>
      <c r="X16" s="1047">
        <f t="shared" ref="X16:X22" si="14">F16*W16</f>
        <v>0.02</v>
      </c>
      <c r="Y16" s="1089" t="s">
        <v>2054</v>
      </c>
      <c r="Z16" s="1089" t="s">
        <v>2055</v>
      </c>
      <c r="AA16" s="1090" t="s">
        <v>2056</v>
      </c>
      <c r="AB16" s="1090" t="s">
        <v>2057</v>
      </c>
      <c r="AC16" s="1091" t="s">
        <v>542</v>
      </c>
      <c r="AD16" s="1092" t="s">
        <v>1680</v>
      </c>
      <c r="AE16" s="1092"/>
      <c r="AF16" s="1093">
        <f t="shared" si="1"/>
        <v>1</v>
      </c>
      <c r="AG16" s="1094">
        <f>3/3</f>
        <v>1</v>
      </c>
      <c r="AH16" s="1095" t="s">
        <v>2058</v>
      </c>
      <c r="AI16" s="1095" t="s">
        <v>2059</v>
      </c>
      <c r="AJ16" s="1096">
        <f t="shared" si="2"/>
        <v>1</v>
      </c>
      <c r="AK16" s="1096">
        <f>5/5</f>
        <v>1</v>
      </c>
      <c r="AL16" s="1097" t="s">
        <v>2060</v>
      </c>
      <c r="AM16" s="1098" t="s">
        <v>2059</v>
      </c>
      <c r="AN16" s="1093">
        <f t="shared" si="3"/>
        <v>1</v>
      </c>
      <c r="AO16" s="1099">
        <f>5/5</f>
        <v>1</v>
      </c>
      <c r="AP16" s="1100" t="s">
        <v>2061</v>
      </c>
      <c r="AQ16" s="1100" t="s">
        <v>2062</v>
      </c>
      <c r="AR16" s="1096">
        <f t="shared" si="4"/>
        <v>1</v>
      </c>
      <c r="AS16" s="1286">
        <f>3/3</f>
        <v>1</v>
      </c>
      <c r="AT16" s="1287" t="s">
        <v>2385</v>
      </c>
      <c r="AU16" s="1287" t="s">
        <v>2062</v>
      </c>
    </row>
    <row r="17" spans="1:47" ht="138.4" customHeight="1" thickTop="1" thickBot="1">
      <c r="A17" s="1527"/>
      <c r="B17" s="1527"/>
      <c r="C17" s="1562"/>
      <c r="D17" s="1034">
        <v>2</v>
      </c>
      <c r="E17" s="1101" t="s">
        <v>2063</v>
      </c>
      <c r="F17" s="1083">
        <v>0.03</v>
      </c>
      <c r="G17" s="1060" t="s">
        <v>537</v>
      </c>
      <c r="H17" s="1061" t="s">
        <v>529</v>
      </c>
      <c r="I17" s="1102">
        <v>0.25</v>
      </c>
      <c r="J17" s="1103">
        <f t="shared" si="5"/>
        <v>0.39002914709962755</v>
      </c>
      <c r="K17" s="1041">
        <f t="shared" si="6"/>
        <v>1.5601165883985102</v>
      </c>
      <c r="L17" s="1104">
        <v>0.5</v>
      </c>
      <c r="M17" s="1105">
        <f t="shared" si="7"/>
        <v>0.38843923922187712</v>
      </c>
      <c r="N17" s="1044">
        <f t="shared" si="8"/>
        <v>0.77687847844375424</v>
      </c>
      <c r="O17" s="1102">
        <v>0.7</v>
      </c>
      <c r="P17" s="1103">
        <f t="shared" si="9"/>
        <v>0.758871337216243</v>
      </c>
      <c r="Q17" s="1041">
        <f t="shared" si="10"/>
        <v>1.0841019103089187</v>
      </c>
      <c r="R17" s="1106">
        <v>0.97</v>
      </c>
      <c r="S17" s="1105">
        <f t="shared" si="11"/>
        <v>0.87744874217232605</v>
      </c>
      <c r="T17" s="1044">
        <f t="shared" si="12"/>
        <v>0.90458633213641859</v>
      </c>
      <c r="U17" s="1107">
        <f t="shared" ref="U17:V19" si="15">R17</f>
        <v>0.97</v>
      </c>
      <c r="V17" s="1108">
        <f t="shared" si="15"/>
        <v>0.87744874217232605</v>
      </c>
      <c r="W17" s="1109">
        <f t="shared" si="13"/>
        <v>0.90458633213641859</v>
      </c>
      <c r="X17" s="1047">
        <f t="shared" si="14"/>
        <v>2.7137589964092556E-2</v>
      </c>
      <c r="Y17" s="1110" t="s">
        <v>2064</v>
      </c>
      <c r="Z17" s="1110" t="s">
        <v>2065</v>
      </c>
      <c r="AA17" s="1111" t="s">
        <v>2066</v>
      </c>
      <c r="AB17" s="1112" t="s">
        <v>2067</v>
      </c>
      <c r="AC17" s="1113" t="s">
        <v>542</v>
      </c>
      <c r="AD17" s="1065" t="s">
        <v>2068</v>
      </c>
      <c r="AE17" s="1114" t="s">
        <v>2069</v>
      </c>
      <c r="AF17" s="1094">
        <f t="shared" si="1"/>
        <v>0.25</v>
      </c>
      <c r="AG17" s="1094">
        <f>5798417069/14866625000</f>
        <v>0.39002914709962755</v>
      </c>
      <c r="AH17" s="1115" t="s">
        <v>2070</v>
      </c>
      <c r="AI17" s="1116" t="s">
        <v>1335</v>
      </c>
      <c r="AJ17" s="1117">
        <f t="shared" si="2"/>
        <v>0.5</v>
      </c>
      <c r="AK17" s="1117">
        <f>8151842198/20986145000</f>
        <v>0.38843923922187712</v>
      </c>
      <c r="AL17" s="1118" t="s">
        <v>2071</v>
      </c>
      <c r="AM17" s="1078" t="s">
        <v>1335</v>
      </c>
      <c r="AN17" s="1094">
        <f t="shared" si="3"/>
        <v>0.7</v>
      </c>
      <c r="AO17" s="1119">
        <f>16037395812/21133221174</f>
        <v>0.758871337216243</v>
      </c>
      <c r="AP17" s="1120" t="s">
        <v>2072</v>
      </c>
      <c r="AQ17" s="1121" t="s">
        <v>1335</v>
      </c>
      <c r="AR17" s="1096">
        <f t="shared" si="4"/>
        <v>0.97</v>
      </c>
      <c r="AS17" s="1286">
        <f>19466060027/22184840084</f>
        <v>0.87744874217232605</v>
      </c>
      <c r="AT17" s="1288" t="s">
        <v>2386</v>
      </c>
      <c r="AU17" s="1288" t="s">
        <v>1335</v>
      </c>
    </row>
    <row r="18" spans="1:47" ht="142.35" customHeight="1" thickTop="1" thickBot="1">
      <c r="A18" s="1527"/>
      <c r="B18" s="1527"/>
      <c r="C18" s="1562"/>
      <c r="D18" s="1034">
        <v>3</v>
      </c>
      <c r="E18" s="1101" t="s">
        <v>2073</v>
      </c>
      <c r="F18" s="1083">
        <v>0.03</v>
      </c>
      <c r="G18" s="1060" t="s">
        <v>537</v>
      </c>
      <c r="H18" s="1061" t="s">
        <v>529</v>
      </c>
      <c r="I18" s="1102">
        <v>0.01</v>
      </c>
      <c r="J18" s="1103">
        <f t="shared" si="5"/>
        <v>7.6787147049178946E-3</v>
      </c>
      <c r="K18" s="1041">
        <f t="shared" si="6"/>
        <v>0.76787147049178939</v>
      </c>
      <c r="L18" s="1106">
        <v>0.06</v>
      </c>
      <c r="M18" s="1105">
        <f t="shared" si="7"/>
        <v>5.1365865145790238E-2</v>
      </c>
      <c r="N18" s="1044">
        <f t="shared" si="8"/>
        <v>0.85609775242983732</v>
      </c>
      <c r="O18" s="1102">
        <v>0.16</v>
      </c>
      <c r="P18" s="1103">
        <f t="shared" si="9"/>
        <v>0.10823234613254515</v>
      </c>
      <c r="Q18" s="1041">
        <f t="shared" si="10"/>
        <v>0.67645216332840719</v>
      </c>
      <c r="R18" s="1106">
        <v>0.28999999999999998</v>
      </c>
      <c r="S18" s="1105">
        <f t="shared" si="11"/>
        <v>0.37487620859606824</v>
      </c>
      <c r="T18" s="1044">
        <f t="shared" si="12"/>
        <v>1.2926765813657526</v>
      </c>
      <c r="U18" s="1107">
        <f t="shared" si="15"/>
        <v>0.28999999999999998</v>
      </c>
      <c r="V18" s="1108">
        <f t="shared" si="15"/>
        <v>0.37487620859606824</v>
      </c>
      <c r="W18" s="1109">
        <f t="shared" si="13"/>
        <v>1</v>
      </c>
      <c r="X18" s="1047">
        <f t="shared" si="14"/>
        <v>0.03</v>
      </c>
      <c r="Y18" s="1110" t="s">
        <v>2074</v>
      </c>
      <c r="Z18" s="1110" t="s">
        <v>2075</v>
      </c>
      <c r="AA18" s="1112" t="s">
        <v>2076</v>
      </c>
      <c r="AB18" s="1112" t="s">
        <v>2077</v>
      </c>
      <c r="AC18" s="1113" t="s">
        <v>542</v>
      </c>
      <c r="AD18" s="1065" t="s">
        <v>2078</v>
      </c>
      <c r="AE18" s="1065" t="s">
        <v>2079</v>
      </c>
      <c r="AF18" s="1094">
        <f t="shared" si="1"/>
        <v>0.01</v>
      </c>
      <c r="AG18" s="1094">
        <f>114156572/14866625000</f>
        <v>7.6787147049178946E-3</v>
      </c>
      <c r="AH18" s="1115" t="s">
        <v>2080</v>
      </c>
      <c r="AI18" s="1116" t="s">
        <v>1335</v>
      </c>
      <c r="AJ18" s="1117">
        <f t="shared" si="2"/>
        <v>0.06</v>
      </c>
      <c r="AK18" s="1117">
        <f>1077971494/20986145000</f>
        <v>5.1365865145790238E-2</v>
      </c>
      <c r="AL18" s="1118" t="s">
        <v>2081</v>
      </c>
      <c r="AM18" s="1122" t="s">
        <v>1335</v>
      </c>
      <c r="AN18" s="1094">
        <f t="shared" si="3"/>
        <v>0.16</v>
      </c>
      <c r="AO18" s="1119">
        <f>2287298109/21133221174</f>
        <v>0.10823234613254515</v>
      </c>
      <c r="AP18" s="1123" t="s">
        <v>2082</v>
      </c>
      <c r="AQ18" s="1124" t="s">
        <v>1335</v>
      </c>
      <c r="AR18" s="1096">
        <f t="shared" si="4"/>
        <v>0.28999999999999998</v>
      </c>
      <c r="AS18" s="1286">
        <f>8316568739/22184840084</f>
        <v>0.37487620859606824</v>
      </c>
      <c r="AT18" s="1288" t="s">
        <v>2387</v>
      </c>
      <c r="AU18" s="1288" t="s">
        <v>1335</v>
      </c>
    </row>
    <row r="19" spans="1:47" ht="197.1" customHeight="1" thickTop="1" thickBot="1">
      <c r="A19" s="1527"/>
      <c r="B19" s="1527"/>
      <c r="C19" s="1562"/>
      <c r="D19" s="1034">
        <v>4</v>
      </c>
      <c r="E19" s="1125" t="s">
        <v>2083</v>
      </c>
      <c r="F19" s="1083">
        <v>0.03</v>
      </c>
      <c r="G19" s="1060" t="s">
        <v>537</v>
      </c>
      <c r="H19" s="1061" t="s">
        <v>529</v>
      </c>
      <c r="I19" s="1102">
        <v>7.0000000000000007E-2</v>
      </c>
      <c r="J19" s="1103">
        <f t="shared" si="5"/>
        <v>0.21024075280520116</v>
      </c>
      <c r="K19" s="1041">
        <f t="shared" si="6"/>
        <v>3.0034393257885879</v>
      </c>
      <c r="L19" s="1106">
        <v>0.27</v>
      </c>
      <c r="M19" s="1105">
        <f t="shared" si="7"/>
        <v>0.45757857572071503</v>
      </c>
      <c r="N19" s="1044">
        <f t="shared" si="8"/>
        <v>1.6947354656322777</v>
      </c>
      <c r="O19" s="1102">
        <v>0.47</v>
      </c>
      <c r="P19" s="1103">
        <f t="shared" si="9"/>
        <v>0.66576233316257039</v>
      </c>
      <c r="Q19" s="1041">
        <f t="shared" si="10"/>
        <v>1.4165156024735541</v>
      </c>
      <c r="R19" s="1106">
        <v>0.65</v>
      </c>
      <c r="S19" s="1105">
        <f t="shared" si="11"/>
        <v>0.92944236854158568</v>
      </c>
      <c r="T19" s="1044">
        <f t="shared" si="12"/>
        <v>1.4299113362178242</v>
      </c>
      <c r="U19" s="1107">
        <f t="shared" si="15"/>
        <v>0.65</v>
      </c>
      <c r="V19" s="1108">
        <f t="shared" si="15"/>
        <v>0.92944236854158568</v>
      </c>
      <c r="W19" s="1109">
        <f t="shared" si="13"/>
        <v>1</v>
      </c>
      <c r="X19" s="1047">
        <f t="shared" si="14"/>
        <v>0.03</v>
      </c>
      <c r="Y19" s="1126" t="s">
        <v>2084</v>
      </c>
      <c r="Z19" s="1110" t="s">
        <v>2085</v>
      </c>
      <c r="AA19" s="1111" t="s">
        <v>2086</v>
      </c>
      <c r="AB19" s="1112" t="s">
        <v>2087</v>
      </c>
      <c r="AC19" s="1113" t="s">
        <v>542</v>
      </c>
      <c r="AD19" s="1065" t="s">
        <v>2088</v>
      </c>
      <c r="AE19" s="1065" t="s">
        <v>2089</v>
      </c>
      <c r="AF19" s="1094">
        <f t="shared" si="1"/>
        <v>7.0000000000000007E-2</v>
      </c>
      <c r="AG19" s="1094">
        <f>3433505638/16331303956</f>
        <v>0.21024075280520116</v>
      </c>
      <c r="AH19" s="1115" t="s">
        <v>2090</v>
      </c>
      <c r="AI19" s="1116" t="s">
        <v>1335</v>
      </c>
      <c r="AJ19" s="1117">
        <f t="shared" si="2"/>
        <v>0.27</v>
      </c>
      <c r="AK19" s="1117">
        <f>7473769961/16333303956</f>
        <v>0.45757857572071503</v>
      </c>
      <c r="AL19" s="1118" t="s">
        <v>2091</v>
      </c>
      <c r="AM19" s="1122" t="s">
        <v>1335</v>
      </c>
      <c r="AN19" s="1094">
        <f t="shared" si="3"/>
        <v>0.47</v>
      </c>
      <c r="AO19" s="1119">
        <f>10874098550/16333303956</f>
        <v>0.66576233316257039</v>
      </c>
      <c r="AP19" s="1120" t="s">
        <v>2092</v>
      </c>
      <c r="AQ19" s="1124" t="s">
        <v>1335</v>
      </c>
      <c r="AR19" s="1096">
        <f t="shared" si="4"/>
        <v>0.65</v>
      </c>
      <c r="AS19" s="1289">
        <f>14022742874/15087264524</f>
        <v>0.92944236854158568</v>
      </c>
      <c r="AT19" s="1290" t="s">
        <v>2388</v>
      </c>
      <c r="AU19" s="919" t="s">
        <v>1335</v>
      </c>
    </row>
    <row r="20" spans="1:47" ht="187.15" customHeight="1" thickTop="1" thickBot="1">
      <c r="A20" s="1527"/>
      <c r="B20" s="1527"/>
      <c r="C20" s="1562"/>
      <c r="D20" s="1034">
        <v>5</v>
      </c>
      <c r="E20" s="1125" t="s">
        <v>2093</v>
      </c>
      <c r="F20" s="1083">
        <v>0.03</v>
      </c>
      <c r="G20" s="1060" t="s">
        <v>537</v>
      </c>
      <c r="H20" s="1061" t="s">
        <v>531</v>
      </c>
      <c r="I20" s="1102">
        <v>0.97</v>
      </c>
      <c r="J20" s="1103">
        <f t="shared" si="5"/>
        <v>0.99487520824304254</v>
      </c>
      <c r="K20" s="1041">
        <f t="shared" si="6"/>
        <v>1.0256445445804563</v>
      </c>
      <c r="L20" s="1106">
        <v>0.97</v>
      </c>
      <c r="M20" s="1105">
        <f t="shared" si="7"/>
        <v>0.99971420539004585</v>
      </c>
      <c r="N20" s="1044">
        <f t="shared" si="8"/>
        <v>1.030633201433037</v>
      </c>
      <c r="O20" s="1102">
        <v>0.97</v>
      </c>
      <c r="P20" s="1103">
        <f t="shared" si="9"/>
        <v>0.99825567748908028</v>
      </c>
      <c r="Q20" s="1041">
        <f t="shared" si="10"/>
        <v>1.0291295644217322</v>
      </c>
      <c r="R20" s="1106">
        <v>0.97</v>
      </c>
      <c r="S20" s="1105">
        <f t="shared" si="11"/>
        <v>0.99909410160821677</v>
      </c>
      <c r="T20" s="1044">
        <f t="shared" si="12"/>
        <v>1.0299939191837286</v>
      </c>
      <c r="U20" s="1107">
        <f>SUM(I20,L20,O20,R20)/4</f>
        <v>0.97</v>
      </c>
      <c r="V20" s="1047">
        <f>SUM(J20,M20,P20,S20)/4</f>
        <v>0.99798479818259633</v>
      </c>
      <c r="W20" s="1109">
        <f t="shared" si="13"/>
        <v>1</v>
      </c>
      <c r="X20" s="1047">
        <f t="shared" si="14"/>
        <v>0.03</v>
      </c>
      <c r="Y20" s="1110" t="s">
        <v>1715</v>
      </c>
      <c r="Z20" s="1110" t="s">
        <v>2094</v>
      </c>
      <c r="AA20" s="1112" t="s">
        <v>1716</v>
      </c>
      <c r="AB20" s="1112" t="s">
        <v>1717</v>
      </c>
      <c r="AC20" s="1113" t="s">
        <v>542</v>
      </c>
      <c r="AD20" s="1051" t="s">
        <v>1335</v>
      </c>
      <c r="AE20" s="1051" t="s">
        <v>1335</v>
      </c>
      <c r="AF20" s="1094">
        <f t="shared" si="1"/>
        <v>0.97</v>
      </c>
      <c r="AG20" s="1094">
        <f>3579956492/3598397530</f>
        <v>0.99487520824304254</v>
      </c>
      <c r="AH20" s="1128" t="s">
        <v>2095</v>
      </c>
      <c r="AI20" s="1116" t="s">
        <v>2096</v>
      </c>
      <c r="AJ20" s="1117">
        <f t="shared" si="2"/>
        <v>0.97</v>
      </c>
      <c r="AK20" s="1117">
        <f>5085062804/5086516503</f>
        <v>0.99971420539004585</v>
      </c>
      <c r="AL20" s="1129" t="s">
        <v>2097</v>
      </c>
      <c r="AM20" s="1122" t="s">
        <v>2096</v>
      </c>
      <c r="AN20" s="1094">
        <f t="shared" si="3"/>
        <v>0.97</v>
      </c>
      <c r="AO20" s="1119">
        <f>4786433704/4794797377</f>
        <v>0.99825567748908028</v>
      </c>
      <c r="AP20" s="1130" t="s">
        <v>2098</v>
      </c>
      <c r="AQ20" s="1124" t="s">
        <v>2096</v>
      </c>
      <c r="AR20" s="1117">
        <f t="shared" si="4"/>
        <v>0.97</v>
      </c>
      <c r="AS20" s="1286">
        <f>9394284888/9402802872</f>
        <v>0.99909410160821677</v>
      </c>
      <c r="AT20" s="1291" t="s">
        <v>2389</v>
      </c>
      <c r="AU20" s="919" t="s">
        <v>2096</v>
      </c>
    </row>
    <row r="21" spans="1:47" ht="163.15" customHeight="1" thickTop="1" thickBot="1">
      <c r="A21" s="1527"/>
      <c r="B21" s="1527"/>
      <c r="C21" s="1562"/>
      <c r="D21" s="1034">
        <v>6</v>
      </c>
      <c r="E21" s="1125" t="s">
        <v>2099</v>
      </c>
      <c r="F21" s="1083">
        <v>0.02</v>
      </c>
      <c r="G21" s="1131" t="s">
        <v>537</v>
      </c>
      <c r="H21" s="1132" t="s">
        <v>531</v>
      </c>
      <c r="I21" s="1102">
        <v>1</v>
      </c>
      <c r="J21" s="1103">
        <f t="shared" si="5"/>
        <v>0</v>
      </c>
      <c r="K21" s="1041">
        <f t="shared" si="6"/>
        <v>0</v>
      </c>
      <c r="L21" s="1106">
        <v>1</v>
      </c>
      <c r="M21" s="1105">
        <f t="shared" si="7"/>
        <v>1</v>
      </c>
      <c r="N21" s="1044">
        <f t="shared" si="8"/>
        <v>1</v>
      </c>
      <c r="O21" s="1102">
        <v>1</v>
      </c>
      <c r="P21" s="1103">
        <f t="shared" si="9"/>
        <v>1</v>
      </c>
      <c r="Q21" s="1041">
        <f t="shared" si="10"/>
        <v>1</v>
      </c>
      <c r="R21" s="1106">
        <v>1</v>
      </c>
      <c r="S21" s="1105">
        <f t="shared" si="11"/>
        <v>1</v>
      </c>
      <c r="T21" s="1044">
        <f t="shared" si="12"/>
        <v>1</v>
      </c>
      <c r="U21" s="1107">
        <f>SUM(I21,L21,O21,R21)/4</f>
        <v>1</v>
      </c>
      <c r="V21" s="1047">
        <f>SUM(J21,M21,P21,S21)/4</f>
        <v>0.75</v>
      </c>
      <c r="W21" s="1109">
        <f t="shared" si="13"/>
        <v>0.75</v>
      </c>
      <c r="X21" s="1047">
        <f t="shared" si="14"/>
        <v>1.4999999999999999E-2</v>
      </c>
      <c r="Y21" s="1110" t="s">
        <v>2100</v>
      </c>
      <c r="Z21" s="1110" t="s">
        <v>2101</v>
      </c>
      <c r="AA21" s="1061" t="s">
        <v>2102</v>
      </c>
      <c r="AB21" s="1111" t="s">
        <v>2103</v>
      </c>
      <c r="AC21" s="1113" t="s">
        <v>542</v>
      </c>
      <c r="AD21" s="1065" t="s">
        <v>2104</v>
      </c>
      <c r="AE21" s="1065" t="s">
        <v>2105</v>
      </c>
      <c r="AF21" s="1094">
        <f t="shared" si="1"/>
        <v>1</v>
      </c>
      <c r="AG21" s="1094">
        <v>0</v>
      </c>
      <c r="AH21" s="1116" t="s">
        <v>2106</v>
      </c>
      <c r="AI21" s="1116" t="s">
        <v>2035</v>
      </c>
      <c r="AJ21" s="1117">
        <f t="shared" si="2"/>
        <v>1</v>
      </c>
      <c r="AK21" s="1117">
        <f>46/46</f>
        <v>1</v>
      </c>
      <c r="AL21" s="1129" t="s">
        <v>2107</v>
      </c>
      <c r="AM21" s="1122" t="s">
        <v>2108</v>
      </c>
      <c r="AN21" s="1094">
        <f t="shared" si="3"/>
        <v>1</v>
      </c>
      <c r="AO21" s="1119">
        <f>83/83</f>
        <v>1</v>
      </c>
      <c r="AP21" s="1133" t="s">
        <v>2390</v>
      </c>
      <c r="AQ21" s="1124" t="s">
        <v>2108</v>
      </c>
      <c r="AR21" s="1117">
        <f t="shared" si="4"/>
        <v>1</v>
      </c>
      <c r="AS21" s="1292">
        <f>103/103</f>
        <v>1</v>
      </c>
      <c r="AT21" s="1290" t="s">
        <v>2391</v>
      </c>
      <c r="AU21" s="1293" t="s">
        <v>2108</v>
      </c>
    </row>
    <row r="22" spans="1:47" ht="168.6" customHeight="1" thickTop="1" thickBot="1">
      <c r="A22" s="1527"/>
      <c r="B22" s="1527"/>
      <c r="C22" s="1562"/>
      <c r="D22" s="1034">
        <v>7</v>
      </c>
      <c r="E22" s="1125" t="s">
        <v>2109</v>
      </c>
      <c r="F22" s="1083">
        <v>0.02</v>
      </c>
      <c r="G22" s="1131" t="s">
        <v>537</v>
      </c>
      <c r="H22" s="1132" t="s">
        <v>529</v>
      </c>
      <c r="I22" s="1102">
        <v>0.2</v>
      </c>
      <c r="J22" s="1103">
        <f t="shared" si="5"/>
        <v>0</v>
      </c>
      <c r="K22" s="1041">
        <f t="shared" si="6"/>
        <v>0</v>
      </c>
      <c r="L22" s="1106">
        <v>0.4</v>
      </c>
      <c r="M22" s="1105">
        <f t="shared" si="7"/>
        <v>1</v>
      </c>
      <c r="N22" s="1044">
        <f t="shared" si="8"/>
        <v>2.5</v>
      </c>
      <c r="O22" s="1102">
        <v>0.6</v>
      </c>
      <c r="P22" s="1103">
        <f t="shared" si="9"/>
        <v>1</v>
      </c>
      <c r="Q22" s="1041">
        <f t="shared" si="10"/>
        <v>1.6666666666666667</v>
      </c>
      <c r="R22" s="1106">
        <v>1</v>
      </c>
      <c r="S22" s="1105">
        <f t="shared" si="11"/>
        <v>1</v>
      </c>
      <c r="T22" s="1044">
        <f t="shared" si="12"/>
        <v>1</v>
      </c>
      <c r="U22" s="1107">
        <f>R22</f>
        <v>1</v>
      </c>
      <c r="V22" s="1047">
        <f>S22</f>
        <v>1</v>
      </c>
      <c r="W22" s="1109">
        <f t="shared" si="13"/>
        <v>1</v>
      </c>
      <c r="X22" s="1047">
        <f t="shared" si="14"/>
        <v>0.02</v>
      </c>
      <c r="Y22" s="1110" t="s">
        <v>2110</v>
      </c>
      <c r="Z22" s="1110" t="s">
        <v>2111</v>
      </c>
      <c r="AA22" s="1061" t="s">
        <v>2112</v>
      </c>
      <c r="AB22" s="1111" t="s">
        <v>2113</v>
      </c>
      <c r="AC22" s="1113" t="s">
        <v>542</v>
      </c>
      <c r="AD22" s="1065" t="s">
        <v>2104</v>
      </c>
      <c r="AE22" s="1065" t="s">
        <v>2114</v>
      </c>
      <c r="AF22" s="1094">
        <f t="shared" si="1"/>
        <v>0.2</v>
      </c>
      <c r="AG22" s="1094">
        <v>0</v>
      </c>
      <c r="AH22" s="1116" t="s">
        <v>2106</v>
      </c>
      <c r="AI22" s="1116" t="s">
        <v>2035</v>
      </c>
      <c r="AJ22" s="1117">
        <f t="shared" si="2"/>
        <v>0.4</v>
      </c>
      <c r="AK22" s="1117">
        <f>46/46</f>
        <v>1</v>
      </c>
      <c r="AL22" s="1129" t="s">
        <v>2115</v>
      </c>
      <c r="AM22" s="1122" t="s">
        <v>2108</v>
      </c>
      <c r="AN22" s="1094">
        <f t="shared" si="3"/>
        <v>0.6</v>
      </c>
      <c r="AO22" s="1119">
        <f>83/83</f>
        <v>1</v>
      </c>
      <c r="AP22" s="1133" t="s">
        <v>2392</v>
      </c>
      <c r="AQ22" s="1124" t="s">
        <v>2108</v>
      </c>
      <c r="AR22" s="1117">
        <f t="shared" si="4"/>
        <v>1</v>
      </c>
      <c r="AS22" s="1292">
        <f>103/103</f>
        <v>1</v>
      </c>
      <c r="AT22" s="1290" t="s">
        <v>2391</v>
      </c>
      <c r="AU22" s="1293" t="s">
        <v>2108</v>
      </c>
    </row>
    <row r="23" spans="1:47" ht="51.4" customHeight="1" thickBot="1">
      <c r="A23" s="1551"/>
      <c r="B23" s="1551"/>
      <c r="C23" s="1134" t="s">
        <v>1755</v>
      </c>
      <c r="D23" s="1135"/>
      <c r="E23" s="1552"/>
      <c r="F23" s="1552"/>
      <c r="G23" s="1552"/>
      <c r="H23" s="1552"/>
      <c r="I23" s="1552"/>
      <c r="J23" s="1552"/>
      <c r="K23" s="1552"/>
      <c r="L23" s="1552"/>
      <c r="M23" s="1552"/>
      <c r="N23" s="1552"/>
      <c r="O23" s="1552"/>
      <c r="P23" s="1552"/>
      <c r="Q23" s="1552"/>
      <c r="R23" s="1552"/>
      <c r="S23" s="1552"/>
      <c r="T23" s="1552"/>
      <c r="U23" s="1552"/>
      <c r="V23" s="1552"/>
      <c r="W23" s="1552"/>
      <c r="X23" s="1552"/>
      <c r="Y23" s="1552"/>
      <c r="Z23" s="1552"/>
      <c r="AA23" s="1552"/>
      <c r="AB23" s="1552"/>
      <c r="AC23" s="1552"/>
      <c r="AD23" s="1552"/>
      <c r="AE23" s="1552"/>
      <c r="AF23" s="1552">
        <f t="shared" si="1"/>
        <v>0</v>
      </c>
      <c r="AG23" s="1552"/>
      <c r="AH23" s="1552"/>
      <c r="AI23" s="1552"/>
      <c r="AJ23" s="1552">
        <f t="shared" si="2"/>
        <v>0</v>
      </c>
      <c r="AK23" s="1552"/>
      <c r="AL23" s="1552"/>
      <c r="AM23" s="1552"/>
      <c r="AN23" s="1552">
        <f t="shared" si="3"/>
        <v>0</v>
      </c>
      <c r="AO23" s="1552"/>
      <c r="AP23" s="1552"/>
      <c r="AQ23" s="1552"/>
      <c r="AR23" s="1552">
        <f t="shared" si="4"/>
        <v>0</v>
      </c>
      <c r="AS23" s="1552"/>
      <c r="AT23" s="1552"/>
      <c r="AU23" s="1552"/>
    </row>
    <row r="24" spans="1:47" ht="245.85" customHeight="1" thickTop="1" thickBot="1">
      <c r="A24" s="1565" t="s">
        <v>1756</v>
      </c>
      <c r="B24" s="1565"/>
      <c r="C24" s="1566" t="s">
        <v>1357</v>
      </c>
      <c r="D24" s="1136">
        <v>1</v>
      </c>
      <c r="E24" s="1033" t="s">
        <v>2116</v>
      </c>
      <c r="F24" s="1137">
        <v>0.02</v>
      </c>
      <c r="G24" s="1060" t="s">
        <v>537</v>
      </c>
      <c r="H24" s="1038" t="s">
        <v>531</v>
      </c>
      <c r="I24" s="1084">
        <v>1</v>
      </c>
      <c r="J24" s="1138">
        <f t="shared" ref="J24:J42" si="16">AG24</f>
        <v>0.99373040752351094</v>
      </c>
      <c r="K24" s="1041">
        <f t="shared" ref="K24:K40" si="17">IF(ISERROR(J24/I24),"",(J24/I24))</f>
        <v>0.99373040752351094</v>
      </c>
      <c r="L24" s="1086">
        <v>1</v>
      </c>
      <c r="M24" s="1139">
        <f t="shared" ref="M24:M42" si="18">AK24</f>
        <v>0.98973305954825463</v>
      </c>
      <c r="N24" s="1044">
        <f t="shared" ref="N24:N40" si="19">IF(ISERROR(M24/L24),"",(M24/L24))</f>
        <v>0.98973305954825463</v>
      </c>
      <c r="O24" s="1084">
        <v>1</v>
      </c>
      <c r="P24" s="1138">
        <f t="shared" ref="P24:P42" si="20">AO24</f>
        <v>0.9867424242424242</v>
      </c>
      <c r="Q24" s="1041">
        <f t="shared" ref="Q24:Q40" si="21">IF(ISERROR(P24/O24),"",(P24/O24))</f>
        <v>0.9867424242424242</v>
      </c>
      <c r="R24" s="1086">
        <v>1</v>
      </c>
      <c r="S24" s="1139">
        <f t="shared" ref="S24:S42" si="22">AS24</f>
        <v>0.95809523809523811</v>
      </c>
      <c r="T24" s="1044">
        <f t="shared" ref="T24:T40" si="23">IF(ISERROR(S24/R24),"",(S24/R24))</f>
        <v>0.95809523809523811</v>
      </c>
      <c r="U24" s="1088">
        <f>SUM(I24,L24,O24,R24)/4</f>
        <v>1</v>
      </c>
      <c r="V24" s="1140">
        <f>SUM(J24,M24,P24,S24)/4</f>
        <v>0.98207528235235708</v>
      </c>
      <c r="W24" s="1109">
        <f t="shared" ref="W24:W40" si="24">IF((IF(ISERROR(V24/U24),0,(V24/U24)))&gt;1,1,(IF(ISERROR(V24/U24),0,(V24/U24))))</f>
        <v>0.98207528235235708</v>
      </c>
      <c r="X24" s="1047">
        <f t="shared" ref="X24:X42" si="25">F24*W24</f>
        <v>1.9641505647047142E-2</v>
      </c>
      <c r="Y24" s="1033" t="s">
        <v>2117</v>
      </c>
      <c r="Z24" s="1033" t="s">
        <v>2118</v>
      </c>
      <c r="AA24" s="1141" t="s">
        <v>2119</v>
      </c>
      <c r="AB24" s="1141" t="s">
        <v>2120</v>
      </c>
      <c r="AC24" s="1142" t="s">
        <v>542</v>
      </c>
      <c r="AD24" s="1143" t="s">
        <v>2121</v>
      </c>
      <c r="AE24" s="1144" t="s">
        <v>2122</v>
      </c>
      <c r="AF24" s="1094">
        <f t="shared" si="1"/>
        <v>1</v>
      </c>
      <c r="AG24" s="1094">
        <f>634/638</f>
        <v>0.99373040752351094</v>
      </c>
      <c r="AH24" s="1145" t="s">
        <v>2123</v>
      </c>
      <c r="AI24" s="1146" t="s">
        <v>2124</v>
      </c>
      <c r="AJ24" s="1117">
        <f t="shared" si="2"/>
        <v>1</v>
      </c>
      <c r="AK24" s="1117">
        <f>482/487</f>
        <v>0.98973305954825463</v>
      </c>
      <c r="AL24" s="1147" t="s">
        <v>2125</v>
      </c>
      <c r="AM24" s="1148" t="s">
        <v>2126</v>
      </c>
      <c r="AN24" s="1094">
        <f t="shared" si="3"/>
        <v>1</v>
      </c>
      <c r="AO24" s="1119">
        <f>+(528-7)/528</f>
        <v>0.9867424242424242</v>
      </c>
      <c r="AP24" s="1149" t="s">
        <v>2127</v>
      </c>
      <c r="AQ24" s="1148" t="s">
        <v>2126</v>
      </c>
      <c r="AR24" s="1117">
        <f t="shared" si="4"/>
        <v>1</v>
      </c>
      <c r="AS24" s="1294">
        <f>503/525</f>
        <v>0.95809523809523811</v>
      </c>
      <c r="AT24" s="1287" t="s">
        <v>2393</v>
      </c>
      <c r="AU24" s="1287" t="s">
        <v>2126</v>
      </c>
    </row>
    <row r="25" spans="1:47" ht="215.85" customHeight="1" thickTop="1" thickBot="1">
      <c r="A25" s="1565"/>
      <c r="B25" s="1565"/>
      <c r="C25" s="1566"/>
      <c r="D25" s="1136">
        <v>2</v>
      </c>
      <c r="E25" s="1033" t="s">
        <v>2128</v>
      </c>
      <c r="F25" s="1137">
        <v>0</v>
      </c>
      <c r="G25" s="1060" t="s">
        <v>537</v>
      </c>
      <c r="H25" s="1061" t="s">
        <v>532</v>
      </c>
      <c r="I25" s="1102">
        <v>0</v>
      </c>
      <c r="J25" s="1103">
        <f t="shared" si="16"/>
        <v>0</v>
      </c>
      <c r="K25" s="1041" t="str">
        <f t="shared" si="17"/>
        <v/>
      </c>
      <c r="L25" s="1106">
        <v>0</v>
      </c>
      <c r="M25" s="1105">
        <f t="shared" si="18"/>
        <v>0</v>
      </c>
      <c r="N25" s="1044" t="str">
        <f t="shared" si="19"/>
        <v/>
      </c>
      <c r="O25" s="1102">
        <v>0</v>
      </c>
      <c r="P25" s="1103">
        <f t="shared" si="20"/>
        <v>0</v>
      </c>
      <c r="Q25" s="1041" t="str">
        <f t="shared" si="21"/>
        <v/>
      </c>
      <c r="R25" s="1106">
        <v>0</v>
      </c>
      <c r="S25" s="1105">
        <f t="shared" si="22"/>
        <v>0</v>
      </c>
      <c r="T25" s="1044" t="str">
        <f t="shared" si="23"/>
        <v/>
      </c>
      <c r="U25" s="1107">
        <f t="shared" ref="U25:V37" si="26">SUM(I25,L25,O25,R25)</f>
        <v>0</v>
      </c>
      <c r="V25" s="1150">
        <f t="shared" si="26"/>
        <v>0</v>
      </c>
      <c r="W25" s="1047">
        <f t="shared" si="24"/>
        <v>0</v>
      </c>
      <c r="X25" s="1047">
        <f t="shared" si="25"/>
        <v>0</v>
      </c>
      <c r="Y25" s="1151" t="s">
        <v>2129</v>
      </c>
      <c r="Z25" s="1151" t="s">
        <v>2130</v>
      </c>
      <c r="AA25" s="1152" t="s">
        <v>2131</v>
      </c>
      <c r="AB25" s="1152" t="s">
        <v>2132</v>
      </c>
      <c r="AC25" s="1153" t="s">
        <v>542</v>
      </c>
      <c r="AD25" s="1154" t="s">
        <v>2133</v>
      </c>
      <c r="AE25" s="1155" t="s">
        <v>2134</v>
      </c>
      <c r="AF25" s="1094">
        <f t="shared" si="1"/>
        <v>0</v>
      </c>
      <c r="AG25" s="1094">
        <v>0</v>
      </c>
      <c r="AH25" s="1053" t="s">
        <v>2035</v>
      </c>
      <c r="AI25" s="1053" t="s">
        <v>2035</v>
      </c>
      <c r="AJ25" s="1117">
        <f t="shared" si="2"/>
        <v>0</v>
      </c>
      <c r="AK25" s="1117">
        <v>0</v>
      </c>
      <c r="AL25" s="1054" t="s">
        <v>2035</v>
      </c>
      <c r="AM25" s="1055" t="s">
        <v>2035</v>
      </c>
      <c r="AN25" s="1094">
        <f t="shared" si="3"/>
        <v>0</v>
      </c>
      <c r="AO25" s="1119">
        <v>0</v>
      </c>
      <c r="AP25" s="1156" t="s">
        <v>2035</v>
      </c>
      <c r="AQ25" s="1157" t="s">
        <v>2035</v>
      </c>
      <c r="AR25" s="1117">
        <f t="shared" si="4"/>
        <v>0</v>
      </c>
      <c r="AS25" s="1294">
        <v>0</v>
      </c>
      <c r="AT25" s="919" t="s">
        <v>2035</v>
      </c>
      <c r="AU25" s="919" t="s">
        <v>2035</v>
      </c>
    </row>
    <row r="26" spans="1:47" ht="210.95" customHeight="1" thickTop="1" thickBot="1">
      <c r="A26" s="1565"/>
      <c r="B26" s="1565"/>
      <c r="C26" s="1566"/>
      <c r="D26" s="1136">
        <v>3</v>
      </c>
      <c r="E26" s="1158" t="s">
        <v>2135</v>
      </c>
      <c r="F26" s="1137">
        <v>0</v>
      </c>
      <c r="G26" s="1060" t="s">
        <v>537</v>
      </c>
      <c r="H26" s="1061" t="s">
        <v>532</v>
      </c>
      <c r="I26" s="1102">
        <v>0</v>
      </c>
      <c r="J26" s="1103">
        <f t="shared" si="16"/>
        <v>0</v>
      </c>
      <c r="K26" s="1041" t="str">
        <f t="shared" si="17"/>
        <v/>
      </c>
      <c r="L26" s="1106">
        <v>0</v>
      </c>
      <c r="M26" s="1105">
        <f t="shared" si="18"/>
        <v>0</v>
      </c>
      <c r="N26" s="1044" t="str">
        <f t="shared" si="19"/>
        <v/>
      </c>
      <c r="O26" s="1102">
        <v>0</v>
      </c>
      <c r="P26" s="1103">
        <f t="shared" si="20"/>
        <v>0</v>
      </c>
      <c r="Q26" s="1041" t="str">
        <f t="shared" si="21"/>
        <v/>
      </c>
      <c r="R26" s="1106">
        <v>0</v>
      </c>
      <c r="S26" s="1105">
        <f t="shared" si="22"/>
        <v>0</v>
      </c>
      <c r="T26" s="1044" t="str">
        <f t="shared" si="23"/>
        <v/>
      </c>
      <c r="U26" s="1107">
        <f t="shared" si="26"/>
        <v>0</v>
      </c>
      <c r="V26" s="1150">
        <f t="shared" si="26"/>
        <v>0</v>
      </c>
      <c r="W26" s="1047">
        <f t="shared" si="24"/>
        <v>0</v>
      </c>
      <c r="X26" s="1047">
        <f t="shared" si="25"/>
        <v>0</v>
      </c>
      <c r="Y26" s="1151" t="s">
        <v>2136</v>
      </c>
      <c r="Z26" s="1151" t="s">
        <v>2137</v>
      </c>
      <c r="AA26" s="1152" t="s">
        <v>2131</v>
      </c>
      <c r="AB26" s="1152" t="s">
        <v>2138</v>
      </c>
      <c r="AC26" s="1153" t="s">
        <v>542</v>
      </c>
      <c r="AD26" s="1154" t="s">
        <v>2133</v>
      </c>
      <c r="AE26" s="1155" t="s">
        <v>2139</v>
      </c>
      <c r="AF26" s="1094">
        <f t="shared" si="1"/>
        <v>0</v>
      </c>
      <c r="AG26" s="1094">
        <v>0</v>
      </c>
      <c r="AH26" s="1053" t="s">
        <v>2035</v>
      </c>
      <c r="AI26" s="1053" t="s">
        <v>2035</v>
      </c>
      <c r="AJ26" s="1117">
        <f t="shared" si="2"/>
        <v>0</v>
      </c>
      <c r="AK26" s="1117">
        <v>0</v>
      </c>
      <c r="AL26" s="1159" t="s">
        <v>2035</v>
      </c>
      <c r="AM26" s="1055" t="s">
        <v>2035</v>
      </c>
      <c r="AN26" s="1094">
        <f t="shared" si="3"/>
        <v>0</v>
      </c>
      <c r="AO26" s="1119">
        <v>0</v>
      </c>
      <c r="AP26" s="1160" t="s">
        <v>2035</v>
      </c>
      <c r="AQ26" s="1157" t="s">
        <v>2035</v>
      </c>
      <c r="AR26" s="1117">
        <f t="shared" si="4"/>
        <v>0</v>
      </c>
      <c r="AS26" s="1294">
        <v>0</v>
      </c>
      <c r="AT26" s="919" t="s">
        <v>2035</v>
      </c>
      <c r="AU26" s="919" t="s">
        <v>2035</v>
      </c>
    </row>
    <row r="27" spans="1:47" ht="215.85" customHeight="1" thickTop="1" thickBot="1">
      <c r="A27" s="1565"/>
      <c r="B27" s="1565"/>
      <c r="C27" s="1566"/>
      <c r="D27" s="1136">
        <v>4</v>
      </c>
      <c r="E27" s="1158" t="s">
        <v>2140</v>
      </c>
      <c r="F27" s="1137">
        <v>0</v>
      </c>
      <c r="G27" s="1060" t="s">
        <v>537</v>
      </c>
      <c r="H27" s="1061" t="s">
        <v>532</v>
      </c>
      <c r="I27" s="1102">
        <v>0</v>
      </c>
      <c r="J27" s="1138">
        <f t="shared" si="16"/>
        <v>0</v>
      </c>
      <c r="K27" s="1041" t="str">
        <f t="shared" si="17"/>
        <v/>
      </c>
      <c r="L27" s="1106">
        <v>0</v>
      </c>
      <c r="M27" s="1139">
        <f t="shared" si="18"/>
        <v>0</v>
      </c>
      <c r="N27" s="1044" t="str">
        <f t="shared" si="19"/>
        <v/>
      </c>
      <c r="O27" s="1102">
        <v>0</v>
      </c>
      <c r="P27" s="1138">
        <f t="shared" si="20"/>
        <v>0</v>
      </c>
      <c r="Q27" s="1041" t="str">
        <f t="shared" si="21"/>
        <v/>
      </c>
      <c r="R27" s="1106">
        <v>0</v>
      </c>
      <c r="S27" s="1139">
        <f t="shared" si="22"/>
        <v>0</v>
      </c>
      <c r="T27" s="1044" t="str">
        <f t="shared" si="23"/>
        <v/>
      </c>
      <c r="U27" s="1088">
        <f t="shared" si="26"/>
        <v>0</v>
      </c>
      <c r="V27" s="1140">
        <f t="shared" si="26"/>
        <v>0</v>
      </c>
      <c r="W27" s="1047">
        <f t="shared" si="24"/>
        <v>0</v>
      </c>
      <c r="X27" s="1047">
        <f t="shared" si="25"/>
        <v>0</v>
      </c>
      <c r="Y27" s="1151" t="s">
        <v>2141</v>
      </c>
      <c r="Z27" s="1151" t="s">
        <v>2142</v>
      </c>
      <c r="AA27" s="1152" t="s">
        <v>2143</v>
      </c>
      <c r="AB27" s="1152" t="s">
        <v>2144</v>
      </c>
      <c r="AC27" s="1153" t="s">
        <v>542</v>
      </c>
      <c r="AD27" s="1154" t="s">
        <v>2133</v>
      </c>
      <c r="AE27" s="1161" t="s">
        <v>2145</v>
      </c>
      <c r="AF27" s="1094">
        <f t="shared" si="1"/>
        <v>0</v>
      </c>
      <c r="AG27" s="1094">
        <v>0</v>
      </c>
      <c r="AH27" s="1053" t="s">
        <v>2035</v>
      </c>
      <c r="AI27" s="1053" t="s">
        <v>2035</v>
      </c>
      <c r="AJ27" s="1117">
        <f t="shared" si="2"/>
        <v>0</v>
      </c>
      <c r="AK27" s="1117">
        <v>0</v>
      </c>
      <c r="AL27" s="1127" t="s">
        <v>2035</v>
      </c>
      <c r="AM27" s="1122" t="s">
        <v>2035</v>
      </c>
      <c r="AN27" s="1094">
        <f t="shared" si="3"/>
        <v>0</v>
      </c>
      <c r="AO27" s="1119">
        <v>0</v>
      </c>
      <c r="AP27" s="1057" t="s">
        <v>2035</v>
      </c>
      <c r="AQ27" s="1162" t="s">
        <v>2035</v>
      </c>
      <c r="AR27" s="1117">
        <f t="shared" si="4"/>
        <v>0</v>
      </c>
      <c r="AS27" s="1294">
        <v>0</v>
      </c>
      <c r="AT27" s="1290" t="s">
        <v>2035</v>
      </c>
      <c r="AU27" s="1290" t="s">
        <v>2035</v>
      </c>
    </row>
    <row r="28" spans="1:47" ht="212.65" customHeight="1" thickTop="1" thickBot="1">
      <c r="A28" s="1565"/>
      <c r="B28" s="1565"/>
      <c r="C28" s="1566"/>
      <c r="D28" s="1136">
        <v>5</v>
      </c>
      <c r="E28" s="1059" t="s">
        <v>2146</v>
      </c>
      <c r="F28" s="1137">
        <v>0.04</v>
      </c>
      <c r="G28" s="1060" t="s">
        <v>538</v>
      </c>
      <c r="H28" s="1061" t="s">
        <v>532</v>
      </c>
      <c r="I28" s="1062">
        <v>30</v>
      </c>
      <c r="J28" s="1163">
        <f t="shared" si="16"/>
        <v>12</v>
      </c>
      <c r="K28" s="1041">
        <f t="shared" si="17"/>
        <v>0.4</v>
      </c>
      <c r="L28" s="1063">
        <v>11</v>
      </c>
      <c r="M28" s="1164">
        <f t="shared" si="18"/>
        <v>11</v>
      </c>
      <c r="N28" s="1044">
        <f t="shared" si="19"/>
        <v>1</v>
      </c>
      <c r="O28" s="1062">
        <v>30</v>
      </c>
      <c r="P28" s="1163">
        <f t="shared" si="20"/>
        <v>31</v>
      </c>
      <c r="Q28" s="1041">
        <f t="shared" si="21"/>
        <v>1.0333333333333334</v>
      </c>
      <c r="R28" s="1063">
        <v>29</v>
      </c>
      <c r="S28" s="1164">
        <f t="shared" si="22"/>
        <v>32</v>
      </c>
      <c r="T28" s="1044">
        <f t="shared" si="23"/>
        <v>1.103448275862069</v>
      </c>
      <c r="U28" s="1165">
        <f t="shared" si="26"/>
        <v>100</v>
      </c>
      <c r="V28" s="1166">
        <f t="shared" si="26"/>
        <v>86</v>
      </c>
      <c r="W28" s="1047">
        <f t="shared" si="24"/>
        <v>0.86</v>
      </c>
      <c r="X28" s="1047">
        <f t="shared" si="25"/>
        <v>3.44E-2</v>
      </c>
      <c r="Y28" s="1167" t="s">
        <v>2147</v>
      </c>
      <c r="Z28" s="1167" t="s">
        <v>2148</v>
      </c>
      <c r="AA28" s="1152" t="s">
        <v>2149</v>
      </c>
      <c r="AB28" s="1168" t="s">
        <v>2150</v>
      </c>
      <c r="AC28" s="1153" t="s">
        <v>542</v>
      </c>
      <c r="AD28" s="1154" t="s">
        <v>2133</v>
      </c>
      <c r="AE28" s="1161" t="s">
        <v>2151</v>
      </c>
      <c r="AF28" s="1169">
        <f t="shared" si="1"/>
        <v>30</v>
      </c>
      <c r="AG28" s="1169">
        <v>12</v>
      </c>
      <c r="AH28" s="1053" t="s">
        <v>2152</v>
      </c>
      <c r="AI28" s="1053" t="s">
        <v>2153</v>
      </c>
      <c r="AJ28" s="1170">
        <f t="shared" si="2"/>
        <v>11</v>
      </c>
      <c r="AK28" s="1170">
        <v>11</v>
      </c>
      <c r="AL28" s="1171" t="s">
        <v>2154</v>
      </c>
      <c r="AM28" s="1172" t="s">
        <v>2153</v>
      </c>
      <c r="AN28" s="1169">
        <f t="shared" si="3"/>
        <v>30</v>
      </c>
      <c r="AO28" s="1173">
        <f>14+17</f>
        <v>31</v>
      </c>
      <c r="AP28" s="1057" t="s">
        <v>2155</v>
      </c>
      <c r="AQ28" s="1057" t="s">
        <v>2156</v>
      </c>
      <c r="AR28" s="1170">
        <f t="shared" si="4"/>
        <v>29</v>
      </c>
      <c r="AS28" s="1295">
        <f>30+2</f>
        <v>32</v>
      </c>
      <c r="AT28" s="919" t="s">
        <v>2394</v>
      </c>
      <c r="AU28" s="919" t="s">
        <v>2153</v>
      </c>
    </row>
    <row r="29" spans="1:47" ht="212.65" customHeight="1" thickTop="1" thickBot="1">
      <c r="A29" s="1565"/>
      <c r="B29" s="1565"/>
      <c r="C29" s="1566"/>
      <c r="D29" s="1136">
        <v>6</v>
      </c>
      <c r="E29" s="1059" t="s">
        <v>2157</v>
      </c>
      <c r="F29" s="1137">
        <v>0.04</v>
      </c>
      <c r="G29" s="1060" t="s">
        <v>537</v>
      </c>
      <c r="H29" s="1061" t="s">
        <v>532</v>
      </c>
      <c r="I29" s="1102">
        <v>0.03</v>
      </c>
      <c r="J29" s="1103">
        <f t="shared" si="16"/>
        <v>0.5</v>
      </c>
      <c r="K29" s="1041">
        <f t="shared" si="17"/>
        <v>16.666666666666668</v>
      </c>
      <c r="L29" s="1106">
        <v>0.03</v>
      </c>
      <c r="M29" s="1105">
        <f t="shared" si="18"/>
        <v>3.3057851239669422E-2</v>
      </c>
      <c r="N29" s="1044">
        <f t="shared" si="19"/>
        <v>1.1019283746556474</v>
      </c>
      <c r="O29" s="1102">
        <v>0.03</v>
      </c>
      <c r="P29" s="1103">
        <f t="shared" si="20"/>
        <v>4.1322314049586778E-2</v>
      </c>
      <c r="Q29" s="1041">
        <f t="shared" si="21"/>
        <v>1.3774104683195594</v>
      </c>
      <c r="R29" s="1106">
        <v>0.04</v>
      </c>
      <c r="S29" s="1105">
        <f t="shared" si="22"/>
        <v>9.9173553719008267E-2</v>
      </c>
      <c r="T29" s="1044">
        <f t="shared" si="23"/>
        <v>2.4793388429752068</v>
      </c>
      <c r="U29" s="1107">
        <f t="shared" si="26"/>
        <v>0.13</v>
      </c>
      <c r="V29" s="1150">
        <f t="shared" si="26"/>
        <v>0.67355371900826444</v>
      </c>
      <c r="W29" s="1047">
        <f t="shared" si="24"/>
        <v>1</v>
      </c>
      <c r="X29" s="1047">
        <f t="shared" si="25"/>
        <v>0.04</v>
      </c>
      <c r="Y29" s="1167" t="s">
        <v>2158</v>
      </c>
      <c r="Z29" s="1167" t="s">
        <v>2159</v>
      </c>
      <c r="AA29" s="1152" t="s">
        <v>2160</v>
      </c>
      <c r="AB29" s="1152" t="s">
        <v>2161</v>
      </c>
      <c r="AC29" s="1153" t="s">
        <v>542</v>
      </c>
      <c r="AD29" s="1154" t="s">
        <v>2133</v>
      </c>
      <c r="AE29" s="1174" t="s">
        <v>2162</v>
      </c>
      <c r="AF29" s="1094">
        <f t="shared" si="1"/>
        <v>0.03</v>
      </c>
      <c r="AG29" s="1094">
        <v>0.5</v>
      </c>
      <c r="AH29" s="1053" t="s">
        <v>2163</v>
      </c>
      <c r="AI29" s="1053" t="s">
        <v>2153</v>
      </c>
      <c r="AJ29" s="1117">
        <f t="shared" si="2"/>
        <v>0.03</v>
      </c>
      <c r="AK29" s="1117">
        <f>4/121</f>
        <v>3.3057851239669422E-2</v>
      </c>
      <c r="AL29" s="1172" t="s">
        <v>2164</v>
      </c>
      <c r="AM29" s="1172" t="s">
        <v>2153</v>
      </c>
      <c r="AN29" s="1094">
        <f t="shared" si="3"/>
        <v>0.03</v>
      </c>
      <c r="AO29" s="1119">
        <f>5/121</f>
        <v>4.1322314049586778E-2</v>
      </c>
      <c r="AP29" s="1057" t="s">
        <v>2165</v>
      </c>
      <c r="AQ29" s="1057" t="s">
        <v>2166</v>
      </c>
      <c r="AR29" s="1117">
        <f t="shared" si="4"/>
        <v>0.04</v>
      </c>
      <c r="AS29" s="1294">
        <f>12/121</f>
        <v>9.9173553719008267E-2</v>
      </c>
      <c r="AT29" s="919" t="s">
        <v>2395</v>
      </c>
      <c r="AU29" s="919" t="s">
        <v>2153</v>
      </c>
    </row>
    <row r="30" spans="1:47" ht="212.65" customHeight="1" thickTop="1" thickBot="1">
      <c r="A30" s="1565"/>
      <c r="B30" s="1565"/>
      <c r="C30" s="1566"/>
      <c r="D30" s="1136">
        <v>7</v>
      </c>
      <c r="E30" s="1059" t="s">
        <v>2167</v>
      </c>
      <c r="F30" s="1137">
        <v>0.04</v>
      </c>
      <c r="G30" s="1060" t="s">
        <v>538</v>
      </c>
      <c r="H30" s="1061" t="s">
        <v>532</v>
      </c>
      <c r="I30" s="1062">
        <v>10</v>
      </c>
      <c r="J30" s="1163">
        <f t="shared" si="16"/>
        <v>32</v>
      </c>
      <c r="K30" s="1041">
        <f t="shared" si="17"/>
        <v>3.2</v>
      </c>
      <c r="L30" s="1063">
        <v>30</v>
      </c>
      <c r="M30" s="1164">
        <f t="shared" si="18"/>
        <v>18</v>
      </c>
      <c r="N30" s="1044">
        <f t="shared" si="19"/>
        <v>0.6</v>
      </c>
      <c r="O30" s="1062">
        <v>30</v>
      </c>
      <c r="P30" s="1163">
        <f t="shared" si="20"/>
        <v>30</v>
      </c>
      <c r="Q30" s="1041">
        <f t="shared" si="21"/>
        <v>1</v>
      </c>
      <c r="R30" s="1063">
        <v>30</v>
      </c>
      <c r="S30" s="1164">
        <f t="shared" si="22"/>
        <v>29</v>
      </c>
      <c r="T30" s="1044">
        <f t="shared" si="23"/>
        <v>0.96666666666666667</v>
      </c>
      <c r="U30" s="1165">
        <f t="shared" si="26"/>
        <v>100</v>
      </c>
      <c r="V30" s="1166">
        <f t="shared" si="26"/>
        <v>109</v>
      </c>
      <c r="W30" s="1047">
        <f t="shared" si="24"/>
        <v>1</v>
      </c>
      <c r="X30" s="1047">
        <f t="shared" si="25"/>
        <v>0.04</v>
      </c>
      <c r="Y30" s="1167" t="s">
        <v>2168</v>
      </c>
      <c r="Z30" s="1167" t="s">
        <v>2169</v>
      </c>
      <c r="AA30" s="1152" t="s">
        <v>2149</v>
      </c>
      <c r="AB30" s="1152" t="s">
        <v>2150</v>
      </c>
      <c r="AC30" s="1153" t="s">
        <v>542</v>
      </c>
      <c r="AD30" s="1154" t="s">
        <v>2133</v>
      </c>
      <c r="AE30" s="1174" t="s">
        <v>2170</v>
      </c>
      <c r="AF30" s="1169">
        <f t="shared" si="1"/>
        <v>10</v>
      </c>
      <c r="AG30" s="1169">
        <v>32</v>
      </c>
      <c r="AH30" s="1053" t="s">
        <v>2171</v>
      </c>
      <c r="AI30" s="1053" t="s">
        <v>2172</v>
      </c>
      <c r="AJ30" s="1170">
        <f t="shared" si="2"/>
        <v>30</v>
      </c>
      <c r="AK30" s="1170">
        <v>18</v>
      </c>
      <c r="AL30" s="1171" t="s">
        <v>2173</v>
      </c>
      <c r="AM30" s="1172" t="s">
        <v>2172</v>
      </c>
      <c r="AN30" s="1169">
        <f t="shared" si="3"/>
        <v>30</v>
      </c>
      <c r="AO30" s="1173">
        <v>30</v>
      </c>
      <c r="AP30" s="1057" t="s">
        <v>2174</v>
      </c>
      <c r="AQ30" s="1057" t="s">
        <v>2172</v>
      </c>
      <c r="AR30" s="1170">
        <f t="shared" si="4"/>
        <v>30</v>
      </c>
      <c r="AS30" s="1295">
        <v>29</v>
      </c>
      <c r="AT30" s="919" t="s">
        <v>2396</v>
      </c>
      <c r="AU30" s="1296" t="s">
        <v>2172</v>
      </c>
    </row>
    <row r="31" spans="1:47" ht="212.65" customHeight="1" thickTop="1" thickBot="1">
      <c r="A31" s="1565"/>
      <c r="B31" s="1565"/>
      <c r="C31" s="1566"/>
      <c r="D31" s="1136">
        <v>8</v>
      </c>
      <c r="E31" s="1059" t="s">
        <v>2175</v>
      </c>
      <c r="F31" s="1137">
        <v>0</v>
      </c>
      <c r="G31" s="1060" t="s">
        <v>537</v>
      </c>
      <c r="H31" s="1061" t="s">
        <v>532</v>
      </c>
      <c r="I31" s="1102">
        <v>0</v>
      </c>
      <c r="J31" s="1103">
        <f t="shared" si="16"/>
        <v>0</v>
      </c>
      <c r="K31" s="1041" t="str">
        <f t="shared" si="17"/>
        <v/>
      </c>
      <c r="L31" s="1106">
        <v>0</v>
      </c>
      <c r="M31" s="1105">
        <f t="shared" si="18"/>
        <v>0</v>
      </c>
      <c r="N31" s="1044" t="str">
        <f t="shared" si="19"/>
        <v/>
      </c>
      <c r="O31" s="1102">
        <v>0</v>
      </c>
      <c r="P31" s="1103">
        <f t="shared" si="20"/>
        <v>0</v>
      </c>
      <c r="Q31" s="1041" t="str">
        <f t="shared" si="21"/>
        <v/>
      </c>
      <c r="R31" s="1106">
        <v>0</v>
      </c>
      <c r="S31" s="1105">
        <f t="shared" si="22"/>
        <v>0</v>
      </c>
      <c r="T31" s="1044" t="str">
        <f t="shared" si="23"/>
        <v/>
      </c>
      <c r="U31" s="1107">
        <f t="shared" si="26"/>
        <v>0</v>
      </c>
      <c r="V31" s="1150">
        <f t="shared" si="26"/>
        <v>0</v>
      </c>
      <c r="W31" s="1047">
        <f t="shared" si="24"/>
        <v>0</v>
      </c>
      <c r="X31" s="1047">
        <f t="shared" si="25"/>
        <v>0</v>
      </c>
      <c r="Y31" s="1167" t="s">
        <v>2176</v>
      </c>
      <c r="Z31" s="1167" t="s">
        <v>2177</v>
      </c>
      <c r="AA31" s="1152" t="s">
        <v>2178</v>
      </c>
      <c r="AB31" s="1168" t="s">
        <v>2179</v>
      </c>
      <c r="AC31" s="1153" t="s">
        <v>542</v>
      </c>
      <c r="AD31" s="1154" t="s">
        <v>2133</v>
      </c>
      <c r="AE31" s="1175" t="s">
        <v>2180</v>
      </c>
      <c r="AF31" s="1094">
        <f t="shared" si="1"/>
        <v>0</v>
      </c>
      <c r="AG31" s="1094">
        <v>0</v>
      </c>
      <c r="AH31" s="1053" t="s">
        <v>2035</v>
      </c>
      <c r="AI31" s="1053" t="s">
        <v>2035</v>
      </c>
      <c r="AJ31" s="1117">
        <f t="shared" si="2"/>
        <v>0</v>
      </c>
      <c r="AK31" s="1117">
        <v>0</v>
      </c>
      <c r="AL31" s="1127" t="s">
        <v>2035</v>
      </c>
      <c r="AM31" s="1122" t="s">
        <v>2035</v>
      </c>
      <c r="AN31" s="1094">
        <f t="shared" si="3"/>
        <v>0</v>
      </c>
      <c r="AO31" s="1119">
        <v>0</v>
      </c>
      <c r="AP31" s="1057" t="s">
        <v>2035</v>
      </c>
      <c r="AQ31" s="1162" t="s">
        <v>2035</v>
      </c>
      <c r="AR31" s="1117">
        <f t="shared" si="4"/>
        <v>0</v>
      </c>
      <c r="AS31" s="1294">
        <v>0</v>
      </c>
      <c r="AT31" s="919" t="s">
        <v>2035</v>
      </c>
      <c r="AU31" s="919" t="s">
        <v>2035</v>
      </c>
    </row>
    <row r="32" spans="1:47" ht="212.65" customHeight="1" thickTop="1" thickBot="1">
      <c r="A32" s="1565"/>
      <c r="B32" s="1565"/>
      <c r="C32" s="1566"/>
      <c r="D32" s="1136">
        <v>9</v>
      </c>
      <c r="E32" s="1059" t="s">
        <v>2181</v>
      </c>
      <c r="F32" s="1137">
        <v>0.04</v>
      </c>
      <c r="G32" s="1060" t="s">
        <v>537</v>
      </c>
      <c r="H32" s="1061" t="s">
        <v>532</v>
      </c>
      <c r="I32" s="1102">
        <v>0.1</v>
      </c>
      <c r="J32" s="1103">
        <f t="shared" si="16"/>
        <v>0</v>
      </c>
      <c r="K32" s="1041">
        <f t="shared" si="17"/>
        <v>0</v>
      </c>
      <c r="L32" s="1106">
        <v>0</v>
      </c>
      <c r="M32" s="1105">
        <f t="shared" si="18"/>
        <v>6.6666666666666666E-2</v>
      </c>
      <c r="N32" s="1044" t="str">
        <f t="shared" si="19"/>
        <v/>
      </c>
      <c r="O32" s="1102">
        <v>0.4</v>
      </c>
      <c r="P32" s="1103">
        <f t="shared" si="20"/>
        <v>0.3</v>
      </c>
      <c r="Q32" s="1041">
        <f t="shared" si="21"/>
        <v>0.74999999999999989</v>
      </c>
      <c r="R32" s="1106">
        <v>0.5</v>
      </c>
      <c r="S32" s="1105">
        <f t="shared" si="22"/>
        <v>0.16129032258064516</v>
      </c>
      <c r="T32" s="1044">
        <f t="shared" si="23"/>
        <v>0.32258064516129031</v>
      </c>
      <c r="U32" s="1107">
        <f t="shared" si="26"/>
        <v>1</v>
      </c>
      <c r="V32" s="1150">
        <f t="shared" si="26"/>
        <v>0.52795698924731183</v>
      </c>
      <c r="W32" s="1047">
        <f t="shared" si="24"/>
        <v>0.52795698924731183</v>
      </c>
      <c r="X32" s="1047">
        <f t="shared" si="25"/>
        <v>2.1118279569892474E-2</v>
      </c>
      <c r="Y32" s="1167" t="s">
        <v>2182</v>
      </c>
      <c r="Z32" s="1167" t="s">
        <v>2183</v>
      </c>
      <c r="AA32" s="1152" t="s">
        <v>2184</v>
      </c>
      <c r="AB32" s="1168" t="s">
        <v>2185</v>
      </c>
      <c r="AC32" s="1153" t="s">
        <v>542</v>
      </c>
      <c r="AD32" s="1154" t="s">
        <v>2133</v>
      </c>
      <c r="AE32" s="1176" t="s">
        <v>2186</v>
      </c>
      <c r="AF32" s="1094">
        <f t="shared" si="1"/>
        <v>0.1</v>
      </c>
      <c r="AG32" s="1094">
        <v>0</v>
      </c>
      <c r="AH32" s="1053" t="s">
        <v>2187</v>
      </c>
      <c r="AI32" s="1053" t="s">
        <v>2172</v>
      </c>
      <c r="AJ32" s="1117">
        <f t="shared" si="2"/>
        <v>0</v>
      </c>
      <c r="AK32" s="1117">
        <f>2/30</f>
        <v>6.6666666666666666E-2</v>
      </c>
      <c r="AL32" s="1129" t="s">
        <v>2188</v>
      </c>
      <c r="AM32" s="1122" t="s">
        <v>2189</v>
      </c>
      <c r="AN32" s="1094">
        <f t="shared" si="3"/>
        <v>0.4</v>
      </c>
      <c r="AO32" s="1119">
        <f>9/30</f>
        <v>0.3</v>
      </c>
      <c r="AP32" s="1057" t="s">
        <v>2190</v>
      </c>
      <c r="AQ32" s="1162" t="s">
        <v>2189</v>
      </c>
      <c r="AR32" s="1117">
        <f t="shared" si="4"/>
        <v>0.5</v>
      </c>
      <c r="AS32" s="1294">
        <f>5/31</f>
        <v>0.16129032258064516</v>
      </c>
      <c r="AT32" s="919" t="s">
        <v>2397</v>
      </c>
      <c r="AU32" s="1293" t="s">
        <v>2189</v>
      </c>
    </row>
    <row r="33" spans="1:47" ht="240.75" customHeight="1" thickTop="1" thickBot="1">
      <c r="A33" s="1565"/>
      <c r="B33" s="1565"/>
      <c r="C33" s="1566"/>
      <c r="D33" s="1136">
        <v>10</v>
      </c>
      <c r="E33" s="1059" t="s">
        <v>2191</v>
      </c>
      <c r="F33" s="1137">
        <v>0.04</v>
      </c>
      <c r="G33" s="1060" t="s">
        <v>538</v>
      </c>
      <c r="H33" s="1061" t="s">
        <v>532</v>
      </c>
      <c r="I33" s="1062">
        <v>2</v>
      </c>
      <c r="J33" s="1163">
        <f t="shared" si="16"/>
        <v>5</v>
      </c>
      <c r="K33" s="1041">
        <f t="shared" si="17"/>
        <v>2.5</v>
      </c>
      <c r="L33" s="1063">
        <v>14</v>
      </c>
      <c r="M33" s="1164">
        <f t="shared" si="18"/>
        <v>14</v>
      </c>
      <c r="N33" s="1044">
        <f t="shared" si="19"/>
        <v>1</v>
      </c>
      <c r="O33" s="1062">
        <v>3</v>
      </c>
      <c r="P33" s="1163">
        <f t="shared" si="20"/>
        <v>6</v>
      </c>
      <c r="Q33" s="1041">
        <f t="shared" si="21"/>
        <v>2</v>
      </c>
      <c r="R33" s="1063">
        <v>3</v>
      </c>
      <c r="S33" s="1164">
        <f t="shared" si="22"/>
        <v>7</v>
      </c>
      <c r="T33" s="1044">
        <f t="shared" si="23"/>
        <v>2.3333333333333335</v>
      </c>
      <c r="U33" s="1165">
        <f t="shared" si="26"/>
        <v>22</v>
      </c>
      <c r="V33" s="1166">
        <f t="shared" si="26"/>
        <v>32</v>
      </c>
      <c r="W33" s="1047">
        <f t="shared" si="24"/>
        <v>1</v>
      </c>
      <c r="X33" s="1047">
        <f t="shared" si="25"/>
        <v>0.04</v>
      </c>
      <c r="Y33" s="1167" t="s">
        <v>2192</v>
      </c>
      <c r="Z33" s="1167" t="s">
        <v>2193</v>
      </c>
      <c r="AA33" s="1152" t="s">
        <v>2194</v>
      </c>
      <c r="AB33" s="1168" t="s">
        <v>2195</v>
      </c>
      <c r="AC33" s="1153" t="s">
        <v>542</v>
      </c>
      <c r="AD33" s="1177" t="s">
        <v>2196</v>
      </c>
      <c r="AE33" s="1161" t="s">
        <v>2197</v>
      </c>
      <c r="AF33" s="1169">
        <f t="shared" si="1"/>
        <v>2</v>
      </c>
      <c r="AG33" s="1169">
        <v>5</v>
      </c>
      <c r="AH33" s="1116" t="s">
        <v>2198</v>
      </c>
      <c r="AI33" s="1053" t="s">
        <v>2199</v>
      </c>
      <c r="AJ33" s="1170">
        <f t="shared" si="2"/>
        <v>14</v>
      </c>
      <c r="AK33" s="1170">
        <v>14</v>
      </c>
      <c r="AL33" s="1127" t="s">
        <v>2200</v>
      </c>
      <c r="AM33" s="1172" t="s">
        <v>2199</v>
      </c>
      <c r="AN33" s="1169">
        <f t="shared" si="3"/>
        <v>3</v>
      </c>
      <c r="AO33" s="1173">
        <f>1+2+1+1+1</f>
        <v>6</v>
      </c>
      <c r="AP33" s="1057" t="s">
        <v>2201</v>
      </c>
      <c r="AQ33" s="1057" t="s">
        <v>2166</v>
      </c>
      <c r="AR33" s="1170">
        <f t="shared" si="4"/>
        <v>3</v>
      </c>
      <c r="AS33" s="1295">
        <v>7</v>
      </c>
      <c r="AT33" s="919" t="s">
        <v>2398</v>
      </c>
      <c r="AU33" s="919" t="s">
        <v>2199</v>
      </c>
    </row>
    <row r="34" spans="1:47" ht="215.85" customHeight="1" thickTop="1" thickBot="1">
      <c r="A34" s="1565"/>
      <c r="B34" s="1565"/>
      <c r="C34" s="1566"/>
      <c r="D34" s="1136">
        <v>11</v>
      </c>
      <c r="E34" s="1035" t="s">
        <v>2202</v>
      </c>
      <c r="F34" s="1137">
        <v>0.04</v>
      </c>
      <c r="G34" s="1060" t="s">
        <v>538</v>
      </c>
      <c r="H34" s="1061" t="s">
        <v>532</v>
      </c>
      <c r="I34" s="1062">
        <v>0</v>
      </c>
      <c r="J34" s="1163">
        <f t="shared" si="16"/>
        <v>0</v>
      </c>
      <c r="K34" s="1041" t="str">
        <f t="shared" si="17"/>
        <v/>
      </c>
      <c r="L34" s="1063">
        <v>1</v>
      </c>
      <c r="M34" s="1164">
        <f t="shared" si="18"/>
        <v>2</v>
      </c>
      <c r="N34" s="1044">
        <f t="shared" si="19"/>
        <v>2</v>
      </c>
      <c r="O34" s="1062">
        <v>1</v>
      </c>
      <c r="P34" s="1163">
        <f t="shared" si="20"/>
        <v>2</v>
      </c>
      <c r="Q34" s="1041">
        <f t="shared" si="21"/>
        <v>2</v>
      </c>
      <c r="R34" s="1063">
        <v>1</v>
      </c>
      <c r="S34" s="1164">
        <f t="shared" si="22"/>
        <v>0</v>
      </c>
      <c r="T34" s="1044">
        <f t="shared" si="23"/>
        <v>0</v>
      </c>
      <c r="U34" s="1165">
        <f t="shared" si="26"/>
        <v>3</v>
      </c>
      <c r="V34" s="1166">
        <f t="shared" si="26"/>
        <v>4</v>
      </c>
      <c r="W34" s="1047">
        <f t="shared" si="24"/>
        <v>1</v>
      </c>
      <c r="X34" s="1047">
        <f t="shared" si="25"/>
        <v>0.04</v>
      </c>
      <c r="Y34" s="1167" t="s">
        <v>2203</v>
      </c>
      <c r="Z34" s="1167" t="s">
        <v>2204</v>
      </c>
      <c r="AA34" s="1152" t="s">
        <v>2194</v>
      </c>
      <c r="AB34" s="1168" t="s">
        <v>2195</v>
      </c>
      <c r="AC34" s="1153" t="s">
        <v>542</v>
      </c>
      <c r="AD34" s="1177" t="s">
        <v>2196</v>
      </c>
      <c r="AE34" s="1161" t="s">
        <v>2205</v>
      </c>
      <c r="AF34" s="1169">
        <f t="shared" si="1"/>
        <v>0</v>
      </c>
      <c r="AG34" s="1169">
        <v>0</v>
      </c>
      <c r="AH34" s="1116" t="s">
        <v>2035</v>
      </c>
      <c r="AI34" s="1116" t="s">
        <v>2035</v>
      </c>
      <c r="AJ34" s="1170">
        <f t="shared" si="2"/>
        <v>1</v>
      </c>
      <c r="AK34" s="1170">
        <v>2</v>
      </c>
      <c r="AL34" s="1178" t="s">
        <v>2206</v>
      </c>
      <c r="AM34" s="1179" t="s">
        <v>2207</v>
      </c>
      <c r="AN34" s="1169">
        <f t="shared" si="3"/>
        <v>1</v>
      </c>
      <c r="AO34" s="1173">
        <v>2</v>
      </c>
      <c r="AP34" s="1057" t="s">
        <v>2208</v>
      </c>
      <c r="AQ34" s="1180" t="s">
        <v>2209</v>
      </c>
      <c r="AR34" s="1170">
        <f t="shared" si="4"/>
        <v>1</v>
      </c>
      <c r="AS34" s="1295">
        <v>0</v>
      </c>
      <c r="AT34" s="919" t="s">
        <v>2399</v>
      </c>
      <c r="AU34" s="1297" t="s">
        <v>2209</v>
      </c>
    </row>
    <row r="35" spans="1:47" s="980" customFormat="1" ht="141.19999999999999" customHeight="1" thickTop="1" thickBot="1">
      <c r="A35" s="1565"/>
      <c r="B35" s="1565"/>
      <c r="C35" s="1566"/>
      <c r="D35" s="1136">
        <v>12</v>
      </c>
      <c r="E35" s="1035" t="s">
        <v>2210</v>
      </c>
      <c r="F35" s="1137">
        <v>0.04</v>
      </c>
      <c r="G35" s="1060" t="s">
        <v>538</v>
      </c>
      <c r="H35" s="1061" t="s">
        <v>532</v>
      </c>
      <c r="I35" s="1062">
        <v>10</v>
      </c>
      <c r="J35" s="1163">
        <f t="shared" si="16"/>
        <v>12</v>
      </c>
      <c r="K35" s="1041">
        <f t="shared" si="17"/>
        <v>1.2</v>
      </c>
      <c r="L35" s="1063">
        <v>10</v>
      </c>
      <c r="M35" s="1164">
        <f t="shared" si="18"/>
        <v>10</v>
      </c>
      <c r="N35" s="1044">
        <f t="shared" si="19"/>
        <v>1</v>
      </c>
      <c r="O35" s="1062">
        <v>10</v>
      </c>
      <c r="P35" s="1163">
        <f t="shared" si="20"/>
        <v>15</v>
      </c>
      <c r="Q35" s="1041">
        <f t="shared" si="21"/>
        <v>1.5</v>
      </c>
      <c r="R35" s="1063">
        <v>10</v>
      </c>
      <c r="S35" s="1164">
        <f t="shared" si="22"/>
        <v>10</v>
      </c>
      <c r="T35" s="1044">
        <f t="shared" si="23"/>
        <v>1</v>
      </c>
      <c r="U35" s="1165">
        <f t="shared" si="26"/>
        <v>40</v>
      </c>
      <c r="V35" s="1166">
        <f t="shared" si="26"/>
        <v>47</v>
      </c>
      <c r="W35" s="1047">
        <f t="shared" si="24"/>
        <v>1</v>
      </c>
      <c r="X35" s="1047">
        <f t="shared" si="25"/>
        <v>0.04</v>
      </c>
      <c r="Y35" s="1181" t="s">
        <v>1833</v>
      </c>
      <c r="Z35" s="1181" t="s">
        <v>2211</v>
      </c>
      <c r="AA35" s="1182" t="s">
        <v>1834</v>
      </c>
      <c r="AB35" s="1182" t="s">
        <v>1835</v>
      </c>
      <c r="AC35" s="1153" t="s">
        <v>542</v>
      </c>
      <c r="AD35" s="1174" t="s">
        <v>2212</v>
      </c>
      <c r="AE35" s="1161" t="s">
        <v>2213</v>
      </c>
      <c r="AF35" s="1169">
        <f t="shared" si="1"/>
        <v>10</v>
      </c>
      <c r="AG35" s="1169">
        <v>12</v>
      </c>
      <c r="AH35" s="1116" t="s">
        <v>2214</v>
      </c>
      <c r="AI35" s="1116" t="s">
        <v>2199</v>
      </c>
      <c r="AJ35" s="1170">
        <f t="shared" si="2"/>
        <v>10</v>
      </c>
      <c r="AK35" s="1170">
        <v>10</v>
      </c>
      <c r="AL35" s="1172" t="s">
        <v>2215</v>
      </c>
      <c r="AM35" s="1183" t="s">
        <v>2199</v>
      </c>
      <c r="AN35" s="1169">
        <f t="shared" si="3"/>
        <v>10</v>
      </c>
      <c r="AO35" s="1173">
        <v>15</v>
      </c>
      <c r="AP35" s="1057" t="s">
        <v>2216</v>
      </c>
      <c r="AQ35" s="1057" t="s">
        <v>2217</v>
      </c>
      <c r="AR35" s="1170">
        <f t="shared" si="4"/>
        <v>10</v>
      </c>
      <c r="AS35" s="1295">
        <v>10</v>
      </c>
      <c r="AT35" s="1298" t="s">
        <v>2400</v>
      </c>
      <c r="AU35" s="1298" t="s">
        <v>2401</v>
      </c>
    </row>
    <row r="36" spans="1:47" s="980" customFormat="1" ht="162.6" customHeight="1" thickTop="1" thickBot="1">
      <c r="A36" s="1565"/>
      <c r="B36" s="1565"/>
      <c r="C36" s="1566"/>
      <c r="D36" s="1136">
        <v>13</v>
      </c>
      <c r="E36" s="1035" t="s">
        <v>2218</v>
      </c>
      <c r="F36" s="1137">
        <v>0.04</v>
      </c>
      <c r="G36" s="1060" t="s">
        <v>538</v>
      </c>
      <c r="H36" s="1061" t="s">
        <v>532</v>
      </c>
      <c r="I36" s="1062">
        <v>12</v>
      </c>
      <c r="J36" s="1163">
        <f t="shared" si="16"/>
        <v>12</v>
      </c>
      <c r="K36" s="1041">
        <f t="shared" si="17"/>
        <v>1</v>
      </c>
      <c r="L36" s="1063">
        <v>12</v>
      </c>
      <c r="M36" s="1184">
        <f t="shared" si="18"/>
        <v>14</v>
      </c>
      <c r="N36" s="1044">
        <f t="shared" si="19"/>
        <v>1.1666666666666667</v>
      </c>
      <c r="O36" s="1062">
        <v>12</v>
      </c>
      <c r="P36" s="1163">
        <f t="shared" si="20"/>
        <v>15</v>
      </c>
      <c r="Q36" s="1041">
        <f t="shared" si="21"/>
        <v>1.25</v>
      </c>
      <c r="R36" s="1063">
        <v>12</v>
      </c>
      <c r="S36" s="1184">
        <f t="shared" si="22"/>
        <v>12</v>
      </c>
      <c r="T36" s="1044">
        <f t="shared" si="23"/>
        <v>1</v>
      </c>
      <c r="U36" s="1165">
        <f t="shared" si="26"/>
        <v>48</v>
      </c>
      <c r="V36" s="1166">
        <f t="shared" si="26"/>
        <v>53</v>
      </c>
      <c r="W36" s="1047">
        <f t="shared" si="24"/>
        <v>1</v>
      </c>
      <c r="X36" s="1047">
        <f t="shared" si="25"/>
        <v>0.04</v>
      </c>
      <c r="Y36" s="1181" t="s">
        <v>1844</v>
      </c>
      <c r="Z36" s="1181" t="s">
        <v>2219</v>
      </c>
      <c r="AA36" s="1182" t="s">
        <v>1845</v>
      </c>
      <c r="AB36" s="1182" t="s">
        <v>1835</v>
      </c>
      <c r="AC36" s="1153" t="s">
        <v>542</v>
      </c>
      <c r="AD36" s="1185" t="s">
        <v>1847</v>
      </c>
      <c r="AE36" s="1161" t="s">
        <v>2220</v>
      </c>
      <c r="AF36" s="1169">
        <f t="shared" si="1"/>
        <v>12</v>
      </c>
      <c r="AG36" s="1169">
        <v>12</v>
      </c>
      <c r="AH36" s="1116" t="s">
        <v>2221</v>
      </c>
      <c r="AI36" s="1116" t="s">
        <v>2199</v>
      </c>
      <c r="AJ36" s="1186">
        <f t="shared" si="2"/>
        <v>12</v>
      </c>
      <c r="AK36" s="1187">
        <v>14</v>
      </c>
      <c r="AL36" s="1172" t="s">
        <v>2222</v>
      </c>
      <c r="AM36" s="1188" t="s">
        <v>2199</v>
      </c>
      <c r="AN36" s="1169">
        <f t="shared" si="3"/>
        <v>12</v>
      </c>
      <c r="AO36" s="1173">
        <v>15</v>
      </c>
      <c r="AP36" s="1156" t="s">
        <v>2223</v>
      </c>
      <c r="AQ36" s="1180" t="s">
        <v>2199</v>
      </c>
      <c r="AR36" s="1170">
        <f t="shared" si="4"/>
        <v>12</v>
      </c>
      <c r="AS36" s="1295">
        <v>12</v>
      </c>
      <c r="AT36" s="1298" t="s">
        <v>2221</v>
      </c>
      <c r="AU36" s="1298" t="s">
        <v>2166</v>
      </c>
    </row>
    <row r="37" spans="1:47" s="980" customFormat="1" ht="141.75" customHeight="1" thickTop="1" thickBot="1">
      <c r="A37" s="1565"/>
      <c r="B37" s="1565"/>
      <c r="C37" s="1566"/>
      <c r="D37" s="1136">
        <v>14</v>
      </c>
      <c r="E37" s="1035" t="s">
        <v>2224</v>
      </c>
      <c r="F37" s="1137">
        <v>0.04</v>
      </c>
      <c r="G37" s="1060" t="s">
        <v>538</v>
      </c>
      <c r="H37" s="1061" t="s">
        <v>532</v>
      </c>
      <c r="I37" s="1062">
        <v>27</v>
      </c>
      <c r="J37" s="1163">
        <f t="shared" si="16"/>
        <v>18</v>
      </c>
      <c r="K37" s="1041">
        <f t="shared" si="17"/>
        <v>0.66666666666666663</v>
      </c>
      <c r="L37" s="1063">
        <v>27</v>
      </c>
      <c r="M37" s="1164">
        <f t="shared" si="18"/>
        <v>27</v>
      </c>
      <c r="N37" s="1044">
        <f t="shared" si="19"/>
        <v>1</v>
      </c>
      <c r="O37" s="1062">
        <v>27</v>
      </c>
      <c r="P37" s="1163">
        <f t="shared" si="20"/>
        <v>45</v>
      </c>
      <c r="Q37" s="1041">
        <f t="shared" si="21"/>
        <v>1.6666666666666667</v>
      </c>
      <c r="R37" s="1063">
        <v>27</v>
      </c>
      <c r="S37" s="1164">
        <f t="shared" si="22"/>
        <v>29</v>
      </c>
      <c r="T37" s="1044">
        <f t="shared" si="23"/>
        <v>1.0740740740740742</v>
      </c>
      <c r="U37" s="1165">
        <f t="shared" si="26"/>
        <v>108</v>
      </c>
      <c r="V37" s="1166">
        <f t="shared" si="26"/>
        <v>119</v>
      </c>
      <c r="W37" s="1047">
        <f t="shared" si="24"/>
        <v>1</v>
      </c>
      <c r="X37" s="1047">
        <f t="shared" si="25"/>
        <v>0.04</v>
      </c>
      <c r="Y37" s="1181" t="s">
        <v>1851</v>
      </c>
      <c r="Z37" s="1181" t="s">
        <v>2225</v>
      </c>
      <c r="AA37" s="1182" t="s">
        <v>2226</v>
      </c>
      <c r="AB37" s="1182" t="s">
        <v>2227</v>
      </c>
      <c r="AC37" s="1153" t="s">
        <v>542</v>
      </c>
      <c r="AD37" s="1153" t="s">
        <v>1847</v>
      </c>
      <c r="AE37" s="1161" t="s">
        <v>2228</v>
      </c>
      <c r="AF37" s="1169">
        <f t="shared" si="1"/>
        <v>27</v>
      </c>
      <c r="AG37" s="1169">
        <v>18</v>
      </c>
      <c r="AH37" s="1053" t="s">
        <v>2229</v>
      </c>
      <c r="AI37" s="1116" t="s">
        <v>2199</v>
      </c>
      <c r="AJ37" s="1170">
        <f t="shared" si="2"/>
        <v>27</v>
      </c>
      <c r="AK37" s="1189">
        <v>27</v>
      </c>
      <c r="AL37" s="1172" t="s">
        <v>2229</v>
      </c>
      <c r="AM37" s="1183" t="s">
        <v>2199</v>
      </c>
      <c r="AN37" s="1169">
        <f t="shared" si="3"/>
        <v>27</v>
      </c>
      <c r="AO37" s="1173">
        <f>53-8</f>
        <v>45</v>
      </c>
      <c r="AP37" s="1119" t="s">
        <v>2230</v>
      </c>
      <c r="AQ37" s="1119" t="s">
        <v>2166</v>
      </c>
      <c r="AR37" s="1170">
        <f t="shared" si="4"/>
        <v>27</v>
      </c>
      <c r="AS37" s="1295">
        <v>29</v>
      </c>
      <c r="AT37" s="1298" t="s">
        <v>2402</v>
      </c>
      <c r="AU37" s="1298" t="s">
        <v>2166</v>
      </c>
    </row>
    <row r="38" spans="1:47" ht="255" customHeight="1" thickTop="1" thickBot="1">
      <c r="A38" s="1565"/>
      <c r="B38" s="1565"/>
      <c r="C38" s="1566"/>
      <c r="D38" s="1136">
        <v>15</v>
      </c>
      <c r="E38" s="1035" t="s">
        <v>2231</v>
      </c>
      <c r="F38" s="1137">
        <v>0.03</v>
      </c>
      <c r="G38" s="1060" t="s">
        <v>537</v>
      </c>
      <c r="H38" s="1061" t="s">
        <v>529</v>
      </c>
      <c r="I38" s="1102">
        <v>0</v>
      </c>
      <c r="J38" s="1103">
        <f t="shared" si="16"/>
        <v>0</v>
      </c>
      <c r="K38" s="1041" t="str">
        <f t="shared" si="17"/>
        <v/>
      </c>
      <c r="L38" s="1106">
        <v>0.01</v>
      </c>
      <c r="M38" s="1105">
        <f t="shared" si="18"/>
        <v>0</v>
      </c>
      <c r="N38" s="1044">
        <f t="shared" si="19"/>
        <v>0</v>
      </c>
      <c r="O38" s="1102">
        <v>0.02</v>
      </c>
      <c r="P38" s="1103">
        <f t="shared" si="20"/>
        <v>1.4705882352941176E-2</v>
      </c>
      <c r="Q38" s="1041">
        <f t="shared" si="21"/>
        <v>0.73529411764705876</v>
      </c>
      <c r="R38" s="1106">
        <v>0.05</v>
      </c>
      <c r="S38" s="1105">
        <f t="shared" si="22"/>
        <v>0</v>
      </c>
      <c r="T38" s="1044">
        <f t="shared" si="23"/>
        <v>0</v>
      </c>
      <c r="U38" s="1107">
        <f>R38</f>
        <v>0.05</v>
      </c>
      <c r="V38" s="1150">
        <f>S38</f>
        <v>0</v>
      </c>
      <c r="W38" s="1047">
        <f t="shared" si="24"/>
        <v>0</v>
      </c>
      <c r="X38" s="1047">
        <f t="shared" si="25"/>
        <v>0</v>
      </c>
      <c r="Y38" s="1190" t="s">
        <v>2232</v>
      </c>
      <c r="Z38" s="1190" t="s">
        <v>2233</v>
      </c>
      <c r="AA38" s="1152" t="s">
        <v>2234</v>
      </c>
      <c r="AB38" s="1152" t="s">
        <v>2235</v>
      </c>
      <c r="AC38" s="1153" t="s">
        <v>540</v>
      </c>
      <c r="AD38" s="1161" t="s">
        <v>2236</v>
      </c>
      <c r="AE38" s="1161" t="s">
        <v>2237</v>
      </c>
      <c r="AF38" s="1094">
        <f t="shared" si="1"/>
        <v>0</v>
      </c>
      <c r="AG38" s="1094">
        <v>0</v>
      </c>
      <c r="AH38" s="1191" t="s">
        <v>2035</v>
      </c>
      <c r="AI38" s="1053" t="s">
        <v>2035</v>
      </c>
      <c r="AJ38" s="1117">
        <f t="shared" si="2"/>
        <v>0.01</v>
      </c>
      <c r="AK38" s="1192">
        <v>0</v>
      </c>
      <c r="AL38" s="1127" t="s">
        <v>2238</v>
      </c>
      <c r="AM38" s="1122" t="s">
        <v>2035</v>
      </c>
      <c r="AN38" s="1094">
        <f t="shared" si="3"/>
        <v>0.02</v>
      </c>
      <c r="AO38" s="1119">
        <f>1/68</f>
        <v>1.4705882352941176E-2</v>
      </c>
      <c r="AP38" s="1057" t="s">
        <v>2239</v>
      </c>
      <c r="AQ38" s="1057" t="s">
        <v>1956</v>
      </c>
      <c r="AR38" s="1096">
        <f t="shared" si="4"/>
        <v>0.05</v>
      </c>
      <c r="AS38" s="1286">
        <v>0</v>
      </c>
      <c r="AT38" s="1299" t="s">
        <v>2403</v>
      </c>
      <c r="AU38" s="1284" t="s">
        <v>1956</v>
      </c>
    </row>
    <row r="39" spans="1:47" ht="204" customHeight="1" thickTop="1" thickBot="1">
      <c r="A39" s="1565"/>
      <c r="B39" s="1565"/>
      <c r="C39" s="1566"/>
      <c r="D39" s="1136">
        <v>16</v>
      </c>
      <c r="E39" s="1035" t="s">
        <v>2240</v>
      </c>
      <c r="F39" s="1137">
        <v>0.04</v>
      </c>
      <c r="G39" s="1060" t="s">
        <v>537</v>
      </c>
      <c r="H39" s="1061" t="s">
        <v>532</v>
      </c>
      <c r="I39" s="1102">
        <v>7.0000000000000007E-2</v>
      </c>
      <c r="J39" s="1103">
        <f t="shared" si="16"/>
        <v>0.24912280701754386</v>
      </c>
      <c r="K39" s="1041">
        <f t="shared" si="17"/>
        <v>3.558897243107769</v>
      </c>
      <c r="L39" s="1106">
        <v>0.08</v>
      </c>
      <c r="M39" s="1105">
        <f t="shared" si="18"/>
        <v>0.10421052631578948</v>
      </c>
      <c r="N39" s="1044">
        <f t="shared" si="19"/>
        <v>1.3026315789473684</v>
      </c>
      <c r="O39" s="1102">
        <v>7.0000000000000007E-2</v>
      </c>
      <c r="P39" s="1103">
        <f t="shared" si="20"/>
        <v>0.10947368421052632</v>
      </c>
      <c r="Q39" s="1041">
        <f t="shared" si="21"/>
        <v>1.5639097744360901</v>
      </c>
      <c r="R39" s="1106">
        <v>0.08</v>
      </c>
      <c r="S39" s="1105">
        <f t="shared" si="22"/>
        <v>0.12421052631578948</v>
      </c>
      <c r="T39" s="1044">
        <f t="shared" si="23"/>
        <v>1.5526315789473684</v>
      </c>
      <c r="U39" s="1107">
        <f>SUM(I39,L39,O39,R39)</f>
        <v>0.30000000000000004</v>
      </c>
      <c r="V39" s="1193">
        <f>SUM(J39,M39,P39,S39)</f>
        <v>0.5870175438596491</v>
      </c>
      <c r="W39" s="1047">
        <f t="shared" si="24"/>
        <v>1</v>
      </c>
      <c r="X39" s="1047">
        <f t="shared" si="25"/>
        <v>0.04</v>
      </c>
      <c r="Y39" s="1190" t="s">
        <v>2241</v>
      </c>
      <c r="Z39" s="1190" t="s">
        <v>2242</v>
      </c>
      <c r="AA39" s="1152" t="s">
        <v>2243</v>
      </c>
      <c r="AB39" s="1152" t="s">
        <v>2244</v>
      </c>
      <c r="AC39" s="1153" t="s">
        <v>542</v>
      </c>
      <c r="AD39" s="1174" t="s">
        <v>2245</v>
      </c>
      <c r="AE39" s="1161" t="s">
        <v>2246</v>
      </c>
      <c r="AF39" s="1094">
        <f t="shared" si="1"/>
        <v>7.0000000000000007E-2</v>
      </c>
      <c r="AG39" s="1094">
        <f>71/285</f>
        <v>0.24912280701754386</v>
      </c>
      <c r="AH39" s="1191" t="s">
        <v>2247</v>
      </c>
      <c r="AI39" s="1053" t="s">
        <v>2248</v>
      </c>
      <c r="AJ39" s="1117">
        <f t="shared" si="2"/>
        <v>0.08</v>
      </c>
      <c r="AK39" s="1194">
        <f>99/950</f>
        <v>0.10421052631578948</v>
      </c>
      <c r="AL39" s="1127" t="s">
        <v>2249</v>
      </c>
      <c r="AM39" s="1172" t="s">
        <v>2250</v>
      </c>
      <c r="AN39" s="1094">
        <f t="shared" si="3"/>
        <v>7.0000000000000007E-2</v>
      </c>
      <c r="AO39" s="1119">
        <f>104/950</f>
        <v>0.10947368421052632</v>
      </c>
      <c r="AP39" s="1057" t="s">
        <v>2251</v>
      </c>
      <c r="AQ39" s="1057" t="s">
        <v>2252</v>
      </c>
      <c r="AR39" s="1096">
        <f t="shared" si="4"/>
        <v>0.08</v>
      </c>
      <c r="AS39" s="1286">
        <f>118/950</f>
        <v>0.12421052631578948</v>
      </c>
      <c r="AT39" s="1290" t="s">
        <v>2404</v>
      </c>
      <c r="AU39" s="1290" t="s">
        <v>2252</v>
      </c>
    </row>
    <row r="40" spans="1:47" ht="204" customHeight="1" thickTop="1" thickBot="1">
      <c r="A40" s="1565"/>
      <c r="B40" s="1565"/>
      <c r="C40" s="1566"/>
      <c r="D40" s="1136">
        <v>17</v>
      </c>
      <c r="E40" s="1035" t="s">
        <v>2253</v>
      </c>
      <c r="F40" s="1137">
        <v>0.04</v>
      </c>
      <c r="G40" s="1060" t="s">
        <v>537</v>
      </c>
      <c r="H40" s="1061" t="s">
        <v>529</v>
      </c>
      <c r="I40" s="1102">
        <v>0.01</v>
      </c>
      <c r="J40" s="1103">
        <f t="shared" si="16"/>
        <v>3.4482758620689655E-2</v>
      </c>
      <c r="K40" s="1041">
        <f t="shared" si="17"/>
        <v>3.4482758620689653</v>
      </c>
      <c r="L40" s="1106">
        <v>0.06</v>
      </c>
      <c r="M40" s="1105">
        <f t="shared" si="18"/>
        <v>4.8275862068965517E-2</v>
      </c>
      <c r="N40" s="1044">
        <f t="shared" si="19"/>
        <v>0.8045977011494253</v>
      </c>
      <c r="O40" s="1102">
        <v>7.0000000000000007E-2</v>
      </c>
      <c r="P40" s="1103">
        <f t="shared" si="20"/>
        <v>0.12413793103448276</v>
      </c>
      <c r="Q40" s="1041">
        <f t="shared" si="21"/>
        <v>1.773399014778325</v>
      </c>
      <c r="R40" s="1106">
        <v>0.2</v>
      </c>
      <c r="S40" s="1105">
        <f t="shared" si="22"/>
        <v>0.21551724137931033</v>
      </c>
      <c r="T40" s="1044">
        <f t="shared" si="23"/>
        <v>1.0775862068965516</v>
      </c>
      <c r="U40" s="1107">
        <f>R40</f>
        <v>0.2</v>
      </c>
      <c r="V40" s="1150">
        <f>S40</f>
        <v>0.21551724137931033</v>
      </c>
      <c r="W40" s="1047">
        <f t="shared" si="24"/>
        <v>1</v>
      </c>
      <c r="X40" s="1047">
        <f t="shared" si="25"/>
        <v>0.04</v>
      </c>
      <c r="Y40" s="1190" t="s">
        <v>2254</v>
      </c>
      <c r="Z40" s="1190" t="s">
        <v>2255</v>
      </c>
      <c r="AA40" s="1152" t="s">
        <v>2256</v>
      </c>
      <c r="AB40" s="1152" t="s">
        <v>2257</v>
      </c>
      <c r="AC40" s="1153" t="s">
        <v>542</v>
      </c>
      <c r="AD40" s="1174" t="s">
        <v>2258</v>
      </c>
      <c r="AE40" s="1161" t="s">
        <v>2246</v>
      </c>
      <c r="AF40" s="1094">
        <f t="shared" si="1"/>
        <v>0.01</v>
      </c>
      <c r="AG40" s="1094">
        <f>4/116</f>
        <v>3.4482758620689655E-2</v>
      </c>
      <c r="AH40" s="1191" t="s">
        <v>2259</v>
      </c>
      <c r="AI40" s="1053" t="s">
        <v>2260</v>
      </c>
      <c r="AJ40" s="1117">
        <f t="shared" si="2"/>
        <v>0.06</v>
      </c>
      <c r="AK40" s="1194">
        <f>28/580</f>
        <v>4.8275862068965517E-2</v>
      </c>
      <c r="AL40" s="1127" t="s">
        <v>2261</v>
      </c>
      <c r="AM40" s="1172" t="s">
        <v>2250</v>
      </c>
      <c r="AN40" s="1094">
        <f t="shared" si="3"/>
        <v>7.0000000000000007E-2</v>
      </c>
      <c r="AO40" s="1119">
        <f>72/580</f>
        <v>0.12413793103448276</v>
      </c>
      <c r="AP40" s="1057" t="s">
        <v>2262</v>
      </c>
      <c r="AQ40" s="1057" t="s">
        <v>2252</v>
      </c>
      <c r="AR40" s="1096">
        <f t="shared" si="4"/>
        <v>0.2</v>
      </c>
      <c r="AS40" s="1286">
        <f>125/580</f>
        <v>0.21551724137931033</v>
      </c>
      <c r="AT40" s="1290" t="s">
        <v>2405</v>
      </c>
      <c r="AU40" s="1290" t="s">
        <v>2252</v>
      </c>
    </row>
    <row r="41" spans="1:47" ht="68.650000000000006" customHeight="1" thickTop="1" thickBot="1">
      <c r="A41" s="1565"/>
      <c r="B41" s="1565"/>
      <c r="C41" s="1566"/>
      <c r="D41" s="1136">
        <v>18</v>
      </c>
      <c r="E41" s="1035" t="s">
        <v>2263</v>
      </c>
      <c r="F41" s="1137">
        <v>0.02</v>
      </c>
      <c r="G41" s="1060" t="s">
        <v>538</v>
      </c>
      <c r="H41" s="1061" t="s">
        <v>531</v>
      </c>
      <c r="I41" s="1062">
        <v>15</v>
      </c>
      <c r="J41" s="1163">
        <f t="shared" si="16"/>
        <v>7</v>
      </c>
      <c r="K41" s="1195">
        <f>IF(ISERROR(I41/J41),"",(I41/J41))</f>
        <v>2.1428571428571428</v>
      </c>
      <c r="L41" s="1063">
        <v>15</v>
      </c>
      <c r="M41" s="1164">
        <f t="shared" si="18"/>
        <v>11</v>
      </c>
      <c r="N41" s="1196">
        <f>IF(ISERROR(L41/M41),"",(L41/M41))</f>
        <v>1.3636363636363635</v>
      </c>
      <c r="O41" s="1062">
        <v>15</v>
      </c>
      <c r="P41" s="1163">
        <f t="shared" si="20"/>
        <v>5.7777777777777777</v>
      </c>
      <c r="Q41" s="1195">
        <f>IF(ISERROR(O41/P41),"",(O41/P41))</f>
        <v>2.5961538461538463</v>
      </c>
      <c r="R41" s="1063">
        <v>15</v>
      </c>
      <c r="S41" s="1164">
        <f t="shared" si="22"/>
        <v>7.15</v>
      </c>
      <c r="T41" s="1196">
        <f>IF(ISERROR(R41/S41),"",(R41/S41))</f>
        <v>2.0979020979020979</v>
      </c>
      <c r="U41" s="1165">
        <f>SUM(I41,L41,O41,R41)/4</f>
        <v>15</v>
      </c>
      <c r="V41" s="1166">
        <f>SUM(J41,M41,P41,S41)/4</f>
        <v>7.7319444444444443</v>
      </c>
      <c r="W41" s="1197">
        <f>IF(SUM(K41,N41,Q41,T41)/4&gt;1,1,SUM(K41,N41,Q41,T41)/4)</f>
        <v>1</v>
      </c>
      <c r="X41" s="1197">
        <f t="shared" si="25"/>
        <v>0.02</v>
      </c>
      <c r="Y41" s="1190" t="s">
        <v>2264</v>
      </c>
      <c r="Z41" s="1190" t="s">
        <v>2265</v>
      </c>
      <c r="AA41" s="1152" t="s">
        <v>2266</v>
      </c>
      <c r="AB41" s="1168" t="s">
        <v>1443</v>
      </c>
      <c r="AC41" s="1153" t="s">
        <v>541</v>
      </c>
      <c r="AD41" s="1174" t="s">
        <v>2267</v>
      </c>
      <c r="AE41" s="1161" t="s">
        <v>2268</v>
      </c>
      <c r="AF41" s="1169">
        <f t="shared" si="1"/>
        <v>15</v>
      </c>
      <c r="AG41" s="1169">
        <v>7</v>
      </c>
      <c r="AH41" s="1053" t="s">
        <v>2269</v>
      </c>
      <c r="AI41" s="1053" t="s">
        <v>2270</v>
      </c>
      <c r="AJ41" s="1170">
        <f t="shared" si="2"/>
        <v>15</v>
      </c>
      <c r="AK41" s="1170">
        <v>11</v>
      </c>
      <c r="AL41" s="1127" t="s">
        <v>2271</v>
      </c>
      <c r="AM41" s="1172" t="s">
        <v>2272</v>
      </c>
      <c r="AN41" s="1169">
        <f t="shared" si="3"/>
        <v>15</v>
      </c>
      <c r="AO41" s="1198">
        <f>676/117</f>
        <v>5.7777777777777777</v>
      </c>
      <c r="AP41" s="1199" t="s">
        <v>2273</v>
      </c>
      <c r="AQ41" s="1057" t="s">
        <v>2274</v>
      </c>
      <c r="AR41" s="1186">
        <f t="shared" si="4"/>
        <v>15</v>
      </c>
      <c r="AS41" s="1300">
        <f>429/60</f>
        <v>7.15</v>
      </c>
      <c r="AT41" s="1301" t="s">
        <v>2406</v>
      </c>
      <c r="AU41" s="1290" t="s">
        <v>2274</v>
      </c>
    </row>
    <row r="42" spans="1:47" ht="181.35" customHeight="1" thickTop="1" thickBot="1">
      <c r="A42" s="1565"/>
      <c r="B42" s="1565"/>
      <c r="C42" s="1566"/>
      <c r="D42" s="1136">
        <v>19</v>
      </c>
      <c r="E42" s="1059" t="s">
        <v>2275</v>
      </c>
      <c r="F42" s="1137">
        <v>0.03</v>
      </c>
      <c r="G42" s="1060" t="s">
        <v>537</v>
      </c>
      <c r="H42" s="1061" t="s">
        <v>531</v>
      </c>
      <c r="I42" s="1102">
        <v>0.72</v>
      </c>
      <c r="J42" s="1103">
        <f t="shared" si="16"/>
        <v>0.7098445595854922</v>
      </c>
      <c r="K42" s="1041">
        <f>IF(ISERROR(J42/I42),"",(J42/I42))</f>
        <v>0.98589522164651699</v>
      </c>
      <c r="L42" s="1106">
        <v>0.72</v>
      </c>
      <c r="M42" s="1105">
        <f t="shared" si="18"/>
        <v>0.71804511278195493</v>
      </c>
      <c r="N42" s="1044">
        <f>IF(ISERROR(M42/L42),"",(M42/L42))</f>
        <v>0.99728487886382633</v>
      </c>
      <c r="O42" s="1102">
        <v>0.72</v>
      </c>
      <c r="P42" s="1103">
        <f t="shared" si="20"/>
        <v>0.55963302752293576</v>
      </c>
      <c r="Q42" s="1041">
        <f>IF(ISERROR(P42/O42),"",(P42/O42))</f>
        <v>0.77726809378185524</v>
      </c>
      <c r="R42" s="1106">
        <v>0.72</v>
      </c>
      <c r="S42" s="1105">
        <f t="shared" si="22"/>
        <v>0.52837573385518588</v>
      </c>
      <c r="T42" s="1044">
        <f>IF(ISERROR(S42/R42),"",(S42/R42))</f>
        <v>0.73385518590998045</v>
      </c>
      <c r="U42" s="1107">
        <f>SUM(I42,L42,O42,R42)/4</f>
        <v>0.72</v>
      </c>
      <c r="V42" s="1150">
        <f>SUM(J42,M42,P42,S42)/4</f>
        <v>0.62897460843639219</v>
      </c>
      <c r="W42" s="1047">
        <f>IF((IF(ISERROR(V42/U42),0,(V42/U42)))&gt;1,1,(IF(ISERROR(V42/U42),0,(V42/U42))))</f>
        <v>0.87357584505054475</v>
      </c>
      <c r="X42" s="1047">
        <f t="shared" si="25"/>
        <v>2.6207275351516342E-2</v>
      </c>
      <c r="Y42" s="1190" t="s">
        <v>1892</v>
      </c>
      <c r="Z42" s="1190" t="s">
        <v>2276</v>
      </c>
      <c r="AA42" s="1152" t="s">
        <v>1893</v>
      </c>
      <c r="AB42" s="1152" t="s">
        <v>1894</v>
      </c>
      <c r="AC42" s="1153" t="s">
        <v>542</v>
      </c>
      <c r="AD42" s="1174" t="s">
        <v>2277</v>
      </c>
      <c r="AE42" s="1200" t="s">
        <v>2278</v>
      </c>
      <c r="AF42" s="1094">
        <f t="shared" si="1"/>
        <v>0.72</v>
      </c>
      <c r="AG42" s="1094">
        <f>274/386</f>
        <v>0.7098445595854922</v>
      </c>
      <c r="AH42" s="1053" t="s">
        <v>2279</v>
      </c>
      <c r="AI42" s="1053" t="s">
        <v>2153</v>
      </c>
      <c r="AJ42" s="1117">
        <f t="shared" si="2"/>
        <v>0.72</v>
      </c>
      <c r="AK42" s="1117">
        <f>382/532</f>
        <v>0.71804511278195493</v>
      </c>
      <c r="AL42" s="1054" t="s">
        <v>2280</v>
      </c>
      <c r="AM42" s="1055" t="s">
        <v>2281</v>
      </c>
      <c r="AN42" s="1094">
        <f t="shared" si="3"/>
        <v>0.72</v>
      </c>
      <c r="AO42" s="1119">
        <f>244/436</f>
        <v>0.55963302752293576</v>
      </c>
      <c r="AP42" s="1057" t="s">
        <v>2282</v>
      </c>
      <c r="AQ42" s="1057" t="s">
        <v>2283</v>
      </c>
      <c r="AR42" s="1096">
        <f t="shared" si="4"/>
        <v>0.72</v>
      </c>
      <c r="AS42" s="1286">
        <f>270/511</f>
        <v>0.52837573385518588</v>
      </c>
      <c r="AT42" s="1302" t="s">
        <v>2407</v>
      </c>
      <c r="AU42" s="1290" t="s">
        <v>2283</v>
      </c>
    </row>
    <row r="43" spans="1:47" ht="61.5" customHeight="1" thickBot="1">
      <c r="A43" s="1201"/>
      <c r="B43" s="1201"/>
      <c r="C43" s="1202" t="s">
        <v>1755</v>
      </c>
      <c r="D43" s="1560"/>
      <c r="E43" s="1560"/>
      <c r="F43" s="1560"/>
      <c r="G43" s="1560"/>
      <c r="H43" s="1560"/>
      <c r="I43" s="1560"/>
      <c r="J43" s="1560"/>
      <c r="K43" s="1560"/>
      <c r="L43" s="1560"/>
      <c r="M43" s="1560"/>
      <c r="N43" s="1560"/>
      <c r="O43" s="1560"/>
      <c r="P43" s="1560"/>
      <c r="Q43" s="1560"/>
      <c r="R43" s="1560"/>
      <c r="S43" s="1560"/>
      <c r="T43" s="1560"/>
      <c r="U43" s="1560"/>
      <c r="V43" s="1560"/>
      <c r="W43" s="1560"/>
      <c r="X43" s="1560"/>
      <c r="Y43" s="1560"/>
      <c r="Z43" s="1560"/>
      <c r="AA43" s="1560"/>
      <c r="AB43" s="1560"/>
      <c r="AC43" s="1560"/>
      <c r="AD43" s="1560"/>
      <c r="AE43" s="1560"/>
      <c r="AF43" s="1560">
        <f t="shared" si="1"/>
        <v>0</v>
      </c>
      <c r="AG43" s="1560"/>
      <c r="AH43" s="1560"/>
      <c r="AI43" s="1560"/>
      <c r="AJ43" s="1560">
        <f t="shared" si="2"/>
        <v>0</v>
      </c>
      <c r="AK43" s="1560"/>
      <c r="AL43" s="1560"/>
      <c r="AM43" s="1560"/>
      <c r="AN43" s="1560">
        <f t="shared" si="3"/>
        <v>0</v>
      </c>
      <c r="AO43" s="1560"/>
      <c r="AP43" s="1560"/>
      <c r="AQ43" s="1560"/>
      <c r="AR43" s="1560">
        <f t="shared" si="4"/>
        <v>0</v>
      </c>
      <c r="AS43" s="1560"/>
      <c r="AT43" s="1560"/>
      <c r="AU43" s="1560"/>
    </row>
    <row r="44" spans="1:47" ht="117.2" customHeight="1" thickBot="1">
      <c r="A44" s="1567" t="s">
        <v>1903</v>
      </c>
      <c r="B44" s="1567" t="s">
        <v>1904</v>
      </c>
      <c r="C44" s="1568" t="s">
        <v>1475</v>
      </c>
      <c r="D44" s="1136">
        <v>1</v>
      </c>
      <c r="E44" s="1203" t="s">
        <v>2284</v>
      </c>
      <c r="F44" s="1204">
        <v>0.03</v>
      </c>
      <c r="G44" s="1205" t="s">
        <v>538</v>
      </c>
      <c r="H44" s="1206" t="s">
        <v>532</v>
      </c>
      <c r="I44" s="1207">
        <v>60</v>
      </c>
      <c r="J44" s="1163">
        <f t="shared" ref="J44:J53" si="27">AG44</f>
        <v>241</v>
      </c>
      <c r="K44" s="1041">
        <f t="shared" ref="K44:K53" si="28">IF(ISERROR(J44/I44),"",(J44/I44))</f>
        <v>4.0166666666666666</v>
      </c>
      <c r="L44" s="1208">
        <v>80</v>
      </c>
      <c r="M44" s="1209">
        <f t="shared" ref="M44:M53" si="29">AK44</f>
        <v>317</v>
      </c>
      <c r="N44" s="1044">
        <f t="shared" ref="N44:N53" si="30">IF(ISERROR(M44/L44),"",(M44/L44))</f>
        <v>3.9624999999999999</v>
      </c>
      <c r="O44" s="1207">
        <v>80</v>
      </c>
      <c r="P44" s="1163">
        <f t="shared" ref="P44:P53" si="31">AO44</f>
        <v>105</v>
      </c>
      <c r="Q44" s="1041">
        <f t="shared" ref="Q44:Q53" si="32">IF(ISERROR(P44/O44),"",(P44/O44))</f>
        <v>1.3125</v>
      </c>
      <c r="R44" s="1208">
        <v>60</v>
      </c>
      <c r="S44" s="1164">
        <f t="shared" ref="S44:S53" si="33">AS44</f>
        <v>82</v>
      </c>
      <c r="T44" s="1044">
        <f t="shared" ref="T44:T53" si="34">IF(ISERROR(S44/R44),"",(S44/R44))</f>
        <v>1.3666666666666667</v>
      </c>
      <c r="U44" s="1165">
        <f>SUM(I44,L44,O44,R44)</f>
        <v>280</v>
      </c>
      <c r="V44" s="1210">
        <f>SUM(J44,M44,P44,S44)</f>
        <v>745</v>
      </c>
      <c r="W44" s="1047">
        <f t="shared" ref="W44:W53" si="35">IF((IF(ISERROR(V44/U44),0,(V44/U44)))&gt;1,1,(IF(ISERROR(V44/U44),0,(V44/U44))))</f>
        <v>1</v>
      </c>
      <c r="X44" s="1047">
        <f t="shared" ref="X44:X53" si="36">F44*W44</f>
        <v>0.03</v>
      </c>
      <c r="Y44" s="1205" t="s">
        <v>2285</v>
      </c>
      <c r="Z44" s="1205" t="s">
        <v>2286</v>
      </c>
      <c r="AA44" s="1141" t="s">
        <v>1907</v>
      </c>
      <c r="AB44" s="1141" t="s">
        <v>1908</v>
      </c>
      <c r="AC44" s="1211" t="s">
        <v>542</v>
      </c>
      <c r="AD44" s="1212" t="s">
        <v>1910</v>
      </c>
      <c r="AE44" s="1213" t="s">
        <v>2287</v>
      </c>
      <c r="AF44" s="1169">
        <f t="shared" si="1"/>
        <v>60</v>
      </c>
      <c r="AG44" s="1169">
        <v>241</v>
      </c>
      <c r="AH44" s="1146" t="s">
        <v>2288</v>
      </c>
      <c r="AI44" s="1214" t="s">
        <v>1910</v>
      </c>
      <c r="AJ44" s="1170">
        <f t="shared" si="2"/>
        <v>80</v>
      </c>
      <c r="AK44" s="1209">
        <v>317</v>
      </c>
      <c r="AL44" s="1098" t="s">
        <v>2289</v>
      </c>
      <c r="AM44" s="1215" t="s">
        <v>1910</v>
      </c>
      <c r="AN44" s="1169">
        <f t="shared" si="3"/>
        <v>80</v>
      </c>
      <c r="AO44" s="1173">
        <v>105</v>
      </c>
      <c r="AP44" s="1216" t="s">
        <v>2290</v>
      </c>
      <c r="AQ44" s="1217" t="s">
        <v>1910</v>
      </c>
      <c r="AR44" s="1170">
        <f t="shared" si="4"/>
        <v>60</v>
      </c>
      <c r="AS44" s="1303">
        <v>82</v>
      </c>
      <c r="AT44" s="1304" t="s">
        <v>2408</v>
      </c>
      <c r="AU44" s="919" t="s">
        <v>1910</v>
      </c>
    </row>
    <row r="45" spans="1:47" ht="115.35" customHeight="1" thickTop="1" thickBot="1">
      <c r="A45" s="1567"/>
      <c r="B45" s="1567"/>
      <c r="C45" s="1568"/>
      <c r="D45" s="1136">
        <v>2</v>
      </c>
      <c r="E45" s="1101" t="s">
        <v>2291</v>
      </c>
      <c r="F45" s="1137">
        <v>0.03</v>
      </c>
      <c r="G45" s="1060" t="s">
        <v>538</v>
      </c>
      <c r="H45" s="1061" t="s">
        <v>532</v>
      </c>
      <c r="I45" s="1218">
        <v>25</v>
      </c>
      <c r="J45" s="1163">
        <f t="shared" si="27"/>
        <v>24</v>
      </c>
      <c r="K45" s="1041">
        <f t="shared" si="28"/>
        <v>0.96</v>
      </c>
      <c r="L45" s="1219">
        <v>25</v>
      </c>
      <c r="M45" s="1164">
        <f t="shared" si="29"/>
        <v>32</v>
      </c>
      <c r="N45" s="1044">
        <f t="shared" si="30"/>
        <v>1.28</v>
      </c>
      <c r="O45" s="1218">
        <v>25</v>
      </c>
      <c r="P45" s="1163">
        <f t="shared" si="31"/>
        <v>35</v>
      </c>
      <c r="Q45" s="1041">
        <f t="shared" si="32"/>
        <v>1.4</v>
      </c>
      <c r="R45" s="1219">
        <v>25</v>
      </c>
      <c r="S45" s="1164">
        <f t="shared" si="33"/>
        <v>23</v>
      </c>
      <c r="T45" s="1044">
        <f t="shared" si="34"/>
        <v>0.92</v>
      </c>
      <c r="U45" s="1165">
        <f>SUM(I45,L45,O45,R45)</f>
        <v>100</v>
      </c>
      <c r="V45" s="1166">
        <f>SUM(J45,M45,P45,S45)</f>
        <v>114</v>
      </c>
      <c r="W45" s="1047">
        <f t="shared" si="35"/>
        <v>1</v>
      </c>
      <c r="X45" s="1047">
        <f t="shared" si="36"/>
        <v>0.03</v>
      </c>
      <c r="Y45" s="1060" t="s">
        <v>2292</v>
      </c>
      <c r="Z45" s="1205" t="s">
        <v>2293</v>
      </c>
      <c r="AA45" s="1112" t="s">
        <v>2294</v>
      </c>
      <c r="AB45" s="1112" t="s">
        <v>2295</v>
      </c>
      <c r="AC45" s="1220" t="s">
        <v>542</v>
      </c>
      <c r="AD45" s="959" t="s">
        <v>2296</v>
      </c>
      <c r="AE45" s="1221" t="s">
        <v>2297</v>
      </c>
      <c r="AF45" s="1169">
        <f t="shared" si="1"/>
        <v>25</v>
      </c>
      <c r="AG45" s="1169">
        <v>24</v>
      </c>
      <c r="AH45" s="1053" t="s">
        <v>2298</v>
      </c>
      <c r="AI45" s="1222" t="s">
        <v>2296</v>
      </c>
      <c r="AJ45" s="1170">
        <f t="shared" si="2"/>
        <v>25</v>
      </c>
      <c r="AK45" s="1164">
        <v>32</v>
      </c>
      <c r="AL45" s="1172" t="s">
        <v>2299</v>
      </c>
      <c r="AM45" s="1223" t="s">
        <v>2296</v>
      </c>
      <c r="AN45" s="1169">
        <f t="shared" si="3"/>
        <v>25</v>
      </c>
      <c r="AO45" s="1173">
        <v>35</v>
      </c>
      <c r="AP45" s="1057" t="s">
        <v>2300</v>
      </c>
      <c r="AQ45" s="1224" t="s">
        <v>2296</v>
      </c>
      <c r="AR45" s="1170">
        <f t="shared" si="4"/>
        <v>25</v>
      </c>
      <c r="AS45" s="1303">
        <v>23</v>
      </c>
      <c r="AT45" s="1305" t="s">
        <v>2409</v>
      </c>
      <c r="AU45" s="919" t="s">
        <v>2296</v>
      </c>
    </row>
    <row r="46" spans="1:47" ht="151.5" customHeight="1" thickTop="1" thickBot="1">
      <c r="A46" s="1567"/>
      <c r="B46" s="1567"/>
      <c r="C46" s="1568"/>
      <c r="D46" s="1136">
        <v>3</v>
      </c>
      <c r="E46" s="1225" t="s">
        <v>2301</v>
      </c>
      <c r="F46" s="1226">
        <v>0.02</v>
      </c>
      <c r="G46" s="1227" t="s">
        <v>537</v>
      </c>
      <c r="H46" s="1228" t="s">
        <v>531</v>
      </c>
      <c r="I46" s="1229">
        <v>0.85</v>
      </c>
      <c r="J46" s="1138">
        <f t="shared" si="27"/>
        <v>0.93599999999999994</v>
      </c>
      <c r="K46" s="1041">
        <f t="shared" si="28"/>
        <v>1.1011764705882352</v>
      </c>
      <c r="L46" s="1230">
        <v>0.85</v>
      </c>
      <c r="M46" s="1087">
        <f t="shared" si="29"/>
        <v>0.95</v>
      </c>
      <c r="N46" s="1044">
        <f t="shared" si="30"/>
        <v>1.1176470588235294</v>
      </c>
      <c r="O46" s="1229">
        <v>0.85</v>
      </c>
      <c r="P46" s="1138">
        <f t="shared" si="31"/>
        <v>0.95</v>
      </c>
      <c r="Q46" s="1041">
        <f t="shared" si="32"/>
        <v>1.1176470588235294</v>
      </c>
      <c r="R46" s="1230">
        <v>0.85</v>
      </c>
      <c r="S46" s="1087">
        <f t="shared" si="33"/>
        <v>0.95</v>
      </c>
      <c r="T46" s="1044">
        <f t="shared" si="34"/>
        <v>1.1176470588235294</v>
      </c>
      <c r="U46" s="1088">
        <f>SUM(I46,L46,O46,R46)/4</f>
        <v>0.85</v>
      </c>
      <c r="V46" s="1140">
        <f>SUM(J46,M46,P46,S46)/4</f>
        <v>0.9464999999999999</v>
      </c>
      <c r="W46" s="1047">
        <f t="shared" si="35"/>
        <v>1</v>
      </c>
      <c r="X46" s="1047">
        <f t="shared" si="36"/>
        <v>0.02</v>
      </c>
      <c r="Y46" s="1231" t="s">
        <v>1922</v>
      </c>
      <c r="Z46" s="1231" t="s">
        <v>2302</v>
      </c>
      <c r="AA46" s="1232" t="s">
        <v>2303</v>
      </c>
      <c r="AB46" s="1232" t="s">
        <v>1924</v>
      </c>
      <c r="AC46" s="1233" t="s">
        <v>540</v>
      </c>
      <c r="AD46" s="1051" t="s">
        <v>2304</v>
      </c>
      <c r="AE46" s="1051" t="s">
        <v>2305</v>
      </c>
      <c r="AF46" s="1094">
        <f t="shared" si="1"/>
        <v>0.85</v>
      </c>
      <c r="AG46" s="1094">
        <f>14.04/15</f>
        <v>0.93599999999999994</v>
      </c>
      <c r="AH46" s="1053" t="s">
        <v>2306</v>
      </c>
      <c r="AI46" s="1234" t="s">
        <v>2307</v>
      </c>
      <c r="AJ46" s="1117">
        <f t="shared" si="2"/>
        <v>0.85</v>
      </c>
      <c r="AK46" s="1192">
        <f>14.25/15</f>
        <v>0.95</v>
      </c>
      <c r="AL46" s="1172" t="s">
        <v>2308</v>
      </c>
      <c r="AM46" s="1235" t="s">
        <v>2307</v>
      </c>
      <c r="AN46" s="1094">
        <f t="shared" si="3"/>
        <v>0.85</v>
      </c>
      <c r="AO46" s="1119">
        <f>14.25/15</f>
        <v>0.95</v>
      </c>
      <c r="AP46" s="1057" t="s">
        <v>2309</v>
      </c>
      <c r="AQ46" s="1234" t="s">
        <v>2307</v>
      </c>
      <c r="AR46" s="1117">
        <f t="shared" si="4"/>
        <v>0.85</v>
      </c>
      <c r="AS46" s="828">
        <v>0.95</v>
      </c>
      <c r="AT46" s="1305" t="s">
        <v>2410</v>
      </c>
      <c r="AU46" s="1305" t="s">
        <v>2307</v>
      </c>
    </row>
    <row r="47" spans="1:47" ht="91.5" customHeight="1" thickTop="1" thickBot="1">
      <c r="A47" s="1567"/>
      <c r="B47" s="1567"/>
      <c r="C47" s="1568"/>
      <c r="D47" s="1136">
        <v>4</v>
      </c>
      <c r="E47" s="1225" t="s">
        <v>2310</v>
      </c>
      <c r="F47" s="1226">
        <v>0</v>
      </c>
      <c r="G47" s="1227" t="s">
        <v>538</v>
      </c>
      <c r="H47" s="1228" t="s">
        <v>532</v>
      </c>
      <c r="I47" s="1236">
        <v>0</v>
      </c>
      <c r="J47" s="1040">
        <f t="shared" si="27"/>
        <v>0</v>
      </c>
      <c r="K47" s="1041" t="str">
        <f t="shared" si="28"/>
        <v/>
      </c>
      <c r="L47" s="1237">
        <v>0</v>
      </c>
      <c r="M47" s="1043">
        <f t="shared" si="29"/>
        <v>0</v>
      </c>
      <c r="N47" s="1044" t="str">
        <f t="shared" si="30"/>
        <v/>
      </c>
      <c r="O47" s="1236">
        <v>0</v>
      </c>
      <c r="P47" s="1040">
        <f t="shared" si="31"/>
        <v>0</v>
      </c>
      <c r="Q47" s="1041" t="str">
        <f t="shared" si="32"/>
        <v/>
      </c>
      <c r="R47" s="1237">
        <v>0</v>
      </c>
      <c r="S47" s="1043">
        <f t="shared" si="33"/>
        <v>0</v>
      </c>
      <c r="T47" s="1044" t="str">
        <f t="shared" si="34"/>
        <v/>
      </c>
      <c r="U47" s="1045">
        <f t="shared" ref="U47:V53" si="37">SUM(I47,L47,O47,R47)</f>
        <v>0</v>
      </c>
      <c r="V47" s="1238">
        <f t="shared" si="37"/>
        <v>0</v>
      </c>
      <c r="W47" s="1047">
        <f t="shared" si="35"/>
        <v>0</v>
      </c>
      <c r="X47" s="1047">
        <f t="shared" si="36"/>
        <v>0</v>
      </c>
      <c r="Y47" s="1227" t="s">
        <v>1936</v>
      </c>
      <c r="Z47" s="1227" t="s">
        <v>2311</v>
      </c>
      <c r="AA47" s="1232" t="s">
        <v>2312</v>
      </c>
      <c r="AB47" s="1232" t="s">
        <v>2313</v>
      </c>
      <c r="AC47" s="1233" t="s">
        <v>542</v>
      </c>
      <c r="AD47" s="1051" t="s">
        <v>2314</v>
      </c>
      <c r="AE47" s="1065" t="s">
        <v>2315</v>
      </c>
      <c r="AF47" s="1169">
        <f t="shared" si="1"/>
        <v>0</v>
      </c>
      <c r="AG47" s="1169">
        <v>0</v>
      </c>
      <c r="AH47" s="1053" t="s">
        <v>2035</v>
      </c>
      <c r="AI47" s="1053" t="s">
        <v>2035</v>
      </c>
      <c r="AJ47" s="1170">
        <f t="shared" si="2"/>
        <v>0</v>
      </c>
      <c r="AK47" s="1170">
        <v>0</v>
      </c>
      <c r="AL47" s="1172" t="s">
        <v>2035</v>
      </c>
      <c r="AM47" s="1122" t="s">
        <v>2035</v>
      </c>
      <c r="AN47" s="1169">
        <f t="shared" si="3"/>
        <v>0</v>
      </c>
      <c r="AO47" s="1173">
        <v>0</v>
      </c>
      <c r="AP47" s="1057" t="s">
        <v>2035</v>
      </c>
      <c r="AQ47" s="1162" t="s">
        <v>2035</v>
      </c>
      <c r="AR47" s="1170">
        <f t="shared" si="4"/>
        <v>0</v>
      </c>
      <c r="AS47" s="1303">
        <v>0</v>
      </c>
      <c r="AT47" s="919" t="s">
        <v>2035</v>
      </c>
      <c r="AU47" s="919" t="s">
        <v>2035</v>
      </c>
    </row>
    <row r="48" spans="1:47" ht="93.6" customHeight="1" thickTop="1" thickBot="1">
      <c r="A48" s="1567"/>
      <c r="B48" s="1567"/>
      <c r="C48" s="1568"/>
      <c r="D48" s="1136">
        <v>5</v>
      </c>
      <c r="E48" s="1225" t="s">
        <v>2316</v>
      </c>
      <c r="F48" s="1226">
        <v>0</v>
      </c>
      <c r="G48" s="1227" t="s">
        <v>538</v>
      </c>
      <c r="H48" s="1228" t="s">
        <v>532</v>
      </c>
      <c r="I48" s="1236">
        <v>0</v>
      </c>
      <c r="J48" s="1040">
        <f t="shared" si="27"/>
        <v>0</v>
      </c>
      <c r="K48" s="1041" t="str">
        <f t="shared" si="28"/>
        <v/>
      </c>
      <c r="L48" s="1237">
        <v>0</v>
      </c>
      <c r="M48" s="1043">
        <f t="shared" si="29"/>
        <v>0</v>
      </c>
      <c r="N48" s="1044" t="str">
        <f t="shared" si="30"/>
        <v/>
      </c>
      <c r="O48" s="1236">
        <v>0</v>
      </c>
      <c r="P48" s="1040">
        <f t="shared" si="31"/>
        <v>0</v>
      </c>
      <c r="Q48" s="1041" t="str">
        <f t="shared" si="32"/>
        <v/>
      </c>
      <c r="R48" s="1237">
        <v>0</v>
      </c>
      <c r="S48" s="1043">
        <f t="shared" si="33"/>
        <v>0</v>
      </c>
      <c r="T48" s="1044" t="str">
        <f t="shared" si="34"/>
        <v/>
      </c>
      <c r="U48" s="1045">
        <f t="shared" si="37"/>
        <v>0</v>
      </c>
      <c r="V48" s="1238">
        <f t="shared" si="37"/>
        <v>0</v>
      </c>
      <c r="W48" s="1047">
        <f t="shared" si="35"/>
        <v>0</v>
      </c>
      <c r="X48" s="1047">
        <f t="shared" si="36"/>
        <v>0</v>
      </c>
      <c r="Y48" s="1227" t="s">
        <v>1939</v>
      </c>
      <c r="Z48" s="1227" t="s">
        <v>2317</v>
      </c>
      <c r="AA48" s="1228" t="s">
        <v>1940</v>
      </c>
      <c r="AB48" s="1228" t="s">
        <v>1941</v>
      </c>
      <c r="AC48" s="1233" t="s">
        <v>542</v>
      </c>
      <c r="AD48" s="1065"/>
      <c r="AE48" s="1051" t="s">
        <v>2314</v>
      </c>
      <c r="AF48" s="1169">
        <f t="shared" si="1"/>
        <v>0</v>
      </c>
      <c r="AG48" s="1169">
        <v>0</v>
      </c>
      <c r="AH48" s="1053" t="s">
        <v>2035</v>
      </c>
      <c r="AI48" s="1053" t="s">
        <v>2035</v>
      </c>
      <c r="AJ48" s="1170">
        <f t="shared" si="2"/>
        <v>0</v>
      </c>
      <c r="AK48" s="1170">
        <v>0</v>
      </c>
      <c r="AL48" s="1127" t="s">
        <v>2035</v>
      </c>
      <c r="AM48" s="1122" t="s">
        <v>2035</v>
      </c>
      <c r="AN48" s="1169">
        <f t="shared" si="3"/>
        <v>0</v>
      </c>
      <c r="AO48" s="1173">
        <v>0</v>
      </c>
      <c r="AP48" s="1057" t="s">
        <v>2035</v>
      </c>
      <c r="AQ48" s="1162" t="s">
        <v>2035</v>
      </c>
      <c r="AR48" s="1170">
        <f t="shared" si="4"/>
        <v>0</v>
      </c>
      <c r="AS48" s="1303">
        <v>0</v>
      </c>
      <c r="AT48" s="919" t="s">
        <v>2035</v>
      </c>
      <c r="AU48" s="919" t="s">
        <v>2035</v>
      </c>
    </row>
    <row r="49" spans="1:47" ht="93.95" customHeight="1" thickTop="1" thickBot="1">
      <c r="A49" s="1567"/>
      <c r="B49" s="1567"/>
      <c r="C49" s="1568"/>
      <c r="D49" s="1136">
        <v>6</v>
      </c>
      <c r="E49" s="1225" t="s">
        <v>2318</v>
      </c>
      <c r="F49" s="1226">
        <v>0</v>
      </c>
      <c r="G49" s="1227" t="s">
        <v>538</v>
      </c>
      <c r="H49" s="1228" t="s">
        <v>532</v>
      </c>
      <c r="I49" s="1236">
        <v>0</v>
      </c>
      <c r="J49" s="1040">
        <f t="shared" si="27"/>
        <v>0</v>
      </c>
      <c r="K49" s="1041" t="str">
        <f t="shared" si="28"/>
        <v/>
      </c>
      <c r="L49" s="1237">
        <v>0</v>
      </c>
      <c r="M49" s="1043">
        <f t="shared" si="29"/>
        <v>0</v>
      </c>
      <c r="N49" s="1044" t="str">
        <f t="shared" si="30"/>
        <v/>
      </c>
      <c r="O49" s="1236">
        <v>0</v>
      </c>
      <c r="P49" s="1040">
        <f t="shared" si="31"/>
        <v>0</v>
      </c>
      <c r="Q49" s="1041" t="str">
        <f t="shared" si="32"/>
        <v/>
      </c>
      <c r="R49" s="1237">
        <v>0</v>
      </c>
      <c r="S49" s="1043">
        <f t="shared" si="33"/>
        <v>0</v>
      </c>
      <c r="T49" s="1044" t="str">
        <f t="shared" si="34"/>
        <v/>
      </c>
      <c r="U49" s="1045">
        <f t="shared" si="37"/>
        <v>0</v>
      </c>
      <c r="V49" s="1238">
        <f t="shared" si="37"/>
        <v>0</v>
      </c>
      <c r="W49" s="1047">
        <f t="shared" si="35"/>
        <v>0</v>
      </c>
      <c r="X49" s="1047">
        <f t="shared" si="36"/>
        <v>0</v>
      </c>
      <c r="Y49" s="1231" t="s">
        <v>1943</v>
      </c>
      <c r="Z49" s="1231" t="s">
        <v>2319</v>
      </c>
      <c r="AA49" s="1228" t="s">
        <v>1944</v>
      </c>
      <c r="AB49" s="1228" t="s">
        <v>1945</v>
      </c>
      <c r="AC49" s="1233" t="s">
        <v>542</v>
      </c>
      <c r="AD49" s="1065"/>
      <c r="AE49" s="1051" t="s">
        <v>2314</v>
      </c>
      <c r="AF49" s="1169">
        <f t="shared" si="1"/>
        <v>0</v>
      </c>
      <c r="AG49" s="1169">
        <v>0</v>
      </c>
      <c r="AH49" s="1053" t="s">
        <v>2035</v>
      </c>
      <c r="AI49" s="1053" t="s">
        <v>2035</v>
      </c>
      <c r="AJ49" s="1170">
        <f t="shared" si="2"/>
        <v>0</v>
      </c>
      <c r="AK49" s="1170">
        <v>0</v>
      </c>
      <c r="AL49" s="1127" t="s">
        <v>2035</v>
      </c>
      <c r="AM49" s="1122" t="s">
        <v>2035</v>
      </c>
      <c r="AN49" s="1169">
        <f t="shared" si="3"/>
        <v>0</v>
      </c>
      <c r="AO49" s="1173">
        <v>0</v>
      </c>
      <c r="AP49" s="1057" t="s">
        <v>2035</v>
      </c>
      <c r="AQ49" s="1162" t="s">
        <v>2035</v>
      </c>
      <c r="AR49" s="1170">
        <f t="shared" si="4"/>
        <v>0</v>
      </c>
      <c r="AS49" s="1303">
        <v>0</v>
      </c>
      <c r="AT49" s="919" t="s">
        <v>2035</v>
      </c>
      <c r="AU49" s="919" t="s">
        <v>2035</v>
      </c>
    </row>
    <row r="50" spans="1:47" ht="178.5" customHeight="1" thickTop="1" thickBot="1">
      <c r="A50" s="1567"/>
      <c r="B50" s="1567"/>
      <c r="C50" s="1568"/>
      <c r="D50" s="1136">
        <v>7</v>
      </c>
      <c r="E50" s="1225" t="s">
        <v>2320</v>
      </c>
      <c r="F50" s="1226">
        <v>0.03</v>
      </c>
      <c r="G50" s="1227" t="s">
        <v>538</v>
      </c>
      <c r="H50" s="1228" t="s">
        <v>532</v>
      </c>
      <c r="I50" s="1236">
        <v>2</v>
      </c>
      <c r="J50" s="1040">
        <f t="shared" si="27"/>
        <v>2</v>
      </c>
      <c r="K50" s="1041">
        <f t="shared" si="28"/>
        <v>1</v>
      </c>
      <c r="L50" s="1237">
        <v>6</v>
      </c>
      <c r="M50" s="1043">
        <f t="shared" si="29"/>
        <v>6</v>
      </c>
      <c r="N50" s="1044">
        <f t="shared" si="30"/>
        <v>1</v>
      </c>
      <c r="O50" s="1236">
        <v>6</v>
      </c>
      <c r="P50" s="1040">
        <f t="shared" si="31"/>
        <v>6</v>
      </c>
      <c r="Q50" s="1041">
        <f t="shared" si="32"/>
        <v>1</v>
      </c>
      <c r="R50" s="1237">
        <v>6</v>
      </c>
      <c r="S50" s="1043">
        <f t="shared" si="33"/>
        <v>2</v>
      </c>
      <c r="T50" s="1044">
        <f t="shared" si="34"/>
        <v>0.33333333333333331</v>
      </c>
      <c r="U50" s="1045">
        <f t="shared" si="37"/>
        <v>20</v>
      </c>
      <c r="V50" s="1238">
        <f t="shared" si="37"/>
        <v>16</v>
      </c>
      <c r="W50" s="1047">
        <f t="shared" si="35"/>
        <v>0.8</v>
      </c>
      <c r="X50" s="1047">
        <f t="shared" si="36"/>
        <v>2.4E-2</v>
      </c>
      <c r="Y50" s="1231" t="s">
        <v>1947</v>
      </c>
      <c r="Z50" s="1231" t="s">
        <v>2321</v>
      </c>
      <c r="AA50" s="1232" t="s">
        <v>1948</v>
      </c>
      <c r="AB50" s="1232" t="s">
        <v>1949</v>
      </c>
      <c r="AC50" s="1233" t="s">
        <v>542</v>
      </c>
      <c r="AD50" s="1051" t="s">
        <v>2322</v>
      </c>
      <c r="AE50" s="1239" t="s">
        <v>2323</v>
      </c>
      <c r="AF50" s="1169">
        <f t="shared" si="1"/>
        <v>2</v>
      </c>
      <c r="AG50" s="1169">
        <v>2</v>
      </c>
      <c r="AH50" s="1053" t="s">
        <v>2324</v>
      </c>
      <c r="AI50" s="1053" t="s">
        <v>1956</v>
      </c>
      <c r="AJ50" s="1170">
        <f t="shared" si="2"/>
        <v>6</v>
      </c>
      <c r="AK50" s="1170">
        <v>6</v>
      </c>
      <c r="AL50" s="1127" t="s">
        <v>2325</v>
      </c>
      <c r="AM50" s="1122" t="s">
        <v>2326</v>
      </c>
      <c r="AN50" s="1169">
        <f t="shared" si="3"/>
        <v>6</v>
      </c>
      <c r="AO50" s="1173">
        <v>6</v>
      </c>
      <c r="AP50" s="1240" t="s">
        <v>2327</v>
      </c>
      <c r="AQ50" s="1057" t="s">
        <v>1956</v>
      </c>
      <c r="AR50" s="1170">
        <f t="shared" si="4"/>
        <v>6</v>
      </c>
      <c r="AS50" s="1306">
        <v>2</v>
      </c>
      <c r="AT50" s="1307" t="s">
        <v>2411</v>
      </c>
      <c r="AU50" s="919" t="s">
        <v>1956</v>
      </c>
    </row>
    <row r="51" spans="1:47" ht="70.150000000000006" customHeight="1" thickTop="1" thickBot="1">
      <c r="A51" s="1567"/>
      <c r="B51" s="1567"/>
      <c r="C51" s="1568"/>
      <c r="D51" s="1136">
        <v>8</v>
      </c>
      <c r="E51" s="1225" t="s">
        <v>2328</v>
      </c>
      <c r="F51" s="1226">
        <v>0</v>
      </c>
      <c r="G51" s="1227" t="s">
        <v>538</v>
      </c>
      <c r="H51" s="1228" t="s">
        <v>532</v>
      </c>
      <c r="I51" s="1236">
        <v>0</v>
      </c>
      <c r="J51" s="1040">
        <f t="shared" si="27"/>
        <v>0</v>
      </c>
      <c r="K51" s="1041" t="str">
        <f t="shared" si="28"/>
        <v/>
      </c>
      <c r="L51" s="1237">
        <v>0</v>
      </c>
      <c r="M51" s="1043">
        <f t="shared" si="29"/>
        <v>0</v>
      </c>
      <c r="N51" s="1044" t="str">
        <f t="shared" si="30"/>
        <v/>
      </c>
      <c r="O51" s="1236">
        <v>0</v>
      </c>
      <c r="P51" s="1040">
        <f t="shared" si="31"/>
        <v>0</v>
      </c>
      <c r="Q51" s="1041" t="str">
        <f t="shared" si="32"/>
        <v/>
      </c>
      <c r="R51" s="1237">
        <v>0</v>
      </c>
      <c r="S51" s="1043">
        <f t="shared" si="33"/>
        <v>0</v>
      </c>
      <c r="T51" s="1044" t="str">
        <f t="shared" si="34"/>
        <v/>
      </c>
      <c r="U51" s="1045">
        <f t="shared" si="37"/>
        <v>0</v>
      </c>
      <c r="V51" s="1238">
        <f t="shared" si="37"/>
        <v>0</v>
      </c>
      <c r="W51" s="1047">
        <f t="shared" si="35"/>
        <v>0</v>
      </c>
      <c r="X51" s="1047">
        <f t="shared" si="36"/>
        <v>0</v>
      </c>
      <c r="Y51" s="1231" t="s">
        <v>1960</v>
      </c>
      <c r="Z51" s="1231" t="s">
        <v>2329</v>
      </c>
      <c r="AA51" s="1232" t="s">
        <v>1549</v>
      </c>
      <c r="AB51" s="1232" t="s">
        <v>1961</v>
      </c>
      <c r="AC51" s="1233" t="s">
        <v>542</v>
      </c>
      <c r="AD51" s="1051"/>
      <c r="AE51" s="1051" t="s">
        <v>2330</v>
      </c>
      <c r="AF51" s="1169">
        <f t="shared" si="1"/>
        <v>0</v>
      </c>
      <c r="AG51" s="1169">
        <v>0</v>
      </c>
      <c r="AH51" s="1053" t="s">
        <v>2035</v>
      </c>
      <c r="AI51" s="1053" t="s">
        <v>2035</v>
      </c>
      <c r="AJ51" s="1170">
        <f t="shared" si="2"/>
        <v>0</v>
      </c>
      <c r="AK51" s="1170">
        <v>0</v>
      </c>
      <c r="AL51" s="1172" t="s">
        <v>2035</v>
      </c>
      <c r="AM51" s="1122" t="s">
        <v>2035</v>
      </c>
      <c r="AN51" s="1169">
        <f t="shared" si="3"/>
        <v>0</v>
      </c>
      <c r="AO51" s="1173">
        <v>0</v>
      </c>
      <c r="AP51" s="1057" t="s">
        <v>2035</v>
      </c>
      <c r="AQ51" s="1162" t="s">
        <v>2035</v>
      </c>
      <c r="AR51" s="1170">
        <f t="shared" si="4"/>
        <v>0</v>
      </c>
      <c r="AS51" s="1303">
        <v>0</v>
      </c>
      <c r="AT51" s="919" t="s">
        <v>2035</v>
      </c>
      <c r="AU51" s="919" t="s">
        <v>2035</v>
      </c>
    </row>
    <row r="52" spans="1:47" ht="107.45" customHeight="1" thickTop="1" thickBot="1">
      <c r="A52" s="1567"/>
      <c r="B52" s="1567"/>
      <c r="C52" s="1568"/>
      <c r="D52" s="1136">
        <v>9</v>
      </c>
      <c r="E52" s="1225" t="s">
        <v>2331</v>
      </c>
      <c r="F52" s="1226">
        <v>0</v>
      </c>
      <c r="G52" s="1060" t="s">
        <v>537</v>
      </c>
      <c r="H52" s="1061" t="s">
        <v>532</v>
      </c>
      <c r="I52" s="1229">
        <v>0</v>
      </c>
      <c r="J52" s="1138">
        <f t="shared" si="27"/>
        <v>0</v>
      </c>
      <c r="K52" s="1041" t="str">
        <f t="shared" si="28"/>
        <v/>
      </c>
      <c r="L52" s="1242">
        <v>0</v>
      </c>
      <c r="M52" s="1139">
        <f t="shared" si="29"/>
        <v>0</v>
      </c>
      <c r="N52" s="1044" t="str">
        <f t="shared" si="30"/>
        <v/>
      </c>
      <c r="O52" s="1229">
        <v>0</v>
      </c>
      <c r="P52" s="1138">
        <f t="shared" si="31"/>
        <v>0</v>
      </c>
      <c r="Q52" s="1041" t="str">
        <f t="shared" si="32"/>
        <v/>
      </c>
      <c r="R52" s="1242">
        <v>0</v>
      </c>
      <c r="S52" s="1139">
        <f t="shared" si="33"/>
        <v>0</v>
      </c>
      <c r="T52" s="1044" t="str">
        <f t="shared" si="34"/>
        <v/>
      </c>
      <c r="U52" s="1088">
        <f t="shared" si="37"/>
        <v>0</v>
      </c>
      <c r="V52" s="1140">
        <f t="shared" si="37"/>
        <v>0</v>
      </c>
      <c r="W52" s="1047">
        <f t="shared" si="35"/>
        <v>0</v>
      </c>
      <c r="X52" s="1047">
        <f t="shared" si="36"/>
        <v>0</v>
      </c>
      <c r="Y52" s="1231" t="s">
        <v>2332</v>
      </c>
      <c r="Z52" s="1231" t="s">
        <v>2333</v>
      </c>
      <c r="AA52" s="1232" t="s">
        <v>2334</v>
      </c>
      <c r="AB52" s="1232" t="s">
        <v>2335</v>
      </c>
      <c r="AC52" s="1233" t="s">
        <v>542</v>
      </c>
      <c r="AD52" s="1051" t="s">
        <v>2336</v>
      </c>
      <c r="AE52" s="1051" t="s">
        <v>2337</v>
      </c>
      <c r="AF52" s="1093">
        <f t="shared" si="1"/>
        <v>0</v>
      </c>
      <c r="AG52" s="1093">
        <v>0</v>
      </c>
      <c r="AH52" s="1053" t="s">
        <v>2035</v>
      </c>
      <c r="AI52" s="1053" t="s">
        <v>2035</v>
      </c>
      <c r="AJ52" s="1096">
        <f t="shared" si="2"/>
        <v>0</v>
      </c>
      <c r="AK52" s="1096">
        <v>0</v>
      </c>
      <c r="AL52" s="1054" t="s">
        <v>2035</v>
      </c>
      <c r="AM52" s="1055" t="s">
        <v>2035</v>
      </c>
      <c r="AN52" s="1093">
        <f t="shared" si="3"/>
        <v>0</v>
      </c>
      <c r="AO52" s="1099">
        <v>0</v>
      </c>
      <c r="AP52" s="1156" t="s">
        <v>2035</v>
      </c>
      <c r="AQ52" s="1157" t="s">
        <v>2035</v>
      </c>
      <c r="AR52" s="1096">
        <f t="shared" si="4"/>
        <v>0</v>
      </c>
      <c r="AS52" s="825">
        <v>0</v>
      </c>
      <c r="AT52" s="919" t="s">
        <v>2035</v>
      </c>
      <c r="AU52" s="919" t="s">
        <v>2035</v>
      </c>
    </row>
    <row r="53" spans="1:47" ht="137.25" customHeight="1" thickTop="1" thickBot="1">
      <c r="A53" s="1567"/>
      <c r="B53" s="1567"/>
      <c r="C53" s="1568"/>
      <c r="D53" s="1136">
        <v>10</v>
      </c>
      <c r="E53" s="1101" t="s">
        <v>2338</v>
      </c>
      <c r="F53" s="1137">
        <v>0.03</v>
      </c>
      <c r="G53" s="1060" t="s">
        <v>537</v>
      </c>
      <c r="H53" s="1061" t="s">
        <v>532</v>
      </c>
      <c r="I53" s="1229">
        <v>0.2</v>
      </c>
      <c r="J53" s="1138">
        <f t="shared" si="27"/>
        <v>0</v>
      </c>
      <c r="K53" s="1041">
        <f t="shared" si="28"/>
        <v>0</v>
      </c>
      <c r="L53" s="1242">
        <v>0.3</v>
      </c>
      <c r="M53" s="1139">
        <f t="shared" si="29"/>
        <v>0.2839506172839506</v>
      </c>
      <c r="N53" s="1044">
        <f t="shared" si="30"/>
        <v>0.94650205761316875</v>
      </c>
      <c r="O53" s="1229">
        <v>0.35</v>
      </c>
      <c r="P53" s="1138">
        <f t="shared" si="31"/>
        <v>0.32098765432098764</v>
      </c>
      <c r="Q53" s="1041">
        <f t="shared" si="32"/>
        <v>0.9171075837742505</v>
      </c>
      <c r="R53" s="1242">
        <v>0.15</v>
      </c>
      <c r="S53" s="1139">
        <f t="shared" si="33"/>
        <v>0.24691358024691357</v>
      </c>
      <c r="T53" s="1044">
        <f t="shared" si="34"/>
        <v>1.6460905349794239</v>
      </c>
      <c r="U53" s="1088">
        <f t="shared" si="37"/>
        <v>1</v>
      </c>
      <c r="V53" s="1140">
        <f t="shared" si="37"/>
        <v>0.85185185185185186</v>
      </c>
      <c r="W53" s="1047">
        <f t="shared" si="35"/>
        <v>0.85185185185185186</v>
      </c>
      <c r="X53" s="1047">
        <f t="shared" si="36"/>
        <v>2.5555555555555554E-2</v>
      </c>
      <c r="Y53" s="1243" t="s">
        <v>2339</v>
      </c>
      <c r="Z53" s="1231" t="s">
        <v>2340</v>
      </c>
      <c r="AA53" s="1112" t="s">
        <v>1973</v>
      </c>
      <c r="AB53" s="1232" t="s">
        <v>2335</v>
      </c>
      <c r="AC53" s="1113" t="s">
        <v>542</v>
      </c>
      <c r="AD53" s="1065" t="s">
        <v>1975</v>
      </c>
      <c r="AE53" s="1065" t="s">
        <v>2341</v>
      </c>
      <c r="AF53" s="1094">
        <f t="shared" si="1"/>
        <v>0.2</v>
      </c>
      <c r="AG53" s="1094">
        <v>0</v>
      </c>
      <c r="AH53" s="1053"/>
      <c r="AI53" s="1053" t="s">
        <v>2342</v>
      </c>
      <c r="AJ53" s="1096">
        <f t="shared" si="2"/>
        <v>0.3</v>
      </c>
      <c r="AK53" s="1096">
        <f>23/81</f>
        <v>0.2839506172839506</v>
      </c>
      <c r="AL53" s="1241" t="s">
        <v>2343</v>
      </c>
      <c r="AM53" s="1244" t="s">
        <v>2344</v>
      </c>
      <c r="AN53" s="1094">
        <f t="shared" si="3"/>
        <v>0.35</v>
      </c>
      <c r="AO53" s="1245">
        <f>26/81</f>
        <v>0.32098765432098764</v>
      </c>
      <c r="AP53" s="1057" t="s">
        <v>2345</v>
      </c>
      <c r="AQ53" s="1246" t="s">
        <v>2344</v>
      </c>
      <c r="AR53" s="1096">
        <f t="shared" si="4"/>
        <v>0.15</v>
      </c>
      <c r="AS53" s="825">
        <f>20/81</f>
        <v>0.24691358024691357</v>
      </c>
      <c r="AT53" s="919" t="s">
        <v>2412</v>
      </c>
      <c r="AU53" s="919" t="s">
        <v>2344</v>
      </c>
    </row>
    <row r="54" spans="1:47" ht="45.75" customHeight="1" thickBot="1">
      <c r="A54" s="1564"/>
      <c r="B54" s="1564"/>
      <c r="C54" s="1247" t="s">
        <v>1755</v>
      </c>
      <c r="D54" s="1560"/>
      <c r="E54" s="1560"/>
      <c r="F54" s="1560"/>
      <c r="G54" s="1560"/>
      <c r="H54" s="1560"/>
      <c r="I54" s="1560"/>
      <c r="J54" s="1560"/>
      <c r="K54" s="1560"/>
      <c r="L54" s="1560"/>
      <c r="M54" s="1560"/>
      <c r="N54" s="1560"/>
      <c r="O54" s="1560"/>
      <c r="P54" s="1560"/>
      <c r="Q54" s="1560"/>
      <c r="R54" s="1560"/>
      <c r="S54" s="1560"/>
      <c r="T54" s="1560"/>
      <c r="U54" s="1560"/>
      <c r="V54" s="1560"/>
      <c r="W54" s="1560"/>
      <c r="X54" s="1560"/>
      <c r="Y54" s="1560"/>
      <c r="Z54" s="1560"/>
      <c r="AA54" s="1560"/>
      <c r="AB54" s="1560"/>
      <c r="AC54" s="1560"/>
      <c r="AD54" s="1560"/>
      <c r="AE54" s="1560"/>
      <c r="AF54" s="1560">
        <f t="shared" si="1"/>
        <v>0</v>
      </c>
      <c r="AG54" s="1560"/>
      <c r="AH54" s="1560"/>
      <c r="AI54" s="1560"/>
      <c r="AJ54" s="1560">
        <f t="shared" si="2"/>
        <v>0</v>
      </c>
      <c r="AK54" s="1560"/>
      <c r="AL54" s="1560"/>
      <c r="AM54" s="1560"/>
      <c r="AN54" s="1560">
        <f t="shared" si="3"/>
        <v>0</v>
      </c>
      <c r="AO54" s="1560"/>
      <c r="AP54" s="1560"/>
      <c r="AQ54" s="1560"/>
      <c r="AR54" s="1560">
        <f t="shared" si="4"/>
        <v>0</v>
      </c>
      <c r="AS54" s="1560"/>
      <c r="AT54" s="1560"/>
      <c r="AU54" s="1560"/>
    </row>
    <row r="55" spans="1:47" ht="171.6" customHeight="1" thickTop="1" thickBot="1">
      <c r="A55" s="1565" t="s">
        <v>1978</v>
      </c>
      <c r="B55" s="1565"/>
      <c r="C55" s="1569" t="s">
        <v>1577</v>
      </c>
      <c r="D55" s="1136">
        <v>1</v>
      </c>
      <c r="E55" s="1035" t="s">
        <v>2346</v>
      </c>
      <c r="F55" s="1137">
        <v>0.03</v>
      </c>
      <c r="G55" s="1037" t="s">
        <v>537</v>
      </c>
      <c r="H55" s="1038" t="s">
        <v>529</v>
      </c>
      <c r="I55" s="1248">
        <v>0.08</v>
      </c>
      <c r="J55" s="1103">
        <f>AG55</f>
        <v>0.05</v>
      </c>
      <c r="K55" s="1041">
        <f>IF(ISERROR(J55/I55),"",(J55/I55))</f>
        <v>0.625</v>
      </c>
      <c r="L55" s="1249">
        <v>0.12</v>
      </c>
      <c r="M55" s="1105">
        <f>AK55</f>
        <v>0.14586572005630699</v>
      </c>
      <c r="N55" s="1044">
        <f>IF(ISERROR(M55/L55),"",(M55/L55))</f>
        <v>1.2155476671358916</v>
      </c>
      <c r="O55" s="1248">
        <v>0.18</v>
      </c>
      <c r="P55" s="1103">
        <f>AO55</f>
        <v>0.19748760634065732</v>
      </c>
      <c r="Q55" s="1041">
        <f>IF(ISERROR(P55/O55),"",(P55/O55))</f>
        <v>1.0971533685592074</v>
      </c>
      <c r="R55" s="1249">
        <v>0.25</v>
      </c>
      <c r="S55" s="1105">
        <f>AS55</f>
        <v>0.22706407980904583</v>
      </c>
      <c r="T55" s="1044">
        <f>IF(ISERROR(S55/R55),"",(S55/R55))</f>
        <v>0.90825631923618333</v>
      </c>
      <c r="U55" s="1107">
        <f>R55</f>
        <v>0.25</v>
      </c>
      <c r="V55" s="1150">
        <f>S55</f>
        <v>0.22706407980904583</v>
      </c>
      <c r="W55" s="1047">
        <f>IF((IF(ISERROR(V55/U55),0,(V55/U55)))&gt;1,1,(IF(ISERROR(V55/U55),0,(V55/U55))))</f>
        <v>0.90825631923618333</v>
      </c>
      <c r="X55" s="1047">
        <f>F55*W55</f>
        <v>2.7247689577085499E-2</v>
      </c>
      <c r="Y55" s="1037" t="s">
        <v>1980</v>
      </c>
      <c r="Z55" s="1037" t="s">
        <v>2347</v>
      </c>
      <c r="AA55" s="1038" t="s">
        <v>1981</v>
      </c>
      <c r="AB55" s="1250"/>
      <c r="AC55" s="1251" t="s">
        <v>542</v>
      </c>
      <c r="AD55" s="1050" t="s">
        <v>2348</v>
      </c>
      <c r="AE55" s="1050" t="s">
        <v>2349</v>
      </c>
      <c r="AF55" s="1094">
        <f t="shared" si="1"/>
        <v>0.08</v>
      </c>
      <c r="AG55" s="1094">
        <v>0.05</v>
      </c>
      <c r="AH55" s="1095" t="s">
        <v>2350</v>
      </c>
      <c r="AI55" s="1095" t="s">
        <v>2351</v>
      </c>
      <c r="AJ55" s="1117">
        <f t="shared" si="2"/>
        <v>0.12</v>
      </c>
      <c r="AK55" s="1117">
        <f>+(12801*0.25/16339)-0.05</f>
        <v>0.14586572005630699</v>
      </c>
      <c r="AL55" s="1054" t="s">
        <v>2352</v>
      </c>
      <c r="AM55" s="1055" t="s">
        <v>2351</v>
      </c>
      <c r="AN55" s="1094">
        <f t="shared" si="3"/>
        <v>0.18</v>
      </c>
      <c r="AO55" s="1094">
        <f>+(12907*0.25/16339)</f>
        <v>0.19748760634065732</v>
      </c>
      <c r="AP55" s="1146" t="s">
        <v>2353</v>
      </c>
      <c r="AQ55" s="1146" t="s">
        <v>2351</v>
      </c>
      <c r="AR55" s="1096">
        <f t="shared" si="4"/>
        <v>0.25</v>
      </c>
      <c r="AS55" s="1308">
        <f>3710/16339</f>
        <v>0.22706407980904583</v>
      </c>
      <c r="AT55" s="919" t="s">
        <v>2413</v>
      </c>
      <c r="AU55" s="1309" t="s">
        <v>2351</v>
      </c>
    </row>
    <row r="56" spans="1:47" ht="151.15" customHeight="1" thickTop="1" thickBot="1">
      <c r="A56" s="1565"/>
      <c r="B56" s="1565"/>
      <c r="C56" s="1569"/>
      <c r="D56" s="1252">
        <v>2</v>
      </c>
      <c r="E56" s="1035" t="s">
        <v>2354</v>
      </c>
      <c r="F56" s="1137">
        <v>0.01</v>
      </c>
      <c r="G56" s="1037" t="s">
        <v>537</v>
      </c>
      <c r="H56" s="1038" t="s">
        <v>532</v>
      </c>
      <c r="I56" s="1253">
        <v>0.9</v>
      </c>
      <c r="J56" s="1254">
        <f>AG56</f>
        <v>0.92307692307692313</v>
      </c>
      <c r="K56" s="1195">
        <f>IF(ISERROR(J56/I56),"",(J56/I56))</f>
        <v>1.0256410256410258</v>
      </c>
      <c r="L56" s="1255">
        <v>0</v>
      </c>
      <c r="M56" s="1256">
        <f>AK56</f>
        <v>0</v>
      </c>
      <c r="N56" s="1196" t="str">
        <f>IF(ISERROR(M56/L56),"",(M56/L56))</f>
        <v/>
      </c>
      <c r="O56" s="1253">
        <v>0</v>
      </c>
      <c r="P56" s="1254">
        <f>AO56</f>
        <v>0</v>
      </c>
      <c r="Q56" s="1195" t="str">
        <f>IF(ISERROR(P56/O56),"",(P56/O56))</f>
        <v/>
      </c>
      <c r="R56" s="1255">
        <v>0</v>
      </c>
      <c r="S56" s="1256">
        <f>AS56</f>
        <v>0</v>
      </c>
      <c r="T56" s="1044" t="str">
        <f>IF(ISERROR(S56/R56),"",(S56/R56))</f>
        <v/>
      </c>
      <c r="U56" s="1257">
        <f t="shared" ref="U56:V58" si="38">SUM(I56,L56,O56,R56)</f>
        <v>0.9</v>
      </c>
      <c r="V56" s="1258">
        <f t="shared" si="38"/>
        <v>0.92307692307692313</v>
      </c>
      <c r="W56" s="1047">
        <f>IF((IF(ISERROR(V56/U56),0,(V56/U56)))&gt;1,1,(IF(ISERROR(V56/U56),0,(V56/U56))))</f>
        <v>1</v>
      </c>
      <c r="X56" s="1047">
        <f>F56*W56</f>
        <v>0.01</v>
      </c>
      <c r="Y56" s="1060" t="s">
        <v>2355</v>
      </c>
      <c r="Z56" s="1060" t="s">
        <v>2356</v>
      </c>
      <c r="AA56" s="1061" t="s">
        <v>2357</v>
      </c>
      <c r="AB56" s="1259" t="s">
        <v>2358</v>
      </c>
      <c r="AC56" s="1251" t="s">
        <v>542</v>
      </c>
      <c r="AD56" s="1051" t="s">
        <v>2359</v>
      </c>
      <c r="AE56" s="1065"/>
      <c r="AF56" s="1093">
        <f t="shared" si="1"/>
        <v>0.9</v>
      </c>
      <c r="AG56" s="1093">
        <f>12/13</f>
        <v>0.92307692307692313</v>
      </c>
      <c r="AH56" s="1053" t="s">
        <v>2360</v>
      </c>
      <c r="AI56" s="1053" t="s">
        <v>2361</v>
      </c>
      <c r="AJ56" s="1096">
        <f t="shared" si="2"/>
        <v>0</v>
      </c>
      <c r="AK56" s="1096">
        <v>0</v>
      </c>
      <c r="AL56" s="1127" t="s">
        <v>2035</v>
      </c>
      <c r="AM56" s="1122" t="s">
        <v>2035</v>
      </c>
      <c r="AN56" s="1093">
        <f t="shared" si="3"/>
        <v>0</v>
      </c>
      <c r="AO56" s="1099">
        <v>0</v>
      </c>
      <c r="AP56" s="1057" t="s">
        <v>2035</v>
      </c>
      <c r="AQ56" s="1162" t="s">
        <v>2035</v>
      </c>
      <c r="AR56" s="1096">
        <f t="shared" si="4"/>
        <v>0</v>
      </c>
      <c r="AS56" s="1310">
        <v>0</v>
      </c>
      <c r="AT56" s="919" t="s">
        <v>2414</v>
      </c>
      <c r="AU56" s="919" t="s">
        <v>2035</v>
      </c>
    </row>
    <row r="57" spans="1:47" ht="119.45" customHeight="1" thickTop="1" thickBot="1">
      <c r="A57" s="1565"/>
      <c r="B57" s="1565"/>
      <c r="C57" s="1569"/>
      <c r="D57" s="1252">
        <v>3</v>
      </c>
      <c r="E57" s="1035" t="s">
        <v>2362</v>
      </c>
      <c r="F57" s="1260">
        <v>0</v>
      </c>
      <c r="G57" s="1060" t="s">
        <v>537</v>
      </c>
      <c r="H57" s="1061" t="s">
        <v>529</v>
      </c>
      <c r="I57" s="1253">
        <v>0</v>
      </c>
      <c r="J57" s="1254">
        <f>AG57</f>
        <v>0</v>
      </c>
      <c r="K57" s="1195" t="str">
        <f>IF(ISERROR(J57/I57),"",(J57/I57))</f>
        <v/>
      </c>
      <c r="L57" s="1255">
        <v>0</v>
      </c>
      <c r="M57" s="1256">
        <f>AK57</f>
        <v>0</v>
      </c>
      <c r="N57" s="1196" t="str">
        <f>IF(ISERROR(M57/L57),"",(M57/L57))</f>
        <v/>
      </c>
      <c r="O57" s="1253">
        <v>0</v>
      </c>
      <c r="P57" s="1254">
        <f>AO57</f>
        <v>0</v>
      </c>
      <c r="Q57" s="1195" t="str">
        <f>IF(ISERROR(P57/O57),"",(P57/O57))</f>
        <v/>
      </c>
      <c r="R57" s="1255">
        <v>0</v>
      </c>
      <c r="S57" s="1256">
        <f>AS57</f>
        <v>0</v>
      </c>
      <c r="T57" s="1044" t="str">
        <f>IF(ISERROR(S57/R57),"",(S57/R57))</f>
        <v/>
      </c>
      <c r="U57" s="1257">
        <f t="shared" si="38"/>
        <v>0</v>
      </c>
      <c r="V57" s="1258">
        <f t="shared" si="38"/>
        <v>0</v>
      </c>
      <c r="W57" s="1047">
        <f>IF((IF(ISERROR(V57/U57),0,(V57/U57)))&gt;1,1,(IF(ISERROR(V57/U57),0,(V57/U57))))</f>
        <v>0</v>
      </c>
      <c r="X57" s="1047">
        <f>F57*W57</f>
        <v>0</v>
      </c>
      <c r="Y57" s="1060" t="s">
        <v>2363</v>
      </c>
      <c r="Z57" s="1060" t="s">
        <v>2364</v>
      </c>
      <c r="AA57" s="1061" t="s">
        <v>2365</v>
      </c>
      <c r="AB57" s="1061" t="s">
        <v>2366</v>
      </c>
      <c r="AC57" s="1251" t="s">
        <v>540</v>
      </c>
      <c r="AD57" s="1065"/>
      <c r="AE57" s="1051" t="s">
        <v>2367</v>
      </c>
      <c r="AF57" s="1093">
        <f t="shared" si="1"/>
        <v>0</v>
      </c>
      <c r="AG57" s="1093">
        <v>0</v>
      </c>
      <c r="AH57" s="1053" t="s">
        <v>2035</v>
      </c>
      <c r="AI57" s="1053" t="s">
        <v>2035</v>
      </c>
      <c r="AJ57" s="1096">
        <f t="shared" si="2"/>
        <v>0</v>
      </c>
      <c r="AK57" s="1096">
        <v>0</v>
      </c>
      <c r="AL57" s="1127" t="s">
        <v>2035</v>
      </c>
      <c r="AM57" s="1122" t="s">
        <v>2035</v>
      </c>
      <c r="AN57" s="1093">
        <f t="shared" si="3"/>
        <v>0</v>
      </c>
      <c r="AO57" s="1099">
        <v>0</v>
      </c>
      <c r="AP57" s="1057" t="s">
        <v>2035</v>
      </c>
      <c r="AQ57" s="1162" t="s">
        <v>2035</v>
      </c>
      <c r="AR57" s="1096">
        <f t="shared" si="4"/>
        <v>0</v>
      </c>
      <c r="AS57" s="1310">
        <v>0</v>
      </c>
      <c r="AT57" s="919" t="s">
        <v>2035</v>
      </c>
      <c r="AU57" s="919" t="s">
        <v>2035</v>
      </c>
    </row>
    <row r="58" spans="1:47" ht="99.95" customHeight="1" thickTop="1" thickBot="1">
      <c r="A58" s="1565"/>
      <c r="B58" s="1565"/>
      <c r="C58" s="1569"/>
      <c r="D58" s="1136"/>
      <c r="E58" s="1035" t="s">
        <v>2368</v>
      </c>
      <c r="F58" s="1260">
        <v>0</v>
      </c>
      <c r="G58" s="1060"/>
      <c r="H58" s="1061"/>
      <c r="I58" s="1236">
        <v>0</v>
      </c>
      <c r="J58" s="1040">
        <f>AG58</f>
        <v>0</v>
      </c>
      <c r="K58" s="1041" t="str">
        <f>IF(ISERROR(J58/I58),"",(J58/I58))</f>
        <v/>
      </c>
      <c r="L58" s="1261">
        <v>0</v>
      </c>
      <c r="M58" s="1043">
        <f>AK58</f>
        <v>0</v>
      </c>
      <c r="N58" s="1044" t="str">
        <f>IF(ISERROR(M58/L58),"",(M58/L58))</f>
        <v/>
      </c>
      <c r="O58" s="1236">
        <v>0</v>
      </c>
      <c r="P58" s="1040">
        <f>AO58</f>
        <v>0</v>
      </c>
      <c r="Q58" s="1041" t="str">
        <f>IF(ISERROR(P58/O58),"",(P58/O58))</f>
        <v/>
      </c>
      <c r="R58" s="1261">
        <v>0</v>
      </c>
      <c r="S58" s="1043">
        <f>AS58</f>
        <v>0</v>
      </c>
      <c r="T58" s="1044" t="str">
        <f>IF(ISERROR(S58/R58),"",(S58/R58))</f>
        <v/>
      </c>
      <c r="U58" s="1045">
        <f t="shared" si="38"/>
        <v>0</v>
      </c>
      <c r="V58" s="1238">
        <f t="shared" si="38"/>
        <v>0</v>
      </c>
      <c r="W58" s="1047">
        <f>IF((IF(ISERROR(V58/U58),0,(V58/U58)))&gt;1,1,(IF(ISERROR(V58/U58),0,(V58/U58))))</f>
        <v>0</v>
      </c>
      <c r="X58" s="1047">
        <f>F58*W58</f>
        <v>0</v>
      </c>
      <c r="Y58" s="1262"/>
      <c r="Z58" s="1262"/>
      <c r="AA58" s="1263"/>
      <c r="AB58" s="1264"/>
      <c r="AC58" s="1113"/>
      <c r="AD58" s="1065"/>
      <c r="AE58" s="1265" t="s">
        <v>2369</v>
      </c>
      <c r="AF58" s="1169">
        <f t="shared" si="1"/>
        <v>0</v>
      </c>
      <c r="AG58" s="1169">
        <v>0</v>
      </c>
      <c r="AH58" s="1116" t="s">
        <v>2035</v>
      </c>
      <c r="AI58" s="1116" t="s">
        <v>2035</v>
      </c>
      <c r="AJ58" s="1170">
        <f t="shared" si="2"/>
        <v>0</v>
      </c>
      <c r="AK58" s="1170">
        <v>0</v>
      </c>
      <c r="AL58" s="1127" t="s">
        <v>2035</v>
      </c>
      <c r="AM58" s="1122" t="s">
        <v>2035</v>
      </c>
      <c r="AN58" s="1169">
        <f t="shared" si="3"/>
        <v>0</v>
      </c>
      <c r="AO58" s="1173">
        <v>0</v>
      </c>
      <c r="AP58" s="1057" t="s">
        <v>2035</v>
      </c>
      <c r="AQ58" s="1162" t="s">
        <v>2035</v>
      </c>
      <c r="AR58" s="1170">
        <f t="shared" si="4"/>
        <v>0</v>
      </c>
      <c r="AS58" s="1311">
        <v>0</v>
      </c>
      <c r="AT58" s="1290" t="s">
        <v>2035</v>
      </c>
      <c r="AU58" s="1290" t="s">
        <v>2035</v>
      </c>
    </row>
    <row r="59" spans="1:47" ht="77.45" customHeight="1" thickBot="1">
      <c r="A59" s="1564"/>
      <c r="B59" s="1564"/>
      <c r="C59" s="1202" t="s">
        <v>1755</v>
      </c>
      <c r="D59" s="1560"/>
      <c r="E59" s="1560"/>
      <c r="F59" s="1560"/>
      <c r="G59" s="1560"/>
      <c r="H59" s="1560"/>
      <c r="I59" s="1560"/>
      <c r="J59" s="1560"/>
      <c r="K59" s="1560"/>
      <c r="L59" s="1560"/>
      <c r="M59" s="1560"/>
      <c r="N59" s="1560"/>
      <c r="O59" s="1560"/>
      <c r="P59" s="1560"/>
      <c r="Q59" s="1560"/>
      <c r="R59" s="1560"/>
      <c r="S59" s="1560"/>
      <c r="T59" s="1560"/>
      <c r="U59" s="1560"/>
      <c r="V59" s="1560"/>
      <c r="W59" s="1560"/>
      <c r="X59" s="1560"/>
      <c r="Y59" s="1560"/>
      <c r="Z59" s="1560"/>
      <c r="AA59" s="1560"/>
      <c r="AB59" s="1560"/>
      <c r="AC59" s="1560"/>
      <c r="AD59" s="1560"/>
      <c r="AE59" s="1560"/>
      <c r="AF59" s="1560">
        <f t="shared" si="1"/>
        <v>0</v>
      </c>
      <c r="AG59" s="1560"/>
      <c r="AH59" s="1560"/>
      <c r="AI59" s="1560"/>
      <c r="AJ59" s="1560">
        <f t="shared" si="2"/>
        <v>0</v>
      </c>
      <c r="AK59" s="1560"/>
      <c r="AL59" s="1560"/>
      <c r="AM59" s="1560"/>
      <c r="AN59" s="1560">
        <f t="shared" si="3"/>
        <v>0</v>
      </c>
      <c r="AO59" s="1560"/>
      <c r="AP59" s="1560"/>
      <c r="AQ59" s="1560"/>
      <c r="AR59" s="1560">
        <f t="shared" si="4"/>
        <v>0</v>
      </c>
      <c r="AS59" s="1560"/>
      <c r="AT59" s="1560"/>
      <c r="AU59" s="1560"/>
    </row>
    <row r="60" spans="1:47" ht="191.1" customHeight="1" thickBot="1">
      <c r="A60" s="1266" t="s">
        <v>1978</v>
      </c>
      <c r="B60" s="1266" t="s">
        <v>2001</v>
      </c>
      <c r="C60" s="1267" t="s">
        <v>1608</v>
      </c>
      <c r="D60" s="1136">
        <v>2</v>
      </c>
      <c r="E60" s="1268" t="s">
        <v>2370</v>
      </c>
      <c r="F60" s="1269">
        <v>0.03</v>
      </c>
      <c r="G60" s="1037" t="s">
        <v>537</v>
      </c>
      <c r="H60" s="1038" t="s">
        <v>532</v>
      </c>
      <c r="I60" s="1270">
        <v>0.1</v>
      </c>
      <c r="J60" s="1085">
        <f>AG60</f>
        <v>0.14285714285714285</v>
      </c>
      <c r="K60" s="1041">
        <f>IF(ISERROR(J60/I60),"",(J60/I60))</f>
        <v>1.4285714285714284</v>
      </c>
      <c r="L60" s="1271">
        <v>0.15</v>
      </c>
      <c r="M60" s="1087">
        <f>AK60</f>
        <v>0.1142857142857143</v>
      </c>
      <c r="N60" s="1044">
        <f>IF(ISERROR(M60/L60),"",(M60/L60))</f>
        <v>0.76190476190476197</v>
      </c>
      <c r="O60" s="1270">
        <v>0.15</v>
      </c>
      <c r="P60" s="1085">
        <f>AO60</f>
        <v>1</v>
      </c>
      <c r="Q60" s="1041">
        <f>IF(ISERROR(P60/O60),"",(P60/O60))</f>
        <v>6.666666666666667</v>
      </c>
      <c r="R60" s="1271">
        <v>0.2</v>
      </c>
      <c r="S60" s="1087">
        <f>AS60</f>
        <v>0</v>
      </c>
      <c r="T60" s="1044">
        <f>IF(ISERROR(S60/R60),"",(S60/R60))</f>
        <v>0</v>
      </c>
      <c r="U60" s="1272">
        <f>SUM(I60,L60,O60,R60)</f>
        <v>0.60000000000000009</v>
      </c>
      <c r="V60" s="1273">
        <f>SUM(J60,M60,P60,S60)</f>
        <v>1.2571428571428571</v>
      </c>
      <c r="W60" s="1047">
        <f>IF((IF(ISERROR(V60/U60),0,(V60/U60)))&gt;1,1,(IF(ISERROR(V60/U60),0,(V60/U60))))</f>
        <v>1</v>
      </c>
      <c r="X60" s="1047">
        <f>F60*W60</f>
        <v>0.03</v>
      </c>
      <c r="Y60" s="1274" t="s">
        <v>2371</v>
      </c>
      <c r="Z60" s="1274" t="s">
        <v>2372</v>
      </c>
      <c r="AA60" s="1275" t="s">
        <v>2373</v>
      </c>
      <c r="AB60" s="1275" t="s">
        <v>2374</v>
      </c>
      <c r="AC60" s="1251" t="s">
        <v>542</v>
      </c>
      <c r="AD60" s="1276" t="s">
        <v>2375</v>
      </c>
      <c r="AE60" s="1050"/>
      <c r="AF60" s="1093">
        <f t="shared" si="1"/>
        <v>0.1</v>
      </c>
      <c r="AG60" s="1094">
        <f>1/7</f>
        <v>0.14285714285714285</v>
      </c>
      <c r="AH60" s="1116" t="s">
        <v>2376</v>
      </c>
      <c r="AI60" s="1116" t="s">
        <v>2377</v>
      </c>
      <c r="AJ60" s="1096">
        <f t="shared" si="2"/>
        <v>0.15</v>
      </c>
      <c r="AK60" s="1096">
        <f>0.8/7</f>
        <v>0.1142857142857143</v>
      </c>
      <c r="AL60" s="1277" t="s">
        <v>2378</v>
      </c>
      <c r="AM60" s="1278" t="s">
        <v>2379</v>
      </c>
      <c r="AN60" s="1093">
        <f t="shared" si="3"/>
        <v>0.15</v>
      </c>
      <c r="AO60" s="1099">
        <f>5/5</f>
        <v>1</v>
      </c>
      <c r="AP60" s="1123" t="s">
        <v>2380</v>
      </c>
      <c r="AQ60" s="1116" t="s">
        <v>2381</v>
      </c>
      <c r="AR60" s="1096">
        <f t="shared" si="4"/>
        <v>0.2</v>
      </c>
      <c r="AS60" s="1241"/>
      <c r="AT60" s="1127"/>
      <c r="AU60" s="1127"/>
    </row>
    <row r="61" spans="1:47" ht="12.75" customHeight="1" thickTop="1">
      <c r="F61" s="1023">
        <f>SUM(F12:F60)</f>
        <v>1.0000000000000002</v>
      </c>
    </row>
  </sheetData>
  <sheetProtection password="EEC9" sheet="1" objects="1" scenarios="1" selectLockedCells="1" selectUnlockedCells="1"/>
  <mergeCells count="79">
    <mergeCell ref="A59:B59"/>
    <mergeCell ref="D59:AU59"/>
    <mergeCell ref="A24:A42"/>
    <mergeCell ref="B24:B42"/>
    <mergeCell ref="C24:C42"/>
    <mergeCell ref="D43:AU43"/>
    <mergeCell ref="A44:A53"/>
    <mergeCell ref="B44:B53"/>
    <mergeCell ref="C44:C53"/>
    <mergeCell ref="A54:B54"/>
    <mergeCell ref="D54:AU54"/>
    <mergeCell ref="A55:A58"/>
    <mergeCell ref="B55:B58"/>
    <mergeCell ref="C55:C58"/>
    <mergeCell ref="AE9:AE11"/>
    <mergeCell ref="I10:I11"/>
    <mergeCell ref="J10:J11"/>
    <mergeCell ref="K10:K11"/>
    <mergeCell ref="L10:L11"/>
    <mergeCell ref="M10:M11"/>
    <mergeCell ref="S10:S11"/>
    <mergeCell ref="Z9:Z11"/>
    <mergeCell ref="AA9:AB9"/>
    <mergeCell ref="AC9:AC11"/>
    <mergeCell ref="AD9:AD11"/>
    <mergeCell ref="N10:N11"/>
    <mergeCell ref="O10:O11"/>
    <mergeCell ref="P10:P11"/>
    <mergeCell ref="Q10:Q11"/>
    <mergeCell ref="AA10:AA11"/>
    <mergeCell ref="A15:B15"/>
    <mergeCell ref="D15:AU15"/>
    <mergeCell ref="A16:A22"/>
    <mergeCell ref="B16:B22"/>
    <mergeCell ref="C16:C22"/>
    <mergeCell ref="A23:B23"/>
    <mergeCell ref="E23:AU23"/>
    <mergeCell ref="AB10:AB11"/>
    <mergeCell ref="AF10:AI10"/>
    <mergeCell ref="AJ10:AM10"/>
    <mergeCell ref="AN10:AQ10"/>
    <mergeCell ref="AR10:AU10"/>
    <mergeCell ref="A12:A14"/>
    <mergeCell ref="B12:B14"/>
    <mergeCell ref="C12:C14"/>
    <mergeCell ref="T10:T11"/>
    <mergeCell ref="U10:U11"/>
    <mergeCell ref="V10:V11"/>
    <mergeCell ref="W10:W11"/>
    <mergeCell ref="X10:X11"/>
    <mergeCell ref="Y9:Y11"/>
    <mergeCell ref="R10:R11"/>
    <mergeCell ref="I9:K9"/>
    <mergeCell ref="L9:N9"/>
    <mergeCell ref="O9:Q9"/>
    <mergeCell ref="R9:T9"/>
    <mergeCell ref="U9:W9"/>
    <mergeCell ref="F8:F11"/>
    <mergeCell ref="A5:E5"/>
    <mergeCell ref="F5:AC5"/>
    <mergeCell ref="A6:E6"/>
    <mergeCell ref="F6:AC6"/>
    <mergeCell ref="A7:E7"/>
    <mergeCell ref="F7:AC7"/>
    <mergeCell ref="A8:A11"/>
    <mergeCell ref="B8:B11"/>
    <mergeCell ref="C8:C10"/>
    <mergeCell ref="D8:D11"/>
    <mergeCell ref="E8:E11"/>
    <mergeCell ref="G8:G11"/>
    <mergeCell ref="H8:H11"/>
    <mergeCell ref="I8:X8"/>
    <mergeCell ref="Y8:AE8"/>
    <mergeCell ref="A1:E3"/>
    <mergeCell ref="F1:AC1"/>
    <mergeCell ref="F2:AC2"/>
    <mergeCell ref="F3:AC3"/>
    <mergeCell ref="A4:E4"/>
    <mergeCell ref="F4:AC4"/>
  </mergeCells>
  <conditionalFormatting sqref="K13:K23 K43:K51 K53:K60">
    <cfRule type="cellIs" dxfId="572" priority="217" stopIfTrue="1" operator="between">
      <formula>0.9</formula>
      <formula>1.05</formula>
    </cfRule>
    <cfRule type="cellIs" dxfId="571" priority="218" stopIfTrue="1" operator="between">
      <formula>0.7</formula>
      <formula>0.8999</formula>
    </cfRule>
    <cfRule type="cellIs" dxfId="570" priority="219" stopIfTrue="1" operator="between">
      <formula>0</formula>
      <formula>0.6999</formula>
    </cfRule>
  </conditionalFormatting>
  <conditionalFormatting sqref="K41:K42 K25:K29 K33:K39">
    <cfRule type="cellIs" dxfId="569" priority="214" stopIfTrue="1" operator="between">
      <formula>0.9</formula>
      <formula>1.05</formula>
    </cfRule>
    <cfRule type="cellIs" dxfId="568" priority="215" stopIfTrue="1" operator="between">
      <formula>0.7</formula>
      <formula>0.8999</formula>
    </cfRule>
    <cfRule type="cellIs" dxfId="567" priority="216" stopIfTrue="1" operator="between">
      <formula>0</formula>
      <formula>0.6999</formula>
    </cfRule>
  </conditionalFormatting>
  <conditionalFormatting sqref="K13:K29 K33:K39 K41:K51 K53:K60">
    <cfRule type="cellIs" dxfId="566" priority="210" stopIfTrue="1" operator="between">
      <formula>0.9</formula>
      <formula>1.05</formula>
    </cfRule>
    <cfRule type="cellIs" dxfId="565" priority="211" stopIfTrue="1" operator="between">
      <formula>0.7</formula>
      <formula>0.8999</formula>
    </cfRule>
    <cfRule type="cellIs" dxfId="564" priority="212" stopIfTrue="1" operator="between">
      <formula>0</formula>
      <formula>0.6999</formula>
    </cfRule>
    <cfRule type="cellIs" dxfId="563" priority="213" stopIfTrue="1" operator="greaterThan">
      <formula>1.05</formula>
    </cfRule>
  </conditionalFormatting>
  <conditionalFormatting sqref="N13:N29 N33:N39 N41:N51 N53:N60">
    <cfRule type="cellIs" dxfId="562" priority="206" stopIfTrue="1" operator="between">
      <formula>0.9</formula>
      <formula>1.05</formula>
    </cfRule>
    <cfRule type="cellIs" dxfId="561" priority="207" stopIfTrue="1" operator="between">
      <formula>0.7</formula>
      <formula>0.899</formula>
    </cfRule>
    <cfRule type="cellIs" dxfId="560" priority="208" stopIfTrue="1" operator="between">
      <formula>0</formula>
      <formula>0.6999</formula>
    </cfRule>
    <cfRule type="cellIs" dxfId="559" priority="209" stopIfTrue="1" operator="greaterThan">
      <formula>1.05</formula>
    </cfRule>
  </conditionalFormatting>
  <conditionalFormatting sqref="W58:W60 W13:W23 W41:W46 W34:W39 W50 W53:W56">
    <cfRule type="cellIs" dxfId="558" priority="203" stopIfTrue="1" operator="between">
      <formula>0.9</formula>
      <formula>1</formula>
    </cfRule>
    <cfRule type="cellIs" dxfId="557" priority="204" stopIfTrue="1" operator="between">
      <formula>0.7</formula>
      <formula>0.8999</formula>
    </cfRule>
    <cfRule type="cellIs" dxfId="556" priority="205" stopIfTrue="1" operator="between">
      <formula>0</formula>
      <formula>0.6999</formula>
    </cfRule>
  </conditionalFormatting>
  <conditionalFormatting sqref="Q13:Q22">
    <cfRule type="cellIs" dxfId="555" priority="200" stopIfTrue="1" operator="between">
      <formula>0.9</formula>
      <formula>1.05</formula>
    </cfRule>
    <cfRule type="cellIs" dxfId="554" priority="201" stopIfTrue="1" operator="between">
      <formula>0.7</formula>
      <formula>0.8999</formula>
    </cfRule>
    <cfRule type="cellIs" dxfId="553" priority="202" stopIfTrue="1" operator="between">
      <formula>0</formula>
      <formula>0.6999</formula>
    </cfRule>
  </conditionalFormatting>
  <conditionalFormatting sqref="Q13:Q22">
    <cfRule type="cellIs" dxfId="552" priority="196" stopIfTrue="1" operator="between">
      <formula>0.9</formula>
      <formula>1.05</formula>
    </cfRule>
    <cfRule type="cellIs" dxfId="551" priority="197" stopIfTrue="1" operator="between">
      <formula>0.7</formula>
      <formula>0.8999</formula>
    </cfRule>
    <cfRule type="cellIs" dxfId="550" priority="198" stopIfTrue="1" operator="between">
      <formula>0</formula>
      <formula>0.6999</formula>
    </cfRule>
    <cfRule type="cellIs" dxfId="549" priority="199" stopIfTrue="1" operator="greaterThan">
      <formula>1.05</formula>
    </cfRule>
  </conditionalFormatting>
  <conditionalFormatting sqref="Q41:Q42 Q25:Q29 Q33:Q39">
    <cfRule type="cellIs" dxfId="548" priority="193" stopIfTrue="1" operator="between">
      <formula>0.9</formula>
      <formula>1.05</formula>
    </cfRule>
    <cfRule type="cellIs" dxfId="547" priority="194" stopIfTrue="1" operator="between">
      <formula>0.7</formula>
      <formula>0.8999</formula>
    </cfRule>
    <cfRule type="cellIs" dxfId="546" priority="195" stopIfTrue="1" operator="between">
      <formula>0</formula>
      <formula>0.6999</formula>
    </cfRule>
  </conditionalFormatting>
  <conditionalFormatting sqref="Q41:Q42 Q24:Q29 Q33:Q39">
    <cfRule type="cellIs" dxfId="545" priority="189" stopIfTrue="1" operator="between">
      <formula>0.9</formula>
      <formula>1.05</formula>
    </cfRule>
    <cfRule type="cellIs" dxfId="544" priority="190" stopIfTrue="1" operator="between">
      <formula>0.7</formula>
      <formula>0.8999</formula>
    </cfRule>
    <cfRule type="cellIs" dxfId="543" priority="191" stopIfTrue="1" operator="between">
      <formula>0</formula>
      <formula>0.6999</formula>
    </cfRule>
    <cfRule type="cellIs" dxfId="542" priority="192" stopIfTrue="1" operator="greaterThan">
      <formula>1.05</formula>
    </cfRule>
  </conditionalFormatting>
  <conditionalFormatting sqref="Q53 Q44:Q51">
    <cfRule type="cellIs" dxfId="541" priority="186" stopIfTrue="1" operator="between">
      <formula>0.9</formula>
      <formula>1.05</formula>
    </cfRule>
    <cfRule type="cellIs" dxfId="540" priority="187" stopIfTrue="1" operator="between">
      <formula>0.7</formula>
      <formula>0.8999</formula>
    </cfRule>
    <cfRule type="cellIs" dxfId="539" priority="188" stopIfTrue="1" operator="between">
      <formula>0</formula>
      <formula>0.6999</formula>
    </cfRule>
  </conditionalFormatting>
  <conditionalFormatting sqref="Q53 Q44:Q51">
    <cfRule type="cellIs" dxfId="538" priority="182" stopIfTrue="1" operator="between">
      <formula>0.9</formula>
      <formula>1.05</formula>
    </cfRule>
    <cfRule type="cellIs" dxfId="537" priority="183" stopIfTrue="1" operator="between">
      <formula>0.7</formula>
      <formula>0.8999</formula>
    </cfRule>
    <cfRule type="cellIs" dxfId="536" priority="184" stopIfTrue="1" operator="between">
      <formula>0</formula>
      <formula>0.6999</formula>
    </cfRule>
    <cfRule type="cellIs" dxfId="535" priority="185" stopIfTrue="1" operator="greaterThan">
      <formula>1.05</formula>
    </cfRule>
  </conditionalFormatting>
  <conditionalFormatting sqref="Q55:Q58">
    <cfRule type="cellIs" dxfId="534" priority="179" stopIfTrue="1" operator="between">
      <formula>0.9</formula>
      <formula>1.05</formula>
    </cfRule>
    <cfRule type="cellIs" dxfId="533" priority="180" stopIfTrue="1" operator="between">
      <formula>0.7</formula>
      <formula>0.8999</formula>
    </cfRule>
    <cfRule type="cellIs" dxfId="532" priority="181" stopIfTrue="1" operator="between">
      <formula>0</formula>
      <formula>0.6999</formula>
    </cfRule>
  </conditionalFormatting>
  <conditionalFormatting sqref="Q55:Q58">
    <cfRule type="cellIs" dxfId="531" priority="175" stopIfTrue="1" operator="between">
      <formula>0.9</formula>
      <formula>1.05</formula>
    </cfRule>
    <cfRule type="cellIs" dxfId="530" priority="176" stopIfTrue="1" operator="between">
      <formula>0.7</formula>
      <formula>0.8999</formula>
    </cfRule>
    <cfRule type="cellIs" dxfId="529" priority="177" stopIfTrue="1" operator="between">
      <formula>0</formula>
      <formula>0.6999</formula>
    </cfRule>
    <cfRule type="cellIs" dxfId="528" priority="178" stopIfTrue="1" operator="greaterThan">
      <formula>1.05</formula>
    </cfRule>
  </conditionalFormatting>
  <conditionalFormatting sqref="Q60">
    <cfRule type="cellIs" dxfId="527" priority="172" stopIfTrue="1" operator="between">
      <formula>0.9</formula>
      <formula>1.05</formula>
    </cfRule>
    <cfRule type="cellIs" dxfId="526" priority="173" stopIfTrue="1" operator="between">
      <formula>0.7</formula>
      <formula>0.8999</formula>
    </cfRule>
    <cfRule type="cellIs" dxfId="525" priority="174" stopIfTrue="1" operator="between">
      <formula>0</formula>
      <formula>0.6999</formula>
    </cfRule>
  </conditionalFormatting>
  <conditionalFormatting sqref="Q60">
    <cfRule type="cellIs" dxfId="524" priority="168" stopIfTrue="1" operator="between">
      <formula>0.9</formula>
      <formula>1.05</formula>
    </cfRule>
    <cfRule type="cellIs" dxfId="523" priority="169" stopIfTrue="1" operator="between">
      <formula>0.7</formula>
      <formula>0.8999</formula>
    </cfRule>
    <cfRule type="cellIs" dxfId="522" priority="170" stopIfTrue="1" operator="between">
      <formula>0</formula>
      <formula>0.6999</formula>
    </cfRule>
    <cfRule type="cellIs" dxfId="521" priority="171" stopIfTrue="1" operator="greaterThan">
      <formula>1.05</formula>
    </cfRule>
  </conditionalFormatting>
  <conditionalFormatting sqref="T13:T29 T33:T39 T41:T51 T53:T60">
    <cfRule type="cellIs" dxfId="520" priority="164" stopIfTrue="1" operator="between">
      <formula>0.9</formula>
      <formula>1.05</formula>
    </cfRule>
    <cfRule type="cellIs" dxfId="519" priority="165" stopIfTrue="1" operator="between">
      <formula>0.7</formula>
      <formula>0.899</formula>
    </cfRule>
    <cfRule type="cellIs" dxfId="518" priority="166" stopIfTrue="1" operator="between">
      <formula>0</formula>
      <formula>0.6999</formula>
    </cfRule>
    <cfRule type="cellIs" dxfId="517" priority="167" stopIfTrue="1" operator="greaterThan">
      <formula>1.05</formula>
    </cfRule>
  </conditionalFormatting>
  <conditionalFormatting sqref="W24">
    <cfRule type="cellIs" dxfId="516" priority="161" stopIfTrue="1" operator="between">
      <formula>0.9</formula>
      <formula>1</formula>
    </cfRule>
    <cfRule type="cellIs" dxfId="515" priority="162" stopIfTrue="1" operator="between">
      <formula>0.7</formula>
      <formula>0.8999</formula>
    </cfRule>
    <cfRule type="cellIs" dxfId="514" priority="163" stopIfTrue="1" operator="between">
      <formula>0</formula>
      <formula>0.6999</formula>
    </cfRule>
  </conditionalFormatting>
  <conditionalFormatting sqref="W28">
    <cfRule type="cellIs" dxfId="513" priority="158" stopIfTrue="1" operator="between">
      <formula>0.9</formula>
      <formula>1</formula>
    </cfRule>
    <cfRule type="cellIs" dxfId="512" priority="159" stopIfTrue="1" operator="between">
      <formula>0.7</formula>
      <formula>0.8999</formula>
    </cfRule>
    <cfRule type="cellIs" dxfId="511" priority="160" stopIfTrue="1" operator="between">
      <formula>0</formula>
      <formula>0.6999</formula>
    </cfRule>
  </conditionalFormatting>
  <conditionalFormatting sqref="W29">
    <cfRule type="cellIs" dxfId="510" priority="155" stopIfTrue="1" operator="between">
      <formula>0.9</formula>
      <formula>1</formula>
    </cfRule>
    <cfRule type="cellIs" dxfId="509" priority="156" stopIfTrue="1" operator="between">
      <formula>0.7</formula>
      <formula>0.8999</formula>
    </cfRule>
    <cfRule type="cellIs" dxfId="508" priority="157" stopIfTrue="1" operator="between">
      <formula>0</formula>
      <formula>0.6999</formula>
    </cfRule>
  </conditionalFormatting>
  <conditionalFormatting sqref="W33">
    <cfRule type="cellIs" dxfId="507" priority="152" stopIfTrue="1" operator="between">
      <formula>0.9</formula>
      <formula>1</formula>
    </cfRule>
    <cfRule type="cellIs" dxfId="506" priority="153" stopIfTrue="1" operator="between">
      <formula>0.7</formula>
      <formula>0.8999</formula>
    </cfRule>
    <cfRule type="cellIs" dxfId="505" priority="154" stopIfTrue="1" operator="between">
      <formula>0</formula>
      <formula>0.6999</formula>
    </cfRule>
  </conditionalFormatting>
  <conditionalFormatting sqref="W30">
    <cfRule type="cellIs" dxfId="504" priority="149" stopIfTrue="1" operator="between">
      <formula>0.9</formula>
      <formula>1</formula>
    </cfRule>
    <cfRule type="cellIs" dxfId="503" priority="150" stopIfTrue="1" operator="between">
      <formula>0.7</formula>
      <formula>0.8999</formula>
    </cfRule>
    <cfRule type="cellIs" dxfId="502" priority="151" stopIfTrue="1" operator="between">
      <formula>0</formula>
      <formula>0.6999</formula>
    </cfRule>
  </conditionalFormatting>
  <conditionalFormatting sqref="N30">
    <cfRule type="cellIs" dxfId="501" priority="145" stopIfTrue="1" operator="between">
      <formula>0.9</formula>
      <formula>1.05</formula>
    </cfRule>
    <cfRule type="cellIs" dxfId="500" priority="146" stopIfTrue="1" operator="between">
      <formula>0.7</formula>
      <formula>0.899</formula>
    </cfRule>
    <cfRule type="cellIs" dxfId="499" priority="147" stopIfTrue="1" operator="between">
      <formula>0</formula>
      <formula>0.6999</formula>
    </cfRule>
    <cfRule type="cellIs" dxfId="498" priority="148" stopIfTrue="1" operator="greaterThan">
      <formula>1.05</formula>
    </cfRule>
  </conditionalFormatting>
  <conditionalFormatting sqref="K30">
    <cfRule type="cellIs" dxfId="497" priority="142" stopIfTrue="1" operator="between">
      <formula>0.9</formula>
      <formula>1.05</formula>
    </cfRule>
    <cfRule type="cellIs" dxfId="496" priority="143" stopIfTrue="1" operator="between">
      <formula>0.7</formula>
      <formula>0.8999</formula>
    </cfRule>
    <cfRule type="cellIs" dxfId="495" priority="144" stopIfTrue="1" operator="between">
      <formula>0</formula>
      <formula>0.6999</formula>
    </cfRule>
  </conditionalFormatting>
  <conditionalFormatting sqref="K30">
    <cfRule type="cellIs" dxfId="494" priority="138" stopIfTrue="1" operator="between">
      <formula>0.9</formula>
      <formula>1.05</formula>
    </cfRule>
    <cfRule type="cellIs" dxfId="493" priority="139" stopIfTrue="1" operator="between">
      <formula>0.7</formula>
      <formula>0.8999</formula>
    </cfRule>
    <cfRule type="cellIs" dxfId="492" priority="140" stopIfTrue="1" operator="between">
      <formula>0</formula>
      <formula>0.6999</formula>
    </cfRule>
    <cfRule type="cellIs" dxfId="491" priority="141" stopIfTrue="1" operator="greaterThan">
      <formula>1.05</formula>
    </cfRule>
  </conditionalFormatting>
  <conditionalFormatting sqref="Q30">
    <cfRule type="cellIs" dxfId="490" priority="135" stopIfTrue="1" operator="between">
      <formula>0.9</formula>
      <formula>1.05</formula>
    </cfRule>
    <cfRule type="cellIs" dxfId="489" priority="136" stopIfTrue="1" operator="between">
      <formula>0.7</formula>
      <formula>0.8999</formula>
    </cfRule>
    <cfRule type="cellIs" dxfId="488" priority="137" stopIfTrue="1" operator="between">
      <formula>0</formula>
      <formula>0.6999</formula>
    </cfRule>
  </conditionalFormatting>
  <conditionalFormatting sqref="Q30">
    <cfRule type="cellIs" dxfId="487" priority="131" stopIfTrue="1" operator="between">
      <formula>0.9</formula>
      <formula>1.05</formula>
    </cfRule>
    <cfRule type="cellIs" dxfId="486" priority="132" stopIfTrue="1" operator="between">
      <formula>0.7</formula>
      <formula>0.8999</formula>
    </cfRule>
    <cfRule type="cellIs" dxfId="485" priority="133" stopIfTrue="1" operator="between">
      <formula>0</formula>
      <formula>0.6999</formula>
    </cfRule>
    <cfRule type="cellIs" dxfId="484" priority="134" stopIfTrue="1" operator="greaterThan">
      <formula>1.05</formula>
    </cfRule>
  </conditionalFormatting>
  <conditionalFormatting sqref="T30">
    <cfRule type="cellIs" dxfId="483" priority="127" stopIfTrue="1" operator="between">
      <formula>0.9</formula>
      <formula>1.05</formula>
    </cfRule>
    <cfRule type="cellIs" dxfId="482" priority="128" stopIfTrue="1" operator="between">
      <formula>0.7</formula>
      <formula>0.899</formula>
    </cfRule>
    <cfRule type="cellIs" dxfId="481" priority="129" stopIfTrue="1" operator="between">
      <formula>0</formula>
      <formula>0.6999</formula>
    </cfRule>
    <cfRule type="cellIs" dxfId="480" priority="130" stopIfTrue="1" operator="greaterThan">
      <formula>1.05</formula>
    </cfRule>
  </conditionalFormatting>
  <conditionalFormatting sqref="K31">
    <cfRule type="cellIs" dxfId="479" priority="124" stopIfTrue="1" operator="between">
      <formula>0.9</formula>
      <formula>1.05</formula>
    </cfRule>
    <cfRule type="cellIs" dxfId="478" priority="125" stopIfTrue="1" operator="between">
      <formula>0.7</formula>
      <formula>0.8999</formula>
    </cfRule>
    <cfRule type="cellIs" dxfId="477" priority="126" stopIfTrue="1" operator="between">
      <formula>0</formula>
      <formula>0.6999</formula>
    </cfRule>
  </conditionalFormatting>
  <conditionalFormatting sqref="K31">
    <cfRule type="cellIs" dxfId="476" priority="120" stopIfTrue="1" operator="between">
      <formula>0.9</formula>
      <formula>1.05</formula>
    </cfRule>
    <cfRule type="cellIs" dxfId="475" priority="121" stopIfTrue="1" operator="between">
      <formula>0.7</formula>
      <formula>0.8999</formula>
    </cfRule>
    <cfRule type="cellIs" dxfId="474" priority="122" stopIfTrue="1" operator="between">
      <formula>0</formula>
      <formula>0.6999</formula>
    </cfRule>
    <cfRule type="cellIs" dxfId="473" priority="123" stopIfTrue="1" operator="greaterThan">
      <formula>1.05</formula>
    </cfRule>
  </conditionalFormatting>
  <conditionalFormatting sqref="N31">
    <cfRule type="cellIs" dxfId="472" priority="116" stopIfTrue="1" operator="between">
      <formula>0.9</formula>
      <formula>1.05</formula>
    </cfRule>
    <cfRule type="cellIs" dxfId="471" priority="117" stopIfTrue="1" operator="between">
      <formula>0.7</formula>
      <formula>0.899</formula>
    </cfRule>
    <cfRule type="cellIs" dxfId="470" priority="118" stopIfTrue="1" operator="between">
      <formula>0</formula>
      <formula>0.6999</formula>
    </cfRule>
    <cfRule type="cellIs" dxfId="469" priority="119" stopIfTrue="1" operator="greaterThan">
      <formula>1.05</formula>
    </cfRule>
  </conditionalFormatting>
  <conditionalFormatting sqref="Q31">
    <cfRule type="cellIs" dxfId="468" priority="113" stopIfTrue="1" operator="between">
      <formula>0.9</formula>
      <formula>1.05</formula>
    </cfRule>
    <cfRule type="cellIs" dxfId="467" priority="114" stopIfTrue="1" operator="between">
      <formula>0.7</formula>
      <formula>0.8999</formula>
    </cfRule>
    <cfRule type="cellIs" dxfId="466" priority="115" stopIfTrue="1" operator="between">
      <formula>0</formula>
      <formula>0.6999</formula>
    </cfRule>
  </conditionalFormatting>
  <conditionalFormatting sqref="Q31">
    <cfRule type="cellIs" dxfId="465" priority="109" stopIfTrue="1" operator="between">
      <formula>0.9</formula>
      <formula>1.05</formula>
    </cfRule>
    <cfRule type="cellIs" dxfId="464" priority="110" stopIfTrue="1" operator="between">
      <formula>0.7</formula>
      <formula>0.8999</formula>
    </cfRule>
    <cfRule type="cellIs" dxfId="463" priority="111" stopIfTrue="1" operator="between">
      <formula>0</formula>
      <formula>0.6999</formula>
    </cfRule>
    <cfRule type="cellIs" dxfId="462" priority="112" stopIfTrue="1" operator="greaterThan">
      <formula>1.05</formula>
    </cfRule>
  </conditionalFormatting>
  <conditionalFormatting sqref="T31">
    <cfRule type="cellIs" dxfId="461" priority="105" stopIfTrue="1" operator="between">
      <formula>0.9</formula>
      <formula>1.05</formula>
    </cfRule>
    <cfRule type="cellIs" dxfId="460" priority="106" stopIfTrue="1" operator="between">
      <formula>0.7</formula>
      <formula>0.899</formula>
    </cfRule>
    <cfRule type="cellIs" dxfId="459" priority="107" stopIfTrue="1" operator="between">
      <formula>0</formula>
      <formula>0.6999</formula>
    </cfRule>
    <cfRule type="cellIs" dxfId="458" priority="108" stopIfTrue="1" operator="greaterThan">
      <formula>1.05</formula>
    </cfRule>
  </conditionalFormatting>
  <conditionalFormatting sqref="K32">
    <cfRule type="cellIs" dxfId="457" priority="102" stopIfTrue="1" operator="between">
      <formula>0.9</formula>
      <formula>1.05</formula>
    </cfRule>
    <cfRule type="cellIs" dxfId="456" priority="103" stopIfTrue="1" operator="between">
      <formula>0.7</formula>
      <formula>0.8999</formula>
    </cfRule>
    <cfRule type="cellIs" dxfId="455" priority="104" stopIfTrue="1" operator="between">
      <formula>0</formula>
      <formula>0.6999</formula>
    </cfRule>
  </conditionalFormatting>
  <conditionalFormatting sqref="K32">
    <cfRule type="cellIs" dxfId="454" priority="98" stopIfTrue="1" operator="between">
      <formula>0.9</formula>
      <formula>1.05</formula>
    </cfRule>
    <cfRule type="cellIs" dxfId="453" priority="99" stopIfTrue="1" operator="between">
      <formula>0.7</formula>
      <formula>0.8999</formula>
    </cfRule>
    <cfRule type="cellIs" dxfId="452" priority="100" stopIfTrue="1" operator="between">
      <formula>0</formula>
      <formula>0.6999</formula>
    </cfRule>
    <cfRule type="cellIs" dxfId="451" priority="101" stopIfTrue="1" operator="greaterThan">
      <formula>1.05</formula>
    </cfRule>
  </conditionalFormatting>
  <conditionalFormatting sqref="N32">
    <cfRule type="cellIs" dxfId="450" priority="94" stopIfTrue="1" operator="between">
      <formula>0.9</formula>
      <formula>1.05</formula>
    </cfRule>
    <cfRule type="cellIs" dxfId="449" priority="95" stopIfTrue="1" operator="between">
      <formula>0.7</formula>
      <formula>0.899</formula>
    </cfRule>
    <cfRule type="cellIs" dxfId="448" priority="96" stopIfTrue="1" operator="between">
      <formula>0</formula>
      <formula>0.6999</formula>
    </cfRule>
    <cfRule type="cellIs" dxfId="447" priority="97" stopIfTrue="1" operator="greaterThan">
      <formula>1.05</formula>
    </cfRule>
  </conditionalFormatting>
  <conditionalFormatting sqref="Q32">
    <cfRule type="cellIs" dxfId="446" priority="91" stopIfTrue="1" operator="between">
      <formula>0.9</formula>
      <formula>1.05</formula>
    </cfRule>
    <cfRule type="cellIs" dxfId="445" priority="92" stopIfTrue="1" operator="between">
      <formula>0.7</formula>
      <formula>0.8999</formula>
    </cfRule>
    <cfRule type="cellIs" dxfId="444" priority="93" stopIfTrue="1" operator="between">
      <formula>0</formula>
      <formula>0.6999</formula>
    </cfRule>
  </conditionalFormatting>
  <conditionalFormatting sqref="Q32">
    <cfRule type="cellIs" dxfId="443" priority="87" stopIfTrue="1" operator="between">
      <formula>0.9</formula>
      <formula>1.05</formula>
    </cfRule>
    <cfRule type="cellIs" dxfId="442" priority="88" stopIfTrue="1" operator="between">
      <formula>0.7</formula>
      <formula>0.8999</formula>
    </cfRule>
    <cfRule type="cellIs" dxfId="441" priority="89" stopIfTrue="1" operator="between">
      <formula>0</formula>
      <formula>0.6999</formula>
    </cfRule>
    <cfRule type="cellIs" dxfId="440" priority="90" stopIfTrue="1" operator="greaterThan">
      <formula>1.05</formula>
    </cfRule>
  </conditionalFormatting>
  <conditionalFormatting sqref="T32">
    <cfRule type="cellIs" dxfId="439" priority="83" stopIfTrue="1" operator="between">
      <formula>0.9</formula>
      <formula>1.05</formula>
    </cfRule>
    <cfRule type="cellIs" dxfId="438" priority="84" stopIfTrue="1" operator="between">
      <formula>0.7</formula>
      <formula>0.899</formula>
    </cfRule>
    <cfRule type="cellIs" dxfId="437" priority="85" stopIfTrue="1" operator="between">
      <formula>0</formula>
      <formula>0.6999</formula>
    </cfRule>
    <cfRule type="cellIs" dxfId="436" priority="86" stopIfTrue="1" operator="greaterThan">
      <formula>1.05</formula>
    </cfRule>
  </conditionalFormatting>
  <conditionalFormatting sqref="W32">
    <cfRule type="cellIs" dxfId="435" priority="80" stopIfTrue="1" operator="between">
      <formula>0.9</formula>
      <formula>1</formula>
    </cfRule>
    <cfRule type="cellIs" dxfId="434" priority="81" stopIfTrue="1" operator="between">
      <formula>0.7</formula>
      <formula>0.8999</formula>
    </cfRule>
    <cfRule type="cellIs" dxfId="433" priority="82" stopIfTrue="1" operator="between">
      <formula>0</formula>
      <formula>0.6999</formula>
    </cfRule>
  </conditionalFormatting>
  <conditionalFormatting sqref="K40">
    <cfRule type="cellIs" dxfId="432" priority="77" stopIfTrue="1" operator="between">
      <formula>0.9</formula>
      <formula>1.05</formula>
    </cfRule>
    <cfRule type="cellIs" dxfId="431" priority="78" stopIfTrue="1" operator="between">
      <formula>0.7</formula>
      <formula>0.8999</formula>
    </cfRule>
    <cfRule type="cellIs" dxfId="430" priority="79" stopIfTrue="1" operator="between">
      <formula>0</formula>
      <formula>0.6999</formula>
    </cfRule>
  </conditionalFormatting>
  <conditionalFormatting sqref="K40">
    <cfRule type="cellIs" dxfId="429" priority="73" stopIfTrue="1" operator="between">
      <formula>0.9</formula>
      <formula>1.05</formula>
    </cfRule>
    <cfRule type="cellIs" dxfId="428" priority="74" stopIfTrue="1" operator="between">
      <formula>0.7</formula>
      <formula>0.8999</formula>
    </cfRule>
    <cfRule type="cellIs" dxfId="427" priority="75" stopIfTrue="1" operator="between">
      <formula>0</formula>
      <formula>0.6999</formula>
    </cfRule>
    <cfRule type="cellIs" dxfId="426" priority="76" stopIfTrue="1" operator="greaterThan">
      <formula>1.05</formula>
    </cfRule>
  </conditionalFormatting>
  <conditionalFormatting sqref="N40">
    <cfRule type="cellIs" dxfId="425" priority="69" stopIfTrue="1" operator="between">
      <formula>0.9</formula>
      <formula>1.05</formula>
    </cfRule>
    <cfRule type="cellIs" dxfId="424" priority="70" stopIfTrue="1" operator="between">
      <formula>0.7</formula>
      <formula>0.899</formula>
    </cfRule>
    <cfRule type="cellIs" dxfId="423" priority="71" stopIfTrue="1" operator="between">
      <formula>0</formula>
      <formula>0.6999</formula>
    </cfRule>
    <cfRule type="cellIs" dxfId="422" priority="72" stopIfTrue="1" operator="greaterThan">
      <formula>1.05</formula>
    </cfRule>
  </conditionalFormatting>
  <conditionalFormatting sqref="W40">
    <cfRule type="cellIs" dxfId="421" priority="66" stopIfTrue="1" operator="between">
      <formula>0.9</formula>
      <formula>1</formula>
    </cfRule>
    <cfRule type="cellIs" dxfId="420" priority="67" stopIfTrue="1" operator="between">
      <formula>0.7</formula>
      <formula>0.8999</formula>
    </cfRule>
    <cfRule type="cellIs" dxfId="419" priority="68" stopIfTrue="1" operator="between">
      <formula>0</formula>
      <formula>0.6999</formula>
    </cfRule>
  </conditionalFormatting>
  <conditionalFormatting sqref="Q40">
    <cfRule type="cellIs" dxfId="418" priority="63" stopIfTrue="1" operator="between">
      <formula>0.9</formula>
      <formula>1.05</formula>
    </cfRule>
    <cfRule type="cellIs" dxfId="417" priority="64" stopIfTrue="1" operator="between">
      <formula>0.7</formula>
      <formula>0.8999</formula>
    </cfRule>
    <cfRule type="cellIs" dxfId="416" priority="65" stopIfTrue="1" operator="between">
      <formula>0</formula>
      <formula>0.6999</formula>
    </cfRule>
  </conditionalFormatting>
  <conditionalFormatting sqref="Q40">
    <cfRule type="cellIs" dxfId="415" priority="59" stopIfTrue="1" operator="between">
      <formula>0.9</formula>
      <formula>1.05</formula>
    </cfRule>
    <cfRule type="cellIs" dxfId="414" priority="60" stopIfTrue="1" operator="between">
      <formula>0.7</formula>
      <formula>0.8999</formula>
    </cfRule>
    <cfRule type="cellIs" dxfId="413" priority="61" stopIfTrue="1" operator="between">
      <formula>0</formula>
      <formula>0.6999</formula>
    </cfRule>
    <cfRule type="cellIs" dxfId="412" priority="62" stopIfTrue="1" operator="greaterThan">
      <formula>1.05</formula>
    </cfRule>
  </conditionalFormatting>
  <conditionalFormatting sqref="T40">
    <cfRule type="cellIs" dxfId="411" priority="55" stopIfTrue="1" operator="between">
      <formula>0.9</formula>
      <formula>1.05</formula>
    </cfRule>
    <cfRule type="cellIs" dxfId="410" priority="56" stopIfTrue="1" operator="between">
      <formula>0.7</formula>
      <formula>0.899</formula>
    </cfRule>
    <cfRule type="cellIs" dxfId="409" priority="57" stopIfTrue="1" operator="between">
      <formula>0</formula>
      <formula>0.6999</formula>
    </cfRule>
    <cfRule type="cellIs" dxfId="408" priority="58" stopIfTrue="1" operator="greaterThan">
      <formula>1.05</formula>
    </cfRule>
  </conditionalFormatting>
  <conditionalFormatting sqref="K52">
    <cfRule type="cellIs" dxfId="407" priority="52" stopIfTrue="1" operator="between">
      <formula>0.9</formula>
      <formula>1.05</formula>
    </cfRule>
    <cfRule type="cellIs" dxfId="406" priority="53" stopIfTrue="1" operator="between">
      <formula>0.7</formula>
      <formula>0.8999</formula>
    </cfRule>
    <cfRule type="cellIs" dxfId="405" priority="54" stopIfTrue="1" operator="between">
      <formula>0</formula>
      <formula>0.6999</formula>
    </cfRule>
  </conditionalFormatting>
  <conditionalFormatting sqref="K52">
    <cfRule type="cellIs" dxfId="404" priority="48" stopIfTrue="1" operator="between">
      <formula>0.9</formula>
      <formula>1.05</formula>
    </cfRule>
    <cfRule type="cellIs" dxfId="403" priority="49" stopIfTrue="1" operator="between">
      <formula>0.7</formula>
      <formula>0.8999</formula>
    </cfRule>
    <cfRule type="cellIs" dxfId="402" priority="50" stopIfTrue="1" operator="between">
      <formula>0</formula>
      <formula>0.6999</formula>
    </cfRule>
    <cfRule type="cellIs" dxfId="401" priority="51" stopIfTrue="1" operator="greaterThan">
      <formula>1.05</formula>
    </cfRule>
  </conditionalFormatting>
  <conditionalFormatting sqref="N52">
    <cfRule type="cellIs" dxfId="400" priority="44" stopIfTrue="1" operator="between">
      <formula>0.9</formula>
      <formula>1.05</formula>
    </cfRule>
    <cfRule type="cellIs" dxfId="399" priority="45" stopIfTrue="1" operator="between">
      <formula>0.7</formula>
      <formula>0.899</formula>
    </cfRule>
    <cfRule type="cellIs" dxfId="398" priority="46" stopIfTrue="1" operator="between">
      <formula>0</formula>
      <formula>0.6999</formula>
    </cfRule>
    <cfRule type="cellIs" dxfId="397" priority="47" stopIfTrue="1" operator="greaterThan">
      <formula>1.05</formula>
    </cfRule>
  </conditionalFormatting>
  <conditionalFormatting sqref="Q52">
    <cfRule type="cellIs" dxfId="396" priority="41" stopIfTrue="1" operator="between">
      <formula>0.9</formula>
      <formula>1.05</formula>
    </cfRule>
    <cfRule type="cellIs" dxfId="395" priority="42" stopIfTrue="1" operator="between">
      <formula>0.7</formula>
      <formula>0.8999</formula>
    </cfRule>
    <cfRule type="cellIs" dxfId="394" priority="43" stopIfTrue="1" operator="between">
      <formula>0</formula>
      <formula>0.6999</formula>
    </cfRule>
  </conditionalFormatting>
  <conditionalFormatting sqref="Q52">
    <cfRule type="cellIs" dxfId="393" priority="37" stopIfTrue="1" operator="between">
      <formula>0.9</formula>
      <formula>1.05</formula>
    </cfRule>
    <cfRule type="cellIs" dxfId="392" priority="38" stopIfTrue="1" operator="between">
      <formula>0.7</formula>
      <formula>0.8999</formula>
    </cfRule>
    <cfRule type="cellIs" dxfId="391" priority="39" stopIfTrue="1" operator="between">
      <formula>0</formula>
      <formula>0.6999</formula>
    </cfRule>
    <cfRule type="cellIs" dxfId="390" priority="40" stopIfTrue="1" operator="greaterThan">
      <formula>1.05</formula>
    </cfRule>
  </conditionalFormatting>
  <conditionalFormatting sqref="T52">
    <cfRule type="cellIs" dxfId="389" priority="33" stopIfTrue="1" operator="between">
      <formula>0.9</formula>
      <formula>1.05</formula>
    </cfRule>
    <cfRule type="cellIs" dxfId="388" priority="34" stopIfTrue="1" operator="between">
      <formula>0.7</formula>
      <formula>0.899</formula>
    </cfRule>
    <cfRule type="cellIs" dxfId="387" priority="35" stopIfTrue="1" operator="between">
      <formula>0</formula>
      <formula>0.6999</formula>
    </cfRule>
    <cfRule type="cellIs" dxfId="386" priority="36" stopIfTrue="1" operator="greaterThan">
      <formula>1.05</formula>
    </cfRule>
  </conditionalFormatting>
  <conditionalFormatting sqref="K13:K19">
    <cfRule type="cellIs" dxfId="385" priority="30" stopIfTrue="1" operator="between">
      <formula>0.9</formula>
      <formula>1.05</formula>
    </cfRule>
    <cfRule type="cellIs" dxfId="384" priority="31" stopIfTrue="1" operator="between">
      <formula>0.7</formula>
      <formula>0.8999</formula>
    </cfRule>
    <cfRule type="cellIs" dxfId="383" priority="32" stopIfTrue="1" operator="between">
      <formula>0</formula>
      <formula>0.6999</formula>
    </cfRule>
  </conditionalFormatting>
  <conditionalFormatting sqref="K12:K19">
    <cfRule type="cellIs" dxfId="382" priority="26" stopIfTrue="1" operator="between">
      <formula>0.9</formula>
      <formula>1.05</formula>
    </cfRule>
    <cfRule type="cellIs" dxfId="381" priority="27" stopIfTrue="1" operator="between">
      <formula>0.7</formula>
      <formula>0.8999</formula>
    </cfRule>
    <cfRule type="cellIs" dxfId="380" priority="28" stopIfTrue="1" operator="between">
      <formula>0</formula>
      <formula>0.6999</formula>
    </cfRule>
    <cfRule type="cellIs" dxfId="379" priority="29" stopIfTrue="1" operator="greaterThan">
      <formula>1.05</formula>
    </cfRule>
  </conditionalFormatting>
  <conditionalFormatting sqref="N12:N19">
    <cfRule type="cellIs" dxfId="378" priority="22" stopIfTrue="1" operator="between">
      <formula>0.9</formula>
      <formula>1.05</formula>
    </cfRule>
    <cfRule type="cellIs" dxfId="377" priority="23" stopIfTrue="1" operator="between">
      <formula>0.7</formula>
      <formula>0.899</formula>
    </cfRule>
    <cfRule type="cellIs" dxfId="376" priority="24" stopIfTrue="1" operator="between">
      <formula>0</formula>
      <formula>0.6999</formula>
    </cfRule>
    <cfRule type="cellIs" dxfId="375" priority="25" stopIfTrue="1" operator="greaterThan">
      <formula>1.05</formula>
    </cfRule>
  </conditionalFormatting>
  <conditionalFormatting sqref="W12:W19">
    <cfRule type="cellIs" dxfId="374" priority="19" stopIfTrue="1" operator="between">
      <formula>0.9</formula>
      <formula>1</formula>
    </cfRule>
    <cfRule type="cellIs" dxfId="373" priority="20" stopIfTrue="1" operator="between">
      <formula>0.7</formula>
      <formula>0.8999</formula>
    </cfRule>
    <cfRule type="cellIs" dxfId="372" priority="21" stopIfTrue="1" operator="between">
      <formula>0</formula>
      <formula>0.6999</formula>
    </cfRule>
  </conditionalFormatting>
  <conditionalFormatting sqref="Q13:Q14">
    <cfRule type="cellIs" dxfId="371" priority="16" stopIfTrue="1" operator="between">
      <formula>0.9</formula>
      <formula>1.05</formula>
    </cfRule>
    <cfRule type="cellIs" dxfId="370" priority="17" stopIfTrue="1" operator="between">
      <formula>0.7</formula>
      <formula>0.8999</formula>
    </cfRule>
    <cfRule type="cellIs" dxfId="369" priority="18" stopIfTrue="1" operator="between">
      <formula>0</formula>
      <formula>0.6999</formula>
    </cfRule>
  </conditionalFormatting>
  <conditionalFormatting sqref="Q12:Q14">
    <cfRule type="cellIs" dxfId="368" priority="12" stopIfTrue="1" operator="between">
      <formula>0.9</formula>
      <formula>1.05</formula>
    </cfRule>
    <cfRule type="cellIs" dxfId="367" priority="13" stopIfTrue="1" operator="between">
      <formula>0.7</formula>
      <formula>0.8999</formula>
    </cfRule>
    <cfRule type="cellIs" dxfId="366" priority="14" stopIfTrue="1" operator="between">
      <formula>0</formula>
      <formula>0.6999</formula>
    </cfRule>
    <cfRule type="cellIs" dxfId="365" priority="15" stopIfTrue="1" operator="greaterThan">
      <formula>1.05</formula>
    </cfRule>
  </conditionalFormatting>
  <conditionalFormatting sqref="Q16:Q19">
    <cfRule type="cellIs" dxfId="364" priority="9" stopIfTrue="1" operator="between">
      <formula>0.9</formula>
      <formula>1.05</formula>
    </cfRule>
    <cfRule type="cellIs" dxfId="363" priority="10" stopIfTrue="1" operator="between">
      <formula>0.7</formula>
      <formula>0.8999</formula>
    </cfRule>
    <cfRule type="cellIs" dxfId="362" priority="11" stopIfTrue="1" operator="between">
      <formula>0</formula>
      <formula>0.6999</formula>
    </cfRule>
  </conditionalFormatting>
  <conditionalFormatting sqref="Q16:Q19">
    <cfRule type="cellIs" dxfId="361" priority="5" stopIfTrue="1" operator="between">
      <formula>0.9</formula>
      <formula>1.05</formula>
    </cfRule>
    <cfRule type="cellIs" dxfId="360" priority="6" stopIfTrue="1" operator="between">
      <formula>0.7</formula>
      <formula>0.8999</formula>
    </cfRule>
    <cfRule type="cellIs" dxfId="359" priority="7" stopIfTrue="1" operator="between">
      <formula>0</formula>
      <formula>0.6999</formula>
    </cfRule>
    <cfRule type="cellIs" dxfId="358" priority="8" stopIfTrue="1" operator="greaterThan">
      <formula>1.05</formula>
    </cfRule>
  </conditionalFormatting>
  <conditionalFormatting sqref="T12:T19">
    <cfRule type="cellIs" dxfId="357" priority="1" stopIfTrue="1" operator="between">
      <formula>0.9</formula>
      <formula>1.05</formula>
    </cfRule>
    <cfRule type="cellIs" dxfId="356" priority="2" stopIfTrue="1" operator="between">
      <formula>0.7</formula>
      <formula>0.899</formula>
    </cfRule>
    <cfRule type="cellIs" dxfId="355" priority="3" stopIfTrue="1" operator="between">
      <formula>0</formula>
      <formula>0.6999</formula>
    </cfRule>
    <cfRule type="cellIs" dxfId="354" priority="4" stopIfTrue="1" operator="greaterThan">
      <formula>1.05</formula>
    </cfRule>
  </conditionalFormatting>
  <pageMargins left="0.78749999999999998" right="0.59027777777777779" top="1.0527777777777778" bottom="1.0527777777777778" header="0.78749999999999998" footer="0.78749999999999998"/>
  <pageSetup scale="43" orientation="landscape" useFirstPageNumber="1" horizontalDpi="300" verticalDpi="300"/>
  <headerFooter alignWithMargins="0">
    <oddHeader>&amp;C&amp;"Times New Roman,Normal"&amp;12&amp;A</oddHeader>
    <oddFooter>&amp;C&amp;"Times New Roman,Normal"&amp;12Página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62"/>
  <sheetViews>
    <sheetView topLeftCell="D56" zoomScale="85" zoomScaleNormal="85" workbookViewId="0">
      <selection activeCell="F59" sqref="F59:F61"/>
    </sheetView>
  </sheetViews>
  <sheetFormatPr baseColWidth="10" defaultRowHeight="30.75" customHeight="1" outlineLevelRow="1"/>
  <cols>
    <col min="1" max="1" width="17.85546875" style="514" customWidth="1"/>
    <col min="2" max="2" width="12" style="514" customWidth="1"/>
    <col min="3" max="3" width="13.7109375" style="514" customWidth="1"/>
    <col min="4" max="4" width="15.5703125" style="514" customWidth="1"/>
    <col min="5" max="5" width="47.5703125" style="514" customWidth="1"/>
    <col min="6" max="23" width="10.28515625" style="514" customWidth="1"/>
    <col min="24" max="24" width="11.5703125" style="514" customWidth="1"/>
    <col min="25" max="25" width="31.5703125" style="514" customWidth="1"/>
    <col min="26" max="26" width="16.140625" style="514" customWidth="1"/>
    <col min="27" max="27" width="17" style="514" customWidth="1"/>
    <col min="28" max="28" width="10.28515625" style="514" customWidth="1"/>
    <col min="29" max="29" width="14.5703125" style="514" customWidth="1"/>
    <col min="30" max="30" width="13.85546875" style="514" customWidth="1"/>
    <col min="31" max="32" width="10.28515625" style="514" customWidth="1"/>
    <col min="33" max="33" width="57.42578125" style="514" customWidth="1"/>
    <col min="34" max="34" width="18.42578125" style="514" customWidth="1"/>
    <col min="35" max="36" width="10.28515625" style="514" customWidth="1"/>
    <col min="37" max="37" width="73.42578125" style="514" customWidth="1"/>
    <col min="38" max="38" width="22.7109375" style="514" customWidth="1"/>
    <col min="39" max="39" width="13.28515625" style="514" customWidth="1"/>
    <col min="40" max="40" width="10.28515625" style="514" customWidth="1"/>
    <col min="41" max="41" width="55" style="514" customWidth="1"/>
    <col min="42" max="42" width="24.7109375" style="514" customWidth="1"/>
    <col min="43" max="44" width="10.28515625" style="514" customWidth="1"/>
    <col min="45" max="45" width="68.5703125" style="514" customWidth="1"/>
    <col min="46" max="46" width="36.42578125" style="514" customWidth="1"/>
    <col min="47" max="47" width="10.28515625" style="514" customWidth="1"/>
    <col min="48" max="48" width="13.5703125" style="514" customWidth="1"/>
    <col min="49" max="16384" width="11.42578125" style="514"/>
  </cols>
  <sheetData>
    <row r="1" spans="1:46" ht="30.75" customHeight="1">
      <c r="A1" s="1592"/>
      <c r="B1" s="1592"/>
      <c r="C1" s="1592"/>
      <c r="D1" s="1592"/>
      <c r="E1" s="1592"/>
      <c r="F1" s="1593" t="s">
        <v>1262</v>
      </c>
      <c r="G1" s="1593"/>
      <c r="H1" s="1593"/>
      <c r="I1" s="1593"/>
      <c r="J1" s="1593"/>
      <c r="K1" s="1593"/>
      <c r="L1" s="1593"/>
      <c r="M1" s="1593"/>
      <c r="N1" s="1593"/>
      <c r="O1" s="1593"/>
      <c r="P1" s="1593"/>
      <c r="Q1" s="1593"/>
      <c r="R1" s="1593"/>
      <c r="S1" s="1593"/>
      <c r="T1" s="1593"/>
      <c r="U1" s="1593"/>
      <c r="V1" s="1593"/>
      <c r="W1" s="1593"/>
      <c r="X1" s="1593"/>
      <c r="Y1" s="1593"/>
      <c r="Z1" s="1593"/>
      <c r="AA1" s="1593"/>
      <c r="AB1" s="1593"/>
      <c r="AC1" s="809"/>
      <c r="AD1" s="809"/>
    </row>
    <row r="2" spans="1:46" ht="30.75" customHeight="1">
      <c r="A2" s="1592"/>
      <c r="B2" s="1592"/>
      <c r="C2" s="1592"/>
      <c r="D2" s="1592"/>
      <c r="E2" s="1592"/>
      <c r="F2" s="1593" t="s">
        <v>1261</v>
      </c>
      <c r="G2" s="1593"/>
      <c r="H2" s="1593"/>
      <c r="I2" s="1593"/>
      <c r="J2" s="1593"/>
      <c r="K2" s="1593"/>
      <c r="L2" s="1593"/>
      <c r="M2" s="1593"/>
      <c r="N2" s="1593"/>
      <c r="O2" s="1593"/>
      <c r="P2" s="1593"/>
      <c r="Q2" s="1593"/>
      <c r="R2" s="1593"/>
      <c r="S2" s="1593"/>
      <c r="T2" s="1593"/>
      <c r="U2" s="1593"/>
      <c r="V2" s="1593"/>
      <c r="W2" s="1593"/>
      <c r="X2" s="1593"/>
      <c r="Y2" s="1593"/>
      <c r="Z2" s="1593"/>
      <c r="AA2" s="1593"/>
      <c r="AB2" s="1593"/>
      <c r="AC2" s="809"/>
      <c r="AD2" s="809"/>
    </row>
    <row r="3" spans="1:46" ht="30.75" customHeight="1">
      <c r="A3" s="1592"/>
      <c r="B3" s="1592"/>
      <c r="C3" s="1592"/>
      <c r="D3" s="1592"/>
      <c r="E3" s="1592"/>
      <c r="F3" s="1594" t="s">
        <v>1637</v>
      </c>
      <c r="G3" s="1594"/>
      <c r="H3" s="1594"/>
      <c r="I3" s="1594"/>
      <c r="J3" s="1594"/>
      <c r="K3" s="1594"/>
      <c r="L3" s="1594"/>
      <c r="M3" s="1594"/>
      <c r="N3" s="1594"/>
      <c r="O3" s="1594"/>
      <c r="P3" s="1594"/>
      <c r="Q3" s="1594"/>
      <c r="R3" s="1594"/>
      <c r="S3" s="1594"/>
      <c r="T3" s="1594"/>
      <c r="U3" s="1594"/>
      <c r="V3" s="1594"/>
      <c r="W3" s="1594"/>
      <c r="X3" s="1594"/>
      <c r="Y3" s="1594"/>
      <c r="Z3" s="1594"/>
      <c r="AA3" s="1594"/>
      <c r="AB3" s="1594"/>
      <c r="AC3" s="810"/>
      <c r="AD3" s="810"/>
    </row>
    <row r="4" spans="1:46" ht="30.75" customHeight="1">
      <c r="A4" s="1587" t="s">
        <v>1260</v>
      </c>
      <c r="B4" s="1587"/>
      <c r="C4" s="1587"/>
      <c r="D4" s="1587"/>
      <c r="E4" s="1587"/>
      <c r="F4" s="1595" t="s">
        <v>1264</v>
      </c>
      <c r="G4" s="1595"/>
      <c r="H4" s="1595"/>
      <c r="I4" s="1595"/>
      <c r="J4" s="1595"/>
      <c r="K4" s="1595"/>
      <c r="L4" s="1595"/>
      <c r="M4" s="1595"/>
      <c r="N4" s="1595"/>
      <c r="O4" s="1595"/>
      <c r="P4" s="1595"/>
      <c r="Q4" s="1595"/>
      <c r="R4" s="1595"/>
      <c r="S4" s="1595"/>
      <c r="T4" s="1595"/>
      <c r="U4" s="1595"/>
      <c r="V4" s="1595"/>
      <c r="W4" s="1595"/>
      <c r="X4" s="1595"/>
      <c r="Y4" s="1595"/>
      <c r="Z4" s="1595"/>
      <c r="AA4" s="1595"/>
      <c r="AB4" s="1595"/>
      <c r="AC4" s="811"/>
      <c r="AD4" s="811"/>
    </row>
    <row r="5" spans="1:46" ht="30.75" customHeight="1">
      <c r="A5" s="1587" t="s">
        <v>598</v>
      </c>
      <c r="B5" s="1587"/>
      <c r="C5" s="1587"/>
      <c r="D5" s="1587"/>
      <c r="E5" s="1587"/>
      <c r="F5" s="1588" t="s">
        <v>1638</v>
      </c>
      <c r="G5" s="1588"/>
      <c r="H5" s="1588"/>
      <c r="I5" s="1588"/>
      <c r="J5" s="1588"/>
      <c r="K5" s="1588"/>
      <c r="L5" s="1588"/>
      <c r="M5" s="1588"/>
      <c r="N5" s="1588"/>
      <c r="O5" s="1588"/>
      <c r="P5" s="1588"/>
      <c r="Q5" s="1588"/>
      <c r="R5" s="1588"/>
      <c r="S5" s="1588"/>
      <c r="T5" s="1588"/>
      <c r="U5" s="1588"/>
      <c r="V5" s="1588"/>
      <c r="W5" s="1588"/>
      <c r="X5" s="1588"/>
      <c r="Y5" s="1588"/>
      <c r="Z5" s="1588"/>
      <c r="AA5" s="1588"/>
      <c r="AB5" s="1588"/>
      <c r="AC5" s="812"/>
      <c r="AD5" s="812"/>
    </row>
    <row r="6" spans="1:46" ht="30.75" customHeight="1">
      <c r="A6" s="1589" t="s">
        <v>1639</v>
      </c>
      <c r="B6" s="1589"/>
      <c r="C6" s="1589"/>
      <c r="D6" s="1589"/>
      <c r="E6" s="1589"/>
      <c r="F6" s="1590">
        <v>41668</v>
      </c>
      <c r="G6" s="1590"/>
      <c r="H6" s="1590"/>
      <c r="I6" s="1590"/>
      <c r="J6" s="1590"/>
      <c r="K6" s="1590"/>
      <c r="L6" s="1590"/>
      <c r="M6" s="1590"/>
      <c r="N6" s="1590"/>
      <c r="O6" s="1590"/>
      <c r="P6" s="1590"/>
      <c r="Q6" s="1590"/>
      <c r="R6" s="1590"/>
      <c r="S6" s="1590"/>
      <c r="T6" s="1590"/>
      <c r="U6" s="1590"/>
      <c r="V6" s="1590"/>
      <c r="W6" s="1590"/>
      <c r="X6" s="1590"/>
      <c r="Y6" s="1590"/>
      <c r="Z6" s="1590"/>
      <c r="AA6" s="1590"/>
      <c r="AB6" s="1590"/>
      <c r="AC6" s="812"/>
      <c r="AD6" s="812"/>
    </row>
    <row r="7" spans="1:46" ht="30.75" customHeight="1" thickBot="1">
      <c r="A7" s="1587" t="s">
        <v>1257</v>
      </c>
      <c r="B7" s="1587"/>
      <c r="C7" s="1587"/>
      <c r="D7" s="1587"/>
      <c r="E7" s="1587"/>
      <c r="F7" s="1591" t="s">
        <v>1640</v>
      </c>
      <c r="G7" s="1591"/>
      <c r="H7" s="1591"/>
      <c r="I7" s="1591"/>
      <c r="J7" s="1591"/>
      <c r="K7" s="1591"/>
      <c r="L7" s="1591"/>
      <c r="M7" s="1591"/>
      <c r="N7" s="1591"/>
      <c r="O7" s="1591"/>
      <c r="P7" s="1591"/>
      <c r="Q7" s="1591"/>
      <c r="R7" s="1591"/>
      <c r="S7" s="1591"/>
      <c r="T7" s="1591"/>
      <c r="U7" s="1591"/>
      <c r="V7" s="1591"/>
      <c r="W7" s="1591"/>
      <c r="X7" s="1591"/>
      <c r="Y7" s="1591"/>
      <c r="Z7" s="1591"/>
      <c r="AA7" s="1591"/>
      <c r="AB7" s="1591"/>
      <c r="AC7" s="813"/>
      <c r="AD7" s="813"/>
    </row>
    <row r="8" spans="1:46" ht="30.75" customHeight="1" thickBot="1">
      <c r="A8" s="1578" t="s">
        <v>1255</v>
      </c>
      <c r="B8" s="1578" t="s">
        <v>1641</v>
      </c>
      <c r="C8" s="1578" t="s">
        <v>256</v>
      </c>
      <c r="D8" s="1578" t="s">
        <v>1279</v>
      </c>
      <c r="E8" s="1578" t="s">
        <v>1253</v>
      </c>
      <c r="F8" s="1586" t="s">
        <v>1252</v>
      </c>
      <c r="G8" s="1578" t="s">
        <v>1251</v>
      </c>
      <c r="H8" s="1578" t="s">
        <v>1250</v>
      </c>
      <c r="I8" s="1578" t="s">
        <v>1249</v>
      </c>
      <c r="J8" s="1578"/>
      <c r="K8" s="1578"/>
      <c r="L8" s="1578"/>
      <c r="M8" s="1578"/>
      <c r="N8" s="1578"/>
      <c r="O8" s="1578"/>
      <c r="P8" s="1578"/>
      <c r="Q8" s="1578"/>
      <c r="R8" s="1578"/>
      <c r="S8" s="1578"/>
      <c r="T8" s="1578"/>
      <c r="U8" s="1578"/>
      <c r="V8" s="1578"/>
      <c r="W8" s="1578"/>
      <c r="X8" s="1578"/>
      <c r="Y8" s="1578" t="s">
        <v>544</v>
      </c>
      <c r="Z8" s="1578"/>
      <c r="AA8" s="1578"/>
      <c r="AB8" s="1578"/>
      <c r="AC8" s="1578"/>
      <c r="AD8" s="1578"/>
      <c r="AE8" s="814"/>
      <c r="AF8" s="814"/>
      <c r="AG8" s="814"/>
      <c r="AH8" s="814"/>
      <c r="AI8" s="814"/>
      <c r="AJ8" s="814"/>
      <c r="AK8" s="814"/>
      <c r="AL8" s="814"/>
      <c r="AM8" s="814"/>
      <c r="AN8" s="814"/>
      <c r="AO8" s="814"/>
      <c r="AP8" s="814"/>
      <c r="AQ8" s="814"/>
      <c r="AR8" s="814"/>
      <c r="AS8" s="814"/>
      <c r="AT8" s="814"/>
    </row>
    <row r="9" spans="1:46" ht="52.7" customHeight="1" thickBot="1">
      <c r="A9" s="1578"/>
      <c r="B9" s="1578"/>
      <c r="C9" s="1578"/>
      <c r="D9" s="1578"/>
      <c r="E9" s="1578"/>
      <c r="F9" s="1586"/>
      <c r="G9" s="1578"/>
      <c r="H9" s="1578"/>
      <c r="I9" s="1578" t="s">
        <v>1267</v>
      </c>
      <c r="J9" s="1578"/>
      <c r="K9" s="1578"/>
      <c r="L9" s="1578" t="s">
        <v>1268</v>
      </c>
      <c r="M9" s="1578"/>
      <c r="N9" s="1578"/>
      <c r="O9" s="1578" t="s">
        <v>1269</v>
      </c>
      <c r="P9" s="1578"/>
      <c r="Q9" s="1578"/>
      <c r="R9" s="1578" t="s">
        <v>1270</v>
      </c>
      <c r="S9" s="1578"/>
      <c r="T9" s="1578"/>
      <c r="U9" s="1578" t="s">
        <v>1238</v>
      </c>
      <c r="V9" s="1578"/>
      <c r="W9" s="1578"/>
      <c r="X9" s="815" t="s">
        <v>1642</v>
      </c>
      <c r="Y9" s="1578" t="s">
        <v>1237</v>
      </c>
      <c r="Z9" s="1578" t="s">
        <v>1236</v>
      </c>
      <c r="AA9" s="1578"/>
      <c r="AB9" s="1584" t="s">
        <v>1235</v>
      </c>
      <c r="AC9" s="1585" t="s">
        <v>1643</v>
      </c>
      <c r="AD9" s="1585" t="s">
        <v>1644</v>
      </c>
      <c r="AE9" s="814"/>
      <c r="AF9" s="814"/>
      <c r="AG9" s="814"/>
      <c r="AH9" s="814"/>
      <c r="AI9" s="814"/>
      <c r="AJ9" s="814"/>
      <c r="AK9" s="814"/>
      <c r="AL9" s="814"/>
      <c r="AM9" s="814"/>
      <c r="AN9" s="814"/>
      <c r="AO9" s="814"/>
      <c r="AP9" s="814"/>
      <c r="AQ9" s="814"/>
      <c r="AR9" s="814"/>
      <c r="AS9" s="814"/>
      <c r="AT9" s="814"/>
    </row>
    <row r="10" spans="1:46" ht="30.75" customHeight="1" thickTop="1" thickBot="1">
      <c r="A10" s="1578"/>
      <c r="B10" s="1578"/>
      <c r="C10" s="1578"/>
      <c r="D10" s="1578"/>
      <c r="E10" s="1578"/>
      <c r="F10" s="1586"/>
      <c r="G10" s="1578"/>
      <c r="H10" s="1578"/>
      <c r="I10" s="1578" t="s">
        <v>1232</v>
      </c>
      <c r="J10" s="1578" t="s">
        <v>1272</v>
      </c>
      <c r="K10" s="1578" t="s">
        <v>1273</v>
      </c>
      <c r="L10" s="1578" t="s">
        <v>1232</v>
      </c>
      <c r="M10" s="1578" t="s">
        <v>1272</v>
      </c>
      <c r="N10" s="1578" t="s">
        <v>1273</v>
      </c>
      <c r="O10" s="1578" t="s">
        <v>1232</v>
      </c>
      <c r="P10" s="1578" t="s">
        <v>1272</v>
      </c>
      <c r="Q10" s="1578" t="s">
        <v>1273</v>
      </c>
      <c r="R10" s="1578" t="s">
        <v>1232</v>
      </c>
      <c r="S10" s="1578" t="s">
        <v>1272</v>
      </c>
      <c r="T10" s="1578" t="s">
        <v>1273</v>
      </c>
      <c r="U10" s="1578" t="s">
        <v>1232</v>
      </c>
      <c r="V10" s="1578" t="s">
        <v>1272</v>
      </c>
      <c r="W10" s="1578" t="s">
        <v>1273</v>
      </c>
      <c r="X10" s="1583">
        <f>SUM(X12:X61)</f>
        <v>0.91590163561419691</v>
      </c>
      <c r="Y10" s="1578"/>
      <c r="Z10" s="1584" t="s">
        <v>1227</v>
      </c>
      <c r="AA10" s="1584" t="s">
        <v>1226</v>
      </c>
      <c r="AB10" s="1584"/>
      <c r="AC10" s="1585"/>
      <c r="AD10" s="1585"/>
      <c r="AE10" s="1580" t="s">
        <v>1274</v>
      </c>
      <c r="AF10" s="1580" t="s">
        <v>1274</v>
      </c>
      <c r="AG10" s="1580" t="s">
        <v>1274</v>
      </c>
      <c r="AH10" s="1580" t="s">
        <v>1274</v>
      </c>
      <c r="AI10" s="1581" t="s">
        <v>1275</v>
      </c>
      <c r="AJ10" s="1581" t="s">
        <v>1274</v>
      </c>
      <c r="AK10" s="1581" t="s">
        <v>1274</v>
      </c>
      <c r="AL10" s="1581" t="s">
        <v>1274</v>
      </c>
      <c r="AM10" s="1581" t="s">
        <v>1276</v>
      </c>
      <c r="AN10" s="1581" t="s">
        <v>1276</v>
      </c>
      <c r="AO10" s="1581" t="s">
        <v>1276</v>
      </c>
      <c r="AP10" s="1581" t="s">
        <v>1276</v>
      </c>
      <c r="AQ10" s="1581" t="s">
        <v>1277</v>
      </c>
      <c r="AR10" s="1581" t="s">
        <v>1276</v>
      </c>
      <c r="AS10" s="1581" t="s">
        <v>1276</v>
      </c>
      <c r="AT10" s="1581" t="s">
        <v>1276</v>
      </c>
    </row>
    <row r="11" spans="1:46" ht="47.45" customHeight="1" thickTop="1" thickBot="1">
      <c r="A11" s="1578"/>
      <c r="B11" s="1578"/>
      <c r="C11" s="815" t="s">
        <v>1645</v>
      </c>
      <c r="D11" s="1578"/>
      <c r="E11" s="1578"/>
      <c r="F11" s="1586"/>
      <c r="G11" s="1578"/>
      <c r="H11" s="1578"/>
      <c r="I11" s="1578"/>
      <c r="J11" s="1578"/>
      <c r="K11" s="1578"/>
      <c r="L11" s="1578"/>
      <c r="M11" s="1578"/>
      <c r="N11" s="1578"/>
      <c r="O11" s="1578"/>
      <c r="P11" s="1578"/>
      <c r="Q11" s="1578"/>
      <c r="R11" s="1578"/>
      <c r="S11" s="1578"/>
      <c r="T11" s="1578"/>
      <c r="U11" s="1578"/>
      <c r="V11" s="1578"/>
      <c r="W11" s="1578"/>
      <c r="X11" s="1583"/>
      <c r="Y11" s="1578"/>
      <c r="Z11" s="1584"/>
      <c r="AA11" s="1584"/>
      <c r="AB11" s="1584"/>
      <c r="AC11" s="1585"/>
      <c r="AD11" s="1585"/>
      <c r="AE11" s="816" t="s">
        <v>1280</v>
      </c>
      <c r="AF11" s="817" t="s">
        <v>1281</v>
      </c>
      <c r="AG11" s="817" t="s">
        <v>1282</v>
      </c>
      <c r="AH11" s="818" t="s">
        <v>1283</v>
      </c>
      <c r="AI11" s="819" t="s">
        <v>1280</v>
      </c>
      <c r="AJ11" s="819" t="s">
        <v>1281</v>
      </c>
      <c r="AK11" s="819" t="s">
        <v>1282</v>
      </c>
      <c r="AL11" s="819" t="s">
        <v>1283</v>
      </c>
      <c r="AM11" s="819" t="s">
        <v>1280</v>
      </c>
      <c r="AN11" s="819" t="s">
        <v>1281</v>
      </c>
      <c r="AO11" s="819" t="s">
        <v>1282</v>
      </c>
      <c r="AP11" s="819" t="s">
        <v>1283</v>
      </c>
      <c r="AQ11" s="819" t="s">
        <v>1280</v>
      </c>
      <c r="AR11" s="819" t="s">
        <v>1281</v>
      </c>
      <c r="AS11" s="819" t="s">
        <v>1282</v>
      </c>
      <c r="AT11" s="819" t="s">
        <v>1283</v>
      </c>
    </row>
    <row r="12" spans="1:46" ht="75.599999999999994" customHeight="1">
      <c r="A12" s="1582" t="s">
        <v>1646</v>
      </c>
      <c r="B12" s="1577"/>
      <c r="C12" s="1577" t="s">
        <v>1284</v>
      </c>
      <c r="D12" s="820">
        <v>2.1</v>
      </c>
      <c r="E12" s="821" t="s">
        <v>1647</v>
      </c>
      <c r="F12" s="822">
        <v>0.03</v>
      </c>
      <c r="G12" s="821" t="s">
        <v>1286</v>
      </c>
      <c r="H12" s="821" t="s">
        <v>532</v>
      </c>
      <c r="I12" s="823">
        <v>0</v>
      </c>
      <c r="J12" s="824">
        <f>AF12</f>
        <v>0</v>
      </c>
      <c r="K12" s="825" t="str">
        <f>IF(ISERROR(J12/I12),"",(J12/I12))</f>
        <v/>
      </c>
      <c r="L12" s="826">
        <v>1</v>
      </c>
      <c r="M12" s="827">
        <f>AJ12</f>
        <v>1</v>
      </c>
      <c r="N12" s="828">
        <f>IF(ISERROR(M12/L12),"",(M12/L12))</f>
        <v>1</v>
      </c>
      <c r="O12" s="823">
        <v>0</v>
      </c>
      <c r="P12" s="824">
        <f>AN12</f>
        <v>0</v>
      </c>
      <c r="Q12" s="829">
        <f>IF(ISERROR(P12/O12),0,(P12/O12))</f>
        <v>0</v>
      </c>
      <c r="R12" s="826">
        <v>1</v>
      </c>
      <c r="S12" s="830">
        <f>AR12</f>
        <v>1</v>
      </c>
      <c r="T12" s="828">
        <f t="shared" ref="T12:T61" si="0">IF(ISERROR(S12/R12),"",(S12/R12))</f>
        <v>1</v>
      </c>
      <c r="U12" s="831">
        <f t="shared" ref="U12:V16" si="1">SUM(I12,L12,O12,R12)</f>
        <v>2</v>
      </c>
      <c r="V12" s="831">
        <f t="shared" si="1"/>
        <v>2</v>
      </c>
      <c r="W12" s="832">
        <f>IF((IF(ISERROR(V12/U12),0,(V12/U12)))&gt;1,1,(IF(ISERROR(V12/U12),0,(V12/U12))))</f>
        <v>1</v>
      </c>
      <c r="X12" s="832">
        <f>F12*W12</f>
        <v>0.03</v>
      </c>
      <c r="Y12" s="833" t="s">
        <v>1648</v>
      </c>
      <c r="Z12" s="834" t="s">
        <v>1649</v>
      </c>
      <c r="AA12" s="835" t="s">
        <v>1289</v>
      </c>
      <c r="AB12" s="835" t="s">
        <v>542</v>
      </c>
      <c r="AC12" s="836"/>
      <c r="AD12" s="836"/>
      <c r="AE12" s="837">
        <f t="shared" ref="AE12:AE17" si="2">I12</f>
        <v>0</v>
      </c>
      <c r="AF12" s="837"/>
      <c r="AG12" s="838"/>
      <c r="AH12" s="838"/>
      <c r="AI12" s="839">
        <f t="shared" ref="AI12:AI61" si="3">L12</f>
        <v>1</v>
      </c>
      <c r="AJ12" s="839">
        <v>1</v>
      </c>
      <c r="AK12" s="840" t="s">
        <v>1650</v>
      </c>
      <c r="AL12" s="840" t="s">
        <v>1651</v>
      </c>
      <c r="AM12" s="837">
        <f t="shared" ref="AM12:AM61" si="4">O12</f>
        <v>0</v>
      </c>
      <c r="AN12" s="837"/>
      <c r="AO12" s="838"/>
      <c r="AP12" s="838"/>
      <c r="AQ12" s="839">
        <f t="shared" ref="AQ12:AQ61" si="5">R12</f>
        <v>1</v>
      </c>
      <c r="AR12" s="841">
        <v>1</v>
      </c>
      <c r="AS12" s="842" t="s">
        <v>1652</v>
      </c>
      <c r="AT12" s="842" t="s">
        <v>1653</v>
      </c>
    </row>
    <row r="13" spans="1:46" ht="72" customHeight="1">
      <c r="A13" s="1582"/>
      <c r="B13" s="1577"/>
      <c r="C13" s="1577"/>
      <c r="D13" s="820">
        <v>2.2000000000000002</v>
      </c>
      <c r="E13" s="821" t="s">
        <v>1654</v>
      </c>
      <c r="F13" s="822">
        <v>0.02</v>
      </c>
      <c r="G13" s="821" t="s">
        <v>1286</v>
      </c>
      <c r="H13" s="821" t="s">
        <v>532</v>
      </c>
      <c r="I13" s="823">
        <v>0</v>
      </c>
      <c r="J13" s="824">
        <f>AF13</f>
        <v>0</v>
      </c>
      <c r="K13" s="825" t="str">
        <f>IF(ISERROR(J13/I13),"",(J13/I13))</f>
        <v/>
      </c>
      <c r="L13" s="826">
        <v>1</v>
      </c>
      <c r="M13" s="827">
        <f>AJ13</f>
        <v>1</v>
      </c>
      <c r="N13" s="828">
        <f>IF(ISERROR(M13/L13),"",(M13/L13))</f>
        <v>1</v>
      </c>
      <c r="O13" s="823">
        <v>0</v>
      </c>
      <c r="P13" s="824">
        <f>AN13</f>
        <v>0</v>
      </c>
      <c r="Q13" s="829">
        <f>IF(ISERROR(P13/O13),0,(P13/O13))</f>
        <v>0</v>
      </c>
      <c r="R13" s="826">
        <v>0</v>
      </c>
      <c r="S13" s="843">
        <f>AR13</f>
        <v>0</v>
      </c>
      <c r="T13" s="828" t="str">
        <f t="shared" si="0"/>
        <v/>
      </c>
      <c r="U13" s="831">
        <f t="shared" si="1"/>
        <v>1</v>
      </c>
      <c r="V13" s="831">
        <f t="shared" si="1"/>
        <v>1</v>
      </c>
      <c r="W13" s="832">
        <f>IF((IF(ISERROR(V13/U13),0,(V13/U13)))&gt;1,1,(IF(ISERROR(V13/U13),0,(V13/U13))))</f>
        <v>1</v>
      </c>
      <c r="X13" s="832">
        <f>F13*W13</f>
        <v>0.02</v>
      </c>
      <c r="Y13" s="833" t="s">
        <v>1655</v>
      </c>
      <c r="Z13" s="834" t="s">
        <v>1656</v>
      </c>
      <c r="AA13" s="834" t="s">
        <v>1657</v>
      </c>
      <c r="AB13" s="835" t="s">
        <v>542</v>
      </c>
      <c r="AC13" s="844"/>
      <c r="AD13" s="844"/>
      <c r="AE13" s="837">
        <f t="shared" si="2"/>
        <v>0</v>
      </c>
      <c r="AF13" s="837"/>
      <c r="AG13" s="838"/>
      <c r="AH13" s="838"/>
      <c r="AI13" s="839">
        <f t="shared" si="3"/>
        <v>1</v>
      </c>
      <c r="AJ13" s="839">
        <v>1</v>
      </c>
      <c r="AK13" s="840" t="s">
        <v>1658</v>
      </c>
      <c r="AL13" s="840" t="s">
        <v>1659</v>
      </c>
      <c r="AM13" s="837">
        <f t="shared" si="4"/>
        <v>0</v>
      </c>
      <c r="AN13" s="837"/>
      <c r="AO13" s="838"/>
      <c r="AP13" s="838"/>
      <c r="AQ13" s="839">
        <f t="shared" si="5"/>
        <v>0</v>
      </c>
      <c r="AR13" s="845"/>
      <c r="AS13" s="842"/>
      <c r="AT13" s="842"/>
    </row>
    <row r="14" spans="1:46" ht="83.45" customHeight="1" thickBot="1">
      <c r="A14" s="1582"/>
      <c r="B14" s="1577"/>
      <c r="C14" s="1577"/>
      <c r="D14" s="820">
        <v>2.2999999999999998</v>
      </c>
      <c r="E14" s="821" t="s">
        <v>1660</v>
      </c>
      <c r="F14" s="822">
        <v>0.02</v>
      </c>
      <c r="G14" s="821" t="s">
        <v>1286</v>
      </c>
      <c r="H14" s="821" t="s">
        <v>532</v>
      </c>
      <c r="I14" s="823">
        <v>0</v>
      </c>
      <c r="J14" s="824">
        <f>AF14</f>
        <v>0</v>
      </c>
      <c r="K14" s="825" t="str">
        <f>IF(ISERROR(J14/I14),"",(J14/I14))</f>
        <v/>
      </c>
      <c r="L14" s="826">
        <v>3</v>
      </c>
      <c r="M14" s="827">
        <f>AJ14</f>
        <v>6</v>
      </c>
      <c r="N14" s="828">
        <f>IF(ISERROR(M14/L14),"",(M14/L14))</f>
        <v>2</v>
      </c>
      <c r="O14" s="823">
        <v>0</v>
      </c>
      <c r="P14" s="824">
        <f>AN14</f>
        <v>0</v>
      </c>
      <c r="Q14" s="829">
        <f>IF(ISERROR(P14/O14),0,(P14/O14))</f>
        <v>0</v>
      </c>
      <c r="R14" s="826">
        <v>3</v>
      </c>
      <c r="S14" s="827">
        <f>AR14</f>
        <v>6</v>
      </c>
      <c r="T14" s="828">
        <f t="shared" si="0"/>
        <v>2</v>
      </c>
      <c r="U14" s="831">
        <f t="shared" si="1"/>
        <v>6</v>
      </c>
      <c r="V14" s="831">
        <f t="shared" si="1"/>
        <v>12</v>
      </c>
      <c r="W14" s="832">
        <f>IF((IF(ISERROR(V14/U14),0,(V14/U14)))&gt;1,1,(IF(ISERROR(V14/U14),0,(V14/U14))))</f>
        <v>1</v>
      </c>
      <c r="X14" s="832">
        <f>F14*W14</f>
        <v>0.02</v>
      </c>
      <c r="Y14" s="835" t="s">
        <v>1661</v>
      </c>
      <c r="Z14" s="835" t="s">
        <v>1662</v>
      </c>
      <c r="AA14" s="835" t="s">
        <v>1305</v>
      </c>
      <c r="AB14" s="835" t="s">
        <v>542</v>
      </c>
      <c r="AC14" s="846"/>
      <c r="AD14" s="846"/>
      <c r="AE14" s="837">
        <f t="shared" si="2"/>
        <v>0</v>
      </c>
      <c r="AF14" s="837"/>
      <c r="AG14" s="838"/>
      <c r="AH14" s="838"/>
      <c r="AI14" s="839">
        <f t="shared" si="3"/>
        <v>3</v>
      </c>
      <c r="AJ14" s="839">
        <v>6</v>
      </c>
      <c r="AK14" s="840" t="s">
        <v>1663</v>
      </c>
      <c r="AL14" s="840" t="s">
        <v>1664</v>
      </c>
      <c r="AM14" s="837">
        <f t="shared" si="4"/>
        <v>0</v>
      </c>
      <c r="AN14" s="837"/>
      <c r="AO14" s="838"/>
      <c r="AP14" s="838"/>
      <c r="AQ14" s="839">
        <f t="shared" si="5"/>
        <v>3</v>
      </c>
      <c r="AR14" s="841">
        <v>6</v>
      </c>
      <c r="AS14" s="842" t="s">
        <v>1665</v>
      </c>
      <c r="AT14" s="842" t="s">
        <v>1666</v>
      </c>
    </row>
    <row r="15" spans="1:46" ht="30.75" customHeight="1" thickBot="1">
      <c r="A15" s="1575"/>
      <c r="B15" s="1575"/>
      <c r="C15" s="847" t="s">
        <v>1667</v>
      </c>
      <c r="D15" s="1573"/>
      <c r="E15" s="1573"/>
      <c r="F15" s="1573"/>
      <c r="G15" s="1573"/>
      <c r="H15" s="1573"/>
      <c r="I15" s="1573"/>
      <c r="J15" s="1573"/>
      <c r="K15" s="1573"/>
      <c r="L15" s="1573"/>
      <c r="M15" s="1573"/>
      <c r="N15" s="1573"/>
      <c r="O15" s="1573"/>
      <c r="P15" s="1573"/>
      <c r="Q15" s="1573"/>
      <c r="R15" s="1573"/>
      <c r="S15" s="1573"/>
      <c r="T15" s="1573"/>
      <c r="U15" s="1573">
        <f t="shared" si="1"/>
        <v>0</v>
      </c>
      <c r="V15" s="1573"/>
      <c r="W15" s="1573"/>
      <c r="X15" s="1573"/>
      <c r="Y15" s="1573"/>
      <c r="Z15" s="1573"/>
      <c r="AA15" s="1573"/>
      <c r="AB15" s="1573"/>
      <c r="AC15" s="1573"/>
      <c r="AD15" s="1573"/>
      <c r="AE15" s="1573">
        <f t="shared" si="2"/>
        <v>0</v>
      </c>
      <c r="AF15" s="1573"/>
      <c r="AG15" s="1573"/>
      <c r="AH15" s="1573"/>
      <c r="AI15" s="1573">
        <f t="shared" si="3"/>
        <v>0</v>
      </c>
      <c r="AJ15" s="1573"/>
      <c r="AK15" s="1573"/>
      <c r="AL15" s="1573"/>
      <c r="AM15" s="1573">
        <f t="shared" si="4"/>
        <v>0</v>
      </c>
      <c r="AN15" s="1573"/>
      <c r="AO15" s="1573"/>
      <c r="AP15" s="1573"/>
      <c r="AQ15" s="1573">
        <f t="shared" si="5"/>
        <v>0</v>
      </c>
      <c r="AR15" s="1573"/>
      <c r="AS15" s="1573"/>
      <c r="AT15" s="1573"/>
    </row>
    <row r="16" spans="1:46" ht="116.85" customHeight="1">
      <c r="A16" s="1576" t="s">
        <v>1646</v>
      </c>
      <c r="B16" s="1577"/>
      <c r="C16" s="1577" t="s">
        <v>1310</v>
      </c>
      <c r="D16" s="820">
        <v>8.1</v>
      </c>
      <c r="E16" s="848" t="s">
        <v>1668</v>
      </c>
      <c r="F16" s="849">
        <v>0.02</v>
      </c>
      <c r="G16" s="821" t="s">
        <v>1286</v>
      </c>
      <c r="H16" s="821" t="s">
        <v>532</v>
      </c>
      <c r="I16" s="850">
        <v>1</v>
      </c>
      <c r="J16" s="824">
        <f t="shared" ref="J16:J25" si="6">AF16</f>
        <v>1</v>
      </c>
      <c r="K16" s="851">
        <f t="shared" ref="K16:K25" si="7">IF(ISERROR(J16/I16),"",(J16/I16))</f>
        <v>1</v>
      </c>
      <c r="L16" s="852">
        <v>0</v>
      </c>
      <c r="M16" s="827">
        <f t="shared" ref="M16:M25" si="8">AJ16</f>
        <v>0</v>
      </c>
      <c r="N16" s="825" t="str">
        <f t="shared" ref="N16:N25" si="9">IF(ISERROR(M16/L16),"",(M16/L16))</f>
        <v/>
      </c>
      <c r="O16" s="850">
        <v>0</v>
      </c>
      <c r="P16" s="824">
        <f t="shared" ref="P16:P25" si="10">AN16</f>
        <v>0</v>
      </c>
      <c r="Q16" s="829">
        <f>IF(ISERROR(P16/O16),0,(P16/O16))</f>
        <v>0</v>
      </c>
      <c r="R16" s="852">
        <v>0</v>
      </c>
      <c r="S16" s="827">
        <f t="shared" ref="S16:S25" si="11">AR16</f>
        <v>0</v>
      </c>
      <c r="T16" s="828" t="str">
        <f t="shared" si="0"/>
        <v/>
      </c>
      <c r="U16" s="831">
        <f t="shared" si="1"/>
        <v>1</v>
      </c>
      <c r="V16" s="831">
        <f>SUM(J16,M16,P16,S16)</f>
        <v>1</v>
      </c>
      <c r="W16" s="832">
        <f t="shared" ref="W16:W25" si="12">IF((IF(ISERROR(V16/U16),0,(V16/U16)))&gt;1,1,(IF(ISERROR(V16/U16),0,(V16/U16))))</f>
        <v>1</v>
      </c>
      <c r="X16" s="832">
        <f t="shared" ref="X16:X25" si="13">F16*W16</f>
        <v>0.02</v>
      </c>
      <c r="Y16" s="848" t="s">
        <v>1669</v>
      </c>
      <c r="Z16" s="820" t="s">
        <v>1670</v>
      </c>
      <c r="AA16" s="820" t="s">
        <v>1671</v>
      </c>
      <c r="AB16" s="821" t="s">
        <v>542</v>
      </c>
      <c r="AC16" s="853" t="s">
        <v>1672</v>
      </c>
      <c r="AD16" s="854" t="s">
        <v>1673</v>
      </c>
      <c r="AE16" s="837">
        <f t="shared" si="2"/>
        <v>1</v>
      </c>
      <c r="AF16" s="837">
        <v>1</v>
      </c>
      <c r="AG16" s="855" t="s">
        <v>1674</v>
      </c>
      <c r="AH16" s="855" t="s">
        <v>1675</v>
      </c>
      <c r="AI16" s="839">
        <f t="shared" si="3"/>
        <v>0</v>
      </c>
      <c r="AJ16" s="839"/>
      <c r="AK16" s="856"/>
      <c r="AL16" s="856"/>
      <c r="AM16" s="837">
        <f t="shared" si="4"/>
        <v>0</v>
      </c>
      <c r="AN16" s="837"/>
      <c r="AO16" s="838"/>
      <c r="AP16" s="838"/>
      <c r="AQ16" s="839">
        <f t="shared" si="5"/>
        <v>0</v>
      </c>
      <c r="AR16" s="839"/>
      <c r="AS16" s="856"/>
      <c r="AT16" s="856"/>
    </row>
    <row r="17" spans="1:46" ht="88.7" customHeight="1">
      <c r="A17" s="1576"/>
      <c r="B17" s="1576"/>
      <c r="C17" s="1577"/>
      <c r="D17" s="820">
        <v>8.1999999999999993</v>
      </c>
      <c r="E17" s="820" t="s">
        <v>1676</v>
      </c>
      <c r="F17" s="849">
        <v>0.02</v>
      </c>
      <c r="G17" s="821" t="s">
        <v>537</v>
      </c>
      <c r="H17" s="821" t="s">
        <v>531</v>
      </c>
      <c r="I17" s="857">
        <v>1</v>
      </c>
      <c r="J17" s="829">
        <f t="shared" si="6"/>
        <v>1</v>
      </c>
      <c r="K17" s="851">
        <f t="shared" si="7"/>
        <v>1</v>
      </c>
      <c r="L17" s="858">
        <v>1</v>
      </c>
      <c r="M17" s="859">
        <f t="shared" si="8"/>
        <v>1</v>
      </c>
      <c r="N17" s="825">
        <f t="shared" si="9"/>
        <v>1</v>
      </c>
      <c r="O17" s="857">
        <v>1</v>
      </c>
      <c r="P17" s="829">
        <f t="shared" si="10"/>
        <v>1</v>
      </c>
      <c r="Q17" s="828">
        <f t="shared" ref="Q17:Q25" si="14">IF(ISERROR(P17/O17),"",(P17/O17))</f>
        <v>1</v>
      </c>
      <c r="R17" s="858">
        <v>1</v>
      </c>
      <c r="S17" s="859">
        <f t="shared" si="11"/>
        <v>1</v>
      </c>
      <c r="T17" s="828">
        <f t="shared" si="0"/>
        <v>1</v>
      </c>
      <c r="U17" s="832">
        <f>SUM(I17,L17,O17,R17)/4</f>
        <v>1</v>
      </c>
      <c r="V17" s="832">
        <f>SUM(J17,M17,P17,S17)/4</f>
        <v>1</v>
      </c>
      <c r="W17" s="860">
        <f t="shared" si="12"/>
        <v>1</v>
      </c>
      <c r="X17" s="832">
        <f t="shared" si="13"/>
        <v>0.02</v>
      </c>
      <c r="Y17" s="820" t="s">
        <v>1677</v>
      </c>
      <c r="Z17" s="843" t="s">
        <v>1678</v>
      </c>
      <c r="AA17" s="861" t="s">
        <v>1679</v>
      </c>
      <c r="AB17" s="862" t="s">
        <v>542</v>
      </c>
      <c r="AC17" s="863" t="s">
        <v>1680</v>
      </c>
      <c r="AD17" s="863"/>
      <c r="AE17" s="864">
        <f t="shared" si="2"/>
        <v>1</v>
      </c>
      <c r="AF17" s="865">
        <v>1</v>
      </c>
      <c r="AG17" s="838" t="s">
        <v>1681</v>
      </c>
      <c r="AH17" s="838" t="s">
        <v>1682</v>
      </c>
      <c r="AI17" s="866">
        <f t="shared" si="3"/>
        <v>1</v>
      </c>
      <c r="AJ17" s="866">
        <v>1</v>
      </c>
      <c r="AK17" s="856" t="s">
        <v>1683</v>
      </c>
      <c r="AL17" s="856"/>
      <c r="AM17" s="864">
        <f t="shared" si="4"/>
        <v>1</v>
      </c>
      <c r="AN17" s="866">
        <v>1</v>
      </c>
      <c r="AO17" s="856" t="s">
        <v>1684</v>
      </c>
      <c r="AP17" s="838" t="s">
        <v>1685</v>
      </c>
      <c r="AQ17" s="866">
        <f t="shared" si="5"/>
        <v>1</v>
      </c>
      <c r="AR17" s="867">
        <v>1</v>
      </c>
      <c r="AS17" s="868" t="s">
        <v>1686</v>
      </c>
      <c r="AT17" s="869" t="s">
        <v>1687</v>
      </c>
    </row>
    <row r="18" spans="1:46" ht="98.25" customHeight="1">
      <c r="A18" s="1576"/>
      <c r="B18" s="1576"/>
      <c r="C18" s="1577"/>
      <c r="D18" s="820">
        <v>8.3000000000000007</v>
      </c>
      <c r="E18" s="820" t="s">
        <v>1688</v>
      </c>
      <c r="F18" s="849">
        <v>0.03</v>
      </c>
      <c r="G18" s="821" t="s">
        <v>537</v>
      </c>
      <c r="H18" s="821" t="s">
        <v>532</v>
      </c>
      <c r="I18" s="857">
        <v>0.15</v>
      </c>
      <c r="J18" s="829">
        <f t="shared" si="6"/>
        <v>0.12710000000000002</v>
      </c>
      <c r="K18" s="851">
        <f t="shared" si="7"/>
        <v>0.84733333333333349</v>
      </c>
      <c r="L18" s="858">
        <v>0.3</v>
      </c>
      <c r="M18" s="859">
        <f t="shared" si="8"/>
        <v>0.184</v>
      </c>
      <c r="N18" s="825">
        <f t="shared" si="9"/>
        <v>0.6133333333333334</v>
      </c>
      <c r="O18" s="857">
        <v>0.3</v>
      </c>
      <c r="P18" s="829">
        <f t="shared" si="10"/>
        <v>0.46</v>
      </c>
      <c r="Q18" s="828">
        <f t="shared" si="14"/>
        <v>1.5333333333333334</v>
      </c>
      <c r="R18" s="858">
        <v>0.22</v>
      </c>
      <c r="S18" s="859">
        <f t="shared" si="11"/>
        <v>0.43338682020219738</v>
      </c>
      <c r="T18" s="828">
        <f t="shared" si="0"/>
        <v>1.96994009182817</v>
      </c>
      <c r="U18" s="832">
        <f t="shared" ref="U18:V20" si="15">SUM(I18,L18,O18,R18)</f>
        <v>0.97</v>
      </c>
      <c r="V18" s="870">
        <f t="shared" si="15"/>
        <v>1.2044868202021974</v>
      </c>
      <c r="W18" s="860">
        <f t="shared" si="12"/>
        <v>1</v>
      </c>
      <c r="X18" s="832">
        <f t="shared" si="13"/>
        <v>0.03</v>
      </c>
      <c r="Y18" s="820" t="s">
        <v>1689</v>
      </c>
      <c r="Z18" s="820" t="s">
        <v>1690</v>
      </c>
      <c r="AA18" s="820" t="s">
        <v>1691</v>
      </c>
      <c r="AB18" s="862" t="s">
        <v>542</v>
      </c>
      <c r="AC18" s="844" t="s">
        <v>1335</v>
      </c>
      <c r="AD18" s="863"/>
      <c r="AE18" s="864">
        <v>0.15</v>
      </c>
      <c r="AF18" s="871">
        <v>0.12710000000000002</v>
      </c>
      <c r="AG18" s="855" t="s">
        <v>1692</v>
      </c>
      <c r="AH18" s="855" t="s">
        <v>1693</v>
      </c>
      <c r="AI18" s="866">
        <f t="shared" si="3"/>
        <v>0.3</v>
      </c>
      <c r="AJ18" s="872">
        <v>0.184</v>
      </c>
      <c r="AK18" s="840" t="s">
        <v>1694</v>
      </c>
      <c r="AL18" s="840" t="s">
        <v>1695</v>
      </c>
      <c r="AM18" s="864">
        <f t="shared" si="4"/>
        <v>0.3</v>
      </c>
      <c r="AN18" s="873">
        <v>0.46</v>
      </c>
      <c r="AO18" s="840" t="s">
        <v>1696</v>
      </c>
      <c r="AP18" s="840" t="s">
        <v>1695</v>
      </c>
      <c r="AQ18" s="874">
        <f t="shared" si="5"/>
        <v>0.22</v>
      </c>
      <c r="AR18" s="875">
        <f>8582089402/19802377465</f>
        <v>0.43338682020219738</v>
      </c>
      <c r="AS18" s="876" t="s">
        <v>1697</v>
      </c>
      <c r="AT18" s="877" t="s">
        <v>1335</v>
      </c>
    </row>
    <row r="19" spans="1:46" ht="109.7" customHeight="1">
      <c r="A19" s="1576"/>
      <c r="B19" s="1576"/>
      <c r="C19" s="1577"/>
      <c r="D19" s="820">
        <v>8.4</v>
      </c>
      <c r="E19" s="820" t="s">
        <v>1698</v>
      </c>
      <c r="F19" s="849">
        <v>0.03</v>
      </c>
      <c r="G19" s="821" t="s">
        <v>537</v>
      </c>
      <c r="H19" s="821" t="s">
        <v>532</v>
      </c>
      <c r="I19" s="857">
        <v>0.15</v>
      </c>
      <c r="J19" s="878">
        <f t="shared" si="6"/>
        <v>1.7500000000000002E-2</v>
      </c>
      <c r="K19" s="851">
        <f t="shared" si="7"/>
        <v>0.11666666666666668</v>
      </c>
      <c r="L19" s="858">
        <v>0.15</v>
      </c>
      <c r="M19" s="879">
        <f t="shared" si="8"/>
        <v>2.23E-2</v>
      </c>
      <c r="N19" s="825">
        <f t="shared" si="9"/>
        <v>0.14866666666666667</v>
      </c>
      <c r="O19" s="857">
        <v>0.15</v>
      </c>
      <c r="P19" s="878">
        <f t="shared" si="10"/>
        <v>4.7500000000000001E-2</v>
      </c>
      <c r="Q19" s="828">
        <f t="shared" si="14"/>
        <v>0.31666666666666671</v>
      </c>
      <c r="R19" s="858">
        <v>0.15</v>
      </c>
      <c r="S19" s="859">
        <f t="shared" si="11"/>
        <v>0.31184477413959849</v>
      </c>
      <c r="T19" s="828">
        <f t="shared" si="0"/>
        <v>2.0789651609306565</v>
      </c>
      <c r="U19" s="832">
        <f t="shared" si="15"/>
        <v>0.6</v>
      </c>
      <c r="V19" s="870">
        <f t="shared" si="15"/>
        <v>0.39914477413959848</v>
      </c>
      <c r="W19" s="860">
        <f t="shared" si="12"/>
        <v>0.66524129023266421</v>
      </c>
      <c r="X19" s="832">
        <f t="shared" si="13"/>
        <v>1.9957238706979925E-2</v>
      </c>
      <c r="Y19" s="820" t="s">
        <v>1699</v>
      </c>
      <c r="Z19" s="820" t="s">
        <v>1700</v>
      </c>
      <c r="AA19" s="820" t="s">
        <v>1701</v>
      </c>
      <c r="AB19" s="862" t="s">
        <v>542</v>
      </c>
      <c r="AC19" s="844" t="s">
        <v>1335</v>
      </c>
      <c r="AD19" s="863"/>
      <c r="AE19" s="864">
        <v>0.15</v>
      </c>
      <c r="AF19" s="871">
        <v>1.7500000000000002E-2</v>
      </c>
      <c r="AG19" s="855" t="s">
        <v>1702</v>
      </c>
      <c r="AH19" s="855" t="s">
        <v>1693</v>
      </c>
      <c r="AI19" s="866">
        <f t="shared" si="3"/>
        <v>0.15</v>
      </c>
      <c r="AJ19" s="872">
        <v>2.23E-2</v>
      </c>
      <c r="AK19" s="880" t="s">
        <v>1703</v>
      </c>
      <c r="AL19" s="840" t="s">
        <v>1695</v>
      </c>
      <c r="AM19" s="864">
        <f t="shared" si="4"/>
        <v>0.15</v>
      </c>
      <c r="AN19" s="881">
        <v>4.7500000000000001E-2</v>
      </c>
      <c r="AO19" s="855" t="s">
        <v>1704</v>
      </c>
      <c r="AP19" s="840" t="s">
        <v>1695</v>
      </c>
      <c r="AQ19" s="874">
        <f t="shared" si="5"/>
        <v>0.15</v>
      </c>
      <c r="AR19" s="882">
        <f>6175267928/19802377465</f>
        <v>0.31184477413959849</v>
      </c>
      <c r="AS19" s="876" t="s">
        <v>1705</v>
      </c>
      <c r="AT19" s="877" t="s">
        <v>1335</v>
      </c>
    </row>
    <row r="20" spans="1:46" ht="57" customHeight="1">
      <c r="A20" s="1576"/>
      <c r="B20" s="1576"/>
      <c r="C20" s="1577"/>
      <c r="D20" s="883">
        <v>8.5</v>
      </c>
      <c r="E20" s="820" t="s">
        <v>1706</v>
      </c>
      <c r="F20" s="849">
        <v>0.02</v>
      </c>
      <c r="G20" s="821" t="s">
        <v>537</v>
      </c>
      <c r="H20" s="821" t="s">
        <v>532</v>
      </c>
      <c r="I20" s="857">
        <v>0</v>
      </c>
      <c r="J20" s="829">
        <f t="shared" si="6"/>
        <v>0</v>
      </c>
      <c r="K20" s="825" t="str">
        <f t="shared" si="7"/>
        <v/>
      </c>
      <c r="L20" s="858">
        <v>0.15</v>
      </c>
      <c r="M20" s="859">
        <f t="shared" si="8"/>
        <v>0.2782</v>
      </c>
      <c r="N20" s="825">
        <f t="shared" si="9"/>
        <v>1.8546666666666667</v>
      </c>
      <c r="O20" s="857">
        <v>0.1</v>
      </c>
      <c r="P20" s="829">
        <f t="shared" si="10"/>
        <v>0.25</v>
      </c>
      <c r="Q20" s="828">
        <f t="shared" si="14"/>
        <v>2.5</v>
      </c>
      <c r="R20" s="858">
        <v>0.05</v>
      </c>
      <c r="S20" s="859">
        <f t="shared" si="11"/>
        <v>0.13706374016017092</v>
      </c>
      <c r="T20" s="828">
        <f t="shared" si="0"/>
        <v>2.7412748032034182</v>
      </c>
      <c r="U20" s="832">
        <f t="shared" si="15"/>
        <v>0.3</v>
      </c>
      <c r="V20" s="870">
        <f t="shared" si="15"/>
        <v>0.66526374016017087</v>
      </c>
      <c r="W20" s="860">
        <f t="shared" si="12"/>
        <v>1</v>
      </c>
      <c r="X20" s="832">
        <f t="shared" si="13"/>
        <v>0.02</v>
      </c>
      <c r="Y20" s="820" t="s">
        <v>1707</v>
      </c>
      <c r="Z20" s="820" t="s">
        <v>1708</v>
      </c>
      <c r="AA20" s="820" t="s">
        <v>1709</v>
      </c>
      <c r="AB20" s="862" t="s">
        <v>542</v>
      </c>
      <c r="AC20" s="844" t="s">
        <v>1335</v>
      </c>
      <c r="AD20" s="863"/>
      <c r="AE20" s="864">
        <f>I20</f>
        <v>0</v>
      </c>
      <c r="AF20" s="881"/>
      <c r="AG20" s="855" t="s">
        <v>1710</v>
      </c>
      <c r="AH20" s="855" t="s">
        <v>1693</v>
      </c>
      <c r="AI20" s="866">
        <f t="shared" si="3"/>
        <v>0.15</v>
      </c>
      <c r="AJ20" s="872">
        <v>0.2782</v>
      </c>
      <c r="AK20" s="880" t="s">
        <v>1711</v>
      </c>
      <c r="AL20" s="840" t="s">
        <v>1695</v>
      </c>
      <c r="AM20" s="864">
        <f t="shared" si="4"/>
        <v>0.1</v>
      </c>
      <c r="AN20" s="873">
        <v>0.25</v>
      </c>
      <c r="AO20" s="855" t="s">
        <v>1712</v>
      </c>
      <c r="AP20" s="840" t="s">
        <v>1695</v>
      </c>
      <c r="AQ20" s="874">
        <f t="shared" si="5"/>
        <v>0.05</v>
      </c>
      <c r="AR20" s="884">
        <f>(813505579+477895053+884791886)/15877229933</f>
        <v>0.13706374016017092</v>
      </c>
      <c r="AS20" s="885" t="s">
        <v>1713</v>
      </c>
      <c r="AT20" s="877" t="s">
        <v>1335</v>
      </c>
    </row>
    <row r="21" spans="1:46" ht="104.45" customHeight="1">
      <c r="A21" s="1576"/>
      <c r="B21" s="1576"/>
      <c r="C21" s="1577"/>
      <c r="D21" s="883">
        <v>8.6</v>
      </c>
      <c r="E21" s="820" t="s">
        <v>1714</v>
      </c>
      <c r="F21" s="849">
        <v>0.03</v>
      </c>
      <c r="G21" s="821" t="s">
        <v>537</v>
      </c>
      <c r="H21" s="821" t="s">
        <v>531</v>
      </c>
      <c r="I21" s="857">
        <v>0.97</v>
      </c>
      <c r="J21" s="829">
        <f t="shared" si="6"/>
        <v>0.99900000000000011</v>
      </c>
      <c r="K21" s="851">
        <f t="shared" si="7"/>
        <v>1.029896907216495</v>
      </c>
      <c r="L21" s="858">
        <v>0.97</v>
      </c>
      <c r="M21" s="859">
        <f t="shared" si="8"/>
        <v>0.99900000000000011</v>
      </c>
      <c r="N21" s="825">
        <f t="shared" si="9"/>
        <v>1.029896907216495</v>
      </c>
      <c r="O21" s="857">
        <v>0.97</v>
      </c>
      <c r="P21" s="829">
        <f t="shared" si="10"/>
        <v>0.86</v>
      </c>
      <c r="Q21" s="828">
        <f t="shared" si="14"/>
        <v>0.88659793814432986</v>
      </c>
      <c r="R21" s="858">
        <v>0.97</v>
      </c>
      <c r="S21" s="859">
        <f t="shared" si="11"/>
        <v>1</v>
      </c>
      <c r="T21" s="828">
        <f t="shared" si="0"/>
        <v>1.0309278350515465</v>
      </c>
      <c r="U21" s="832">
        <f>SUM(I21,L21,O21,R21)/4</f>
        <v>0.97</v>
      </c>
      <c r="V21" s="870">
        <f>SUM(J21,M21,P21,S21)/4</f>
        <v>0.96450000000000002</v>
      </c>
      <c r="W21" s="860">
        <f t="shared" si="12"/>
        <v>0.99432989690721651</v>
      </c>
      <c r="X21" s="832">
        <f t="shared" si="13"/>
        <v>2.9829896907216494E-2</v>
      </c>
      <c r="Y21" s="820" t="s">
        <v>1715</v>
      </c>
      <c r="Z21" s="820" t="s">
        <v>1716</v>
      </c>
      <c r="AA21" s="820" t="s">
        <v>1717</v>
      </c>
      <c r="AB21" s="862" t="s">
        <v>542</v>
      </c>
      <c r="AC21" s="863"/>
      <c r="AD21" s="863"/>
      <c r="AE21" s="864">
        <v>0.97</v>
      </c>
      <c r="AF21" s="864">
        <v>0.99900000000000011</v>
      </c>
      <c r="AG21" s="855" t="s">
        <v>1718</v>
      </c>
      <c r="AH21" s="855" t="s">
        <v>1693</v>
      </c>
      <c r="AI21" s="866">
        <f t="shared" si="3"/>
        <v>0.97</v>
      </c>
      <c r="AJ21" s="872">
        <v>0.99900000000000011</v>
      </c>
      <c r="AK21" s="880" t="s">
        <v>1718</v>
      </c>
      <c r="AL21" s="840" t="s">
        <v>1695</v>
      </c>
      <c r="AM21" s="864">
        <f t="shared" si="4"/>
        <v>0.97</v>
      </c>
      <c r="AN21" s="873">
        <v>0.86</v>
      </c>
      <c r="AO21" s="855" t="s">
        <v>1719</v>
      </c>
      <c r="AP21" s="840" t="s">
        <v>1695</v>
      </c>
      <c r="AQ21" s="874">
        <f t="shared" si="5"/>
        <v>0.97</v>
      </c>
      <c r="AR21" s="886">
        <v>1</v>
      </c>
      <c r="AS21" s="885" t="s">
        <v>1720</v>
      </c>
      <c r="AT21" s="877" t="s">
        <v>1335</v>
      </c>
    </row>
    <row r="22" spans="1:46" ht="123.75" customHeight="1">
      <c r="A22" s="1576"/>
      <c r="B22" s="1576"/>
      <c r="C22" s="1577"/>
      <c r="D22" s="883">
        <v>8.6999999999999993</v>
      </c>
      <c r="E22" s="820" t="s">
        <v>1721</v>
      </c>
      <c r="F22" s="849">
        <v>0.02</v>
      </c>
      <c r="G22" s="887" t="s">
        <v>537</v>
      </c>
      <c r="H22" s="887" t="s">
        <v>532</v>
      </c>
      <c r="I22" s="857">
        <v>0.25</v>
      </c>
      <c r="J22" s="829">
        <f t="shared" si="6"/>
        <v>1</v>
      </c>
      <c r="K22" s="851">
        <f t="shared" si="7"/>
        <v>4</v>
      </c>
      <c r="L22" s="858">
        <v>0.25</v>
      </c>
      <c r="M22" s="859">
        <f t="shared" si="8"/>
        <v>0</v>
      </c>
      <c r="N22" s="825">
        <f t="shared" si="9"/>
        <v>0</v>
      </c>
      <c r="O22" s="857">
        <v>0.25</v>
      </c>
      <c r="P22" s="829">
        <f t="shared" si="10"/>
        <v>0</v>
      </c>
      <c r="Q22" s="828">
        <f t="shared" si="14"/>
        <v>0</v>
      </c>
      <c r="R22" s="858">
        <v>0.25</v>
      </c>
      <c r="S22" s="859">
        <f t="shared" si="11"/>
        <v>0.25</v>
      </c>
      <c r="T22" s="828">
        <f t="shared" si="0"/>
        <v>1</v>
      </c>
      <c r="U22" s="832">
        <f t="shared" ref="U22:V25" si="16">SUM(I22,L22,O22,R22)</f>
        <v>1</v>
      </c>
      <c r="V22" s="832">
        <f t="shared" si="16"/>
        <v>1.25</v>
      </c>
      <c r="W22" s="860">
        <f t="shared" si="12"/>
        <v>1</v>
      </c>
      <c r="X22" s="832">
        <f t="shared" si="13"/>
        <v>0.02</v>
      </c>
      <c r="Y22" s="820" t="s">
        <v>1722</v>
      </c>
      <c r="Z22" s="820" t="s">
        <v>1723</v>
      </c>
      <c r="AA22" s="820" t="s">
        <v>1724</v>
      </c>
      <c r="AB22" s="862" t="s">
        <v>542</v>
      </c>
      <c r="AC22" s="863"/>
      <c r="AD22" s="844" t="s">
        <v>1725</v>
      </c>
      <c r="AE22" s="864">
        <v>0.25</v>
      </c>
      <c r="AF22" s="864">
        <v>1</v>
      </c>
      <c r="AG22" s="855" t="s">
        <v>1726</v>
      </c>
      <c r="AH22" s="888" t="s">
        <v>1727</v>
      </c>
      <c r="AI22" s="866">
        <f t="shared" si="3"/>
        <v>0.25</v>
      </c>
      <c r="AJ22" s="872">
        <v>0</v>
      </c>
      <c r="AK22" s="856" t="s">
        <v>1728</v>
      </c>
      <c r="AL22" s="889" t="s">
        <v>1727</v>
      </c>
      <c r="AM22" s="864">
        <f t="shared" si="4"/>
        <v>0.25</v>
      </c>
      <c r="AN22" s="873">
        <v>0</v>
      </c>
      <c r="AO22" s="890" t="s">
        <v>1729</v>
      </c>
      <c r="AP22" s="888" t="s">
        <v>1727</v>
      </c>
      <c r="AQ22" s="866">
        <f t="shared" si="5"/>
        <v>0.25</v>
      </c>
      <c r="AR22" s="891">
        <v>0.25</v>
      </c>
      <c r="AS22" s="892" t="s">
        <v>1729</v>
      </c>
      <c r="AT22" s="893" t="s">
        <v>1727</v>
      </c>
    </row>
    <row r="23" spans="1:46" ht="57" customHeight="1">
      <c r="A23" s="1576"/>
      <c r="B23" s="1576"/>
      <c r="C23" s="1577"/>
      <c r="D23" s="883">
        <v>8.8000000000000007</v>
      </c>
      <c r="E23" s="820" t="s">
        <v>1730</v>
      </c>
      <c r="F23" s="849">
        <v>0.02</v>
      </c>
      <c r="G23" s="887" t="s">
        <v>537</v>
      </c>
      <c r="H23" s="887" t="s">
        <v>532</v>
      </c>
      <c r="I23" s="857">
        <v>0</v>
      </c>
      <c r="J23" s="829">
        <f t="shared" si="6"/>
        <v>0</v>
      </c>
      <c r="K23" s="825" t="str">
        <f t="shared" si="7"/>
        <v/>
      </c>
      <c r="L23" s="858">
        <v>0</v>
      </c>
      <c r="M23" s="859">
        <f t="shared" si="8"/>
        <v>0</v>
      </c>
      <c r="N23" s="825" t="str">
        <f t="shared" si="9"/>
        <v/>
      </c>
      <c r="O23" s="857">
        <v>0</v>
      </c>
      <c r="P23" s="829">
        <f t="shared" si="10"/>
        <v>0</v>
      </c>
      <c r="Q23" s="828" t="str">
        <f t="shared" si="14"/>
        <v/>
      </c>
      <c r="R23" s="858">
        <v>1</v>
      </c>
      <c r="S23" s="859">
        <f t="shared" si="11"/>
        <v>1</v>
      </c>
      <c r="T23" s="828">
        <f t="shared" si="0"/>
        <v>1</v>
      </c>
      <c r="U23" s="832">
        <f t="shared" si="16"/>
        <v>1</v>
      </c>
      <c r="V23" s="832">
        <f t="shared" si="16"/>
        <v>1</v>
      </c>
      <c r="W23" s="860">
        <f t="shared" si="12"/>
        <v>1</v>
      </c>
      <c r="X23" s="832">
        <f t="shared" si="13"/>
        <v>0.02</v>
      </c>
      <c r="Y23" s="894" t="s">
        <v>1731</v>
      </c>
      <c r="Z23" s="821" t="s">
        <v>1732</v>
      </c>
      <c r="AA23" s="821" t="s">
        <v>1733</v>
      </c>
      <c r="AB23" s="862" t="s">
        <v>542</v>
      </c>
      <c r="AC23" s="844" t="s">
        <v>1734</v>
      </c>
      <c r="AD23" s="844" t="s">
        <v>1735</v>
      </c>
      <c r="AE23" s="864">
        <f>I23</f>
        <v>0</v>
      </c>
      <c r="AF23" s="881"/>
      <c r="AG23" s="855"/>
      <c r="AH23" s="855"/>
      <c r="AI23" s="866">
        <f t="shared" si="3"/>
        <v>0</v>
      </c>
      <c r="AJ23" s="872"/>
      <c r="AK23" s="856"/>
      <c r="AL23" s="856"/>
      <c r="AM23" s="864">
        <f t="shared" si="4"/>
        <v>0</v>
      </c>
      <c r="AN23" s="873"/>
      <c r="AO23" s="838"/>
      <c r="AP23" s="838"/>
      <c r="AQ23" s="866">
        <f t="shared" si="5"/>
        <v>1</v>
      </c>
      <c r="AR23" s="895">
        <v>1</v>
      </c>
      <c r="AS23" s="842" t="s">
        <v>1736</v>
      </c>
      <c r="AT23" s="842" t="s">
        <v>1737</v>
      </c>
    </row>
    <row r="24" spans="1:46" ht="57" customHeight="1">
      <c r="A24" s="1576"/>
      <c r="B24" s="1576"/>
      <c r="C24" s="1577"/>
      <c r="D24" s="883">
        <v>8.9</v>
      </c>
      <c r="E24" s="820" t="s">
        <v>1738</v>
      </c>
      <c r="F24" s="849">
        <v>0.02</v>
      </c>
      <c r="G24" s="887" t="s">
        <v>537</v>
      </c>
      <c r="H24" s="887" t="s">
        <v>532</v>
      </c>
      <c r="I24" s="857">
        <v>0</v>
      </c>
      <c r="J24" s="829">
        <f t="shared" si="6"/>
        <v>0</v>
      </c>
      <c r="K24" s="825" t="str">
        <f t="shared" si="7"/>
        <v/>
      </c>
      <c r="L24" s="858">
        <v>0</v>
      </c>
      <c r="M24" s="859">
        <f t="shared" si="8"/>
        <v>0</v>
      </c>
      <c r="N24" s="825" t="str">
        <f t="shared" si="9"/>
        <v/>
      </c>
      <c r="O24" s="857">
        <v>0</v>
      </c>
      <c r="P24" s="829">
        <f t="shared" si="10"/>
        <v>0</v>
      </c>
      <c r="Q24" s="828" t="str">
        <f t="shared" si="14"/>
        <v/>
      </c>
      <c r="R24" s="858">
        <v>1</v>
      </c>
      <c r="S24" s="859">
        <f t="shared" si="11"/>
        <v>1</v>
      </c>
      <c r="T24" s="828">
        <f t="shared" si="0"/>
        <v>1</v>
      </c>
      <c r="U24" s="832">
        <f t="shared" si="16"/>
        <v>1</v>
      </c>
      <c r="V24" s="832">
        <f t="shared" si="16"/>
        <v>1</v>
      </c>
      <c r="W24" s="860">
        <f t="shared" si="12"/>
        <v>1</v>
      </c>
      <c r="X24" s="832">
        <f t="shared" si="13"/>
        <v>0.02</v>
      </c>
      <c r="Y24" s="894" t="s">
        <v>1739</v>
      </c>
      <c r="Z24" s="821" t="s">
        <v>1740</v>
      </c>
      <c r="AA24" s="821" t="s">
        <v>1741</v>
      </c>
      <c r="AB24" s="862" t="s">
        <v>542</v>
      </c>
      <c r="AC24" s="844" t="s">
        <v>1742</v>
      </c>
      <c r="AD24" s="844" t="s">
        <v>1743</v>
      </c>
      <c r="AE24" s="864">
        <f>I24</f>
        <v>0</v>
      </c>
      <c r="AF24" s="881"/>
      <c r="AG24" s="855"/>
      <c r="AH24" s="855"/>
      <c r="AI24" s="866">
        <f t="shared" si="3"/>
        <v>0</v>
      </c>
      <c r="AJ24" s="872"/>
      <c r="AK24" s="856"/>
      <c r="AL24" s="856"/>
      <c r="AM24" s="864">
        <f t="shared" si="4"/>
        <v>0</v>
      </c>
      <c r="AN24" s="873"/>
      <c r="AO24" s="838"/>
      <c r="AP24" s="838"/>
      <c r="AQ24" s="866">
        <f t="shared" si="5"/>
        <v>1</v>
      </c>
      <c r="AR24" s="895">
        <v>1</v>
      </c>
      <c r="AS24" s="842" t="s">
        <v>1744</v>
      </c>
      <c r="AT24" s="842" t="s">
        <v>1745</v>
      </c>
    </row>
    <row r="25" spans="1:46" ht="57" customHeight="1" thickBot="1">
      <c r="A25" s="1576"/>
      <c r="B25" s="1576"/>
      <c r="C25" s="1577"/>
      <c r="D25" s="896" t="s">
        <v>1746</v>
      </c>
      <c r="E25" s="897" t="s">
        <v>1747</v>
      </c>
      <c r="F25" s="898">
        <v>0.02</v>
      </c>
      <c r="G25" s="899" t="s">
        <v>537</v>
      </c>
      <c r="H25" s="899" t="s">
        <v>532</v>
      </c>
      <c r="I25" s="857">
        <v>0</v>
      </c>
      <c r="J25" s="829">
        <f t="shared" si="6"/>
        <v>0</v>
      </c>
      <c r="K25" s="825" t="str">
        <f t="shared" si="7"/>
        <v/>
      </c>
      <c r="L25" s="858">
        <v>0</v>
      </c>
      <c r="M25" s="859">
        <f t="shared" si="8"/>
        <v>0</v>
      </c>
      <c r="N25" s="825" t="str">
        <f t="shared" si="9"/>
        <v/>
      </c>
      <c r="O25" s="857">
        <v>0</v>
      </c>
      <c r="P25" s="829">
        <f t="shared" si="10"/>
        <v>0</v>
      </c>
      <c r="Q25" s="828" t="str">
        <f t="shared" si="14"/>
        <v/>
      </c>
      <c r="R25" s="858">
        <v>1</v>
      </c>
      <c r="S25" s="859">
        <f t="shared" si="11"/>
        <v>1</v>
      </c>
      <c r="T25" s="828">
        <f t="shared" si="0"/>
        <v>1</v>
      </c>
      <c r="U25" s="832">
        <f t="shared" si="16"/>
        <v>1</v>
      </c>
      <c r="V25" s="832">
        <f t="shared" si="16"/>
        <v>1</v>
      </c>
      <c r="W25" s="860">
        <f t="shared" si="12"/>
        <v>1</v>
      </c>
      <c r="X25" s="832">
        <f t="shared" si="13"/>
        <v>0.02</v>
      </c>
      <c r="Y25" s="900" t="s">
        <v>1748</v>
      </c>
      <c r="Z25" s="901" t="s">
        <v>1749</v>
      </c>
      <c r="AA25" s="901" t="s">
        <v>1750</v>
      </c>
      <c r="AB25" s="901" t="s">
        <v>542</v>
      </c>
      <c r="AC25" s="902" t="s">
        <v>1751</v>
      </c>
      <c r="AD25" s="902" t="s">
        <v>1752</v>
      </c>
      <c r="AE25" s="864">
        <f>I25</f>
        <v>0</v>
      </c>
      <c r="AF25" s="837"/>
      <c r="AG25" s="838"/>
      <c r="AH25" s="838"/>
      <c r="AI25" s="866">
        <f t="shared" si="3"/>
        <v>0</v>
      </c>
      <c r="AJ25" s="839"/>
      <c r="AK25" s="856"/>
      <c r="AL25" s="856"/>
      <c r="AM25" s="864">
        <f t="shared" si="4"/>
        <v>0</v>
      </c>
      <c r="AN25" s="837"/>
      <c r="AO25" s="838"/>
      <c r="AP25" s="838"/>
      <c r="AQ25" s="866">
        <f t="shared" si="5"/>
        <v>1</v>
      </c>
      <c r="AR25" s="903">
        <v>1</v>
      </c>
      <c r="AS25" s="904" t="s">
        <v>1753</v>
      </c>
      <c r="AT25" s="904" t="s">
        <v>1754</v>
      </c>
    </row>
    <row r="26" spans="1:46" ht="30.75" customHeight="1">
      <c r="A26" s="1572"/>
      <c r="B26" s="1572"/>
      <c r="C26" s="847" t="s">
        <v>1755</v>
      </c>
      <c r="D26" s="905"/>
      <c r="E26" s="1579"/>
      <c r="F26" s="1579"/>
      <c r="G26" s="1579"/>
      <c r="H26" s="1579"/>
      <c r="I26" s="1579"/>
      <c r="J26" s="1579"/>
      <c r="K26" s="1579"/>
      <c r="L26" s="1579"/>
      <c r="M26" s="1579"/>
      <c r="N26" s="1579"/>
      <c r="O26" s="1579"/>
      <c r="P26" s="1579"/>
      <c r="Q26" s="1579"/>
      <c r="R26" s="1579"/>
      <c r="S26" s="1579"/>
      <c r="T26" s="1579"/>
      <c r="U26" s="1579"/>
      <c r="V26" s="1579"/>
      <c r="W26" s="1579"/>
      <c r="X26" s="1579"/>
      <c r="Y26" s="1579"/>
      <c r="Z26" s="1579"/>
      <c r="AA26" s="1579"/>
      <c r="AB26" s="1579"/>
      <c r="AC26" s="1579"/>
      <c r="AD26" s="1579"/>
      <c r="AE26" s="1579">
        <f>I26</f>
        <v>0</v>
      </c>
      <c r="AF26" s="1579"/>
      <c r="AG26" s="1579"/>
      <c r="AH26" s="1579"/>
      <c r="AI26" s="1579">
        <f t="shared" si="3"/>
        <v>0</v>
      </c>
      <c r="AJ26" s="1579"/>
      <c r="AK26" s="1579"/>
      <c r="AL26" s="1579"/>
      <c r="AM26" s="1579">
        <f t="shared" si="4"/>
        <v>0</v>
      </c>
      <c r="AN26" s="1579"/>
      <c r="AO26" s="1579"/>
      <c r="AP26" s="1579"/>
      <c r="AQ26" s="1579">
        <f t="shared" si="5"/>
        <v>0</v>
      </c>
      <c r="AR26" s="1579"/>
      <c r="AS26" s="1579"/>
      <c r="AT26" s="1579"/>
    </row>
    <row r="27" spans="1:46" ht="97.5" customHeight="1">
      <c r="A27" s="1570" t="s">
        <v>1756</v>
      </c>
      <c r="B27" s="1571"/>
      <c r="C27" s="1571" t="s">
        <v>1357</v>
      </c>
      <c r="D27" s="840">
        <v>14.1</v>
      </c>
      <c r="E27" s="820" t="s">
        <v>1757</v>
      </c>
      <c r="F27" s="906">
        <v>0.03</v>
      </c>
      <c r="G27" s="821" t="s">
        <v>537</v>
      </c>
      <c r="H27" s="821" t="s">
        <v>532</v>
      </c>
      <c r="I27" s="857">
        <v>0</v>
      </c>
      <c r="J27" s="907">
        <f t="shared" ref="J27:J42" si="17">AF27</f>
        <v>0</v>
      </c>
      <c r="K27" s="825" t="str">
        <f t="shared" ref="K27:K40" si="18">IF(ISERROR(J27/I27),"",(J27/I27))</f>
        <v/>
      </c>
      <c r="L27" s="858">
        <v>0</v>
      </c>
      <c r="M27" s="843">
        <f t="shared" ref="M27:M42" si="19">AJ27</f>
        <v>0</v>
      </c>
      <c r="N27" s="825" t="str">
        <f t="shared" ref="N27:N40" si="20">IF(ISERROR(M27/L27),"",(M27/L27))</f>
        <v/>
      </c>
      <c r="O27" s="857">
        <v>0.5</v>
      </c>
      <c r="P27" s="907">
        <f t="shared" ref="P27:P42" si="21">AN27</f>
        <v>1</v>
      </c>
      <c r="Q27" s="828">
        <f t="shared" ref="Q27:Q42" si="22">IF(ISERROR(P27/O27),"",(P27/O27))</f>
        <v>2</v>
      </c>
      <c r="R27" s="858">
        <v>0.5</v>
      </c>
      <c r="S27" s="843">
        <f t="shared" ref="S27:S42" si="23">AR27</f>
        <v>0</v>
      </c>
      <c r="T27" s="828">
        <f t="shared" si="0"/>
        <v>0</v>
      </c>
      <c r="U27" s="908">
        <f>SUM(I27,L27,O27,R27)</f>
        <v>1</v>
      </c>
      <c r="V27" s="909">
        <f>SUM(J27,M27,P27,S27)</f>
        <v>1</v>
      </c>
      <c r="W27" s="832">
        <f t="shared" ref="W27:W40" si="24">IF((IF(ISERROR(V27/U27),0,(V27/U27)))&gt;1,1,(IF(ISERROR(V27/U27),0,(V27/U27))))</f>
        <v>1</v>
      </c>
      <c r="X27" s="832">
        <f t="shared" ref="X27:X42" si="25">F27*W27</f>
        <v>0.03</v>
      </c>
      <c r="Y27" s="820" t="s">
        <v>1758</v>
      </c>
      <c r="Z27" s="820" t="s">
        <v>1759</v>
      </c>
      <c r="AA27" s="820" t="s">
        <v>1760</v>
      </c>
      <c r="AB27" s="821" t="s">
        <v>542</v>
      </c>
      <c r="AC27" s="910" t="s">
        <v>1080</v>
      </c>
      <c r="AD27" s="911" t="s">
        <v>1761</v>
      </c>
      <c r="AE27" s="864">
        <f>I27</f>
        <v>0</v>
      </c>
      <c r="AF27" s="837"/>
      <c r="AG27" s="838"/>
      <c r="AH27" s="838"/>
      <c r="AI27" s="866">
        <f t="shared" si="3"/>
        <v>0</v>
      </c>
      <c r="AJ27" s="839"/>
      <c r="AK27" s="856"/>
      <c r="AL27" s="856"/>
      <c r="AM27" s="864">
        <f t="shared" si="4"/>
        <v>0.5</v>
      </c>
      <c r="AN27" s="912">
        <v>1</v>
      </c>
      <c r="AO27" s="912" t="s">
        <v>1762</v>
      </c>
      <c r="AP27" s="838" t="s">
        <v>1763</v>
      </c>
      <c r="AQ27" s="872">
        <f t="shared" si="5"/>
        <v>0.5</v>
      </c>
      <c r="AR27" s="839">
        <v>0</v>
      </c>
      <c r="AS27" s="913" t="s">
        <v>1764</v>
      </c>
      <c r="AT27" s="842"/>
    </row>
    <row r="28" spans="1:46" ht="111.6" customHeight="1">
      <c r="A28" s="1570"/>
      <c r="B28" s="1570"/>
      <c r="C28" s="1571"/>
      <c r="D28" s="840">
        <v>14.2</v>
      </c>
      <c r="E28" s="820" t="s">
        <v>1765</v>
      </c>
      <c r="F28" s="906">
        <v>0.03</v>
      </c>
      <c r="G28" s="821" t="s">
        <v>537</v>
      </c>
      <c r="H28" s="821" t="s">
        <v>532</v>
      </c>
      <c r="I28" s="857">
        <v>0.1</v>
      </c>
      <c r="J28" s="829">
        <f t="shared" si="17"/>
        <v>0.9729000000000001</v>
      </c>
      <c r="K28" s="851">
        <f t="shared" si="18"/>
        <v>9.729000000000001</v>
      </c>
      <c r="L28" s="858">
        <v>0.3</v>
      </c>
      <c r="M28" s="859">
        <f t="shared" si="19"/>
        <v>1</v>
      </c>
      <c r="N28" s="825">
        <f t="shared" si="20"/>
        <v>3.3333333333333335</v>
      </c>
      <c r="O28" s="857">
        <v>0.3</v>
      </c>
      <c r="P28" s="829">
        <f t="shared" si="21"/>
        <v>0</v>
      </c>
      <c r="Q28" s="828">
        <f t="shared" si="22"/>
        <v>0</v>
      </c>
      <c r="R28" s="858">
        <v>0.3</v>
      </c>
      <c r="S28" s="859">
        <f t="shared" si="23"/>
        <v>0</v>
      </c>
      <c r="T28" s="828">
        <f t="shared" si="0"/>
        <v>0</v>
      </c>
      <c r="U28" s="832">
        <f>SUM(I28,L28,O28,R28)</f>
        <v>1</v>
      </c>
      <c r="V28" s="860">
        <f>SUM(J28,M28,P28,S28)</f>
        <v>1.9729000000000001</v>
      </c>
      <c r="W28" s="914">
        <f t="shared" si="24"/>
        <v>1</v>
      </c>
      <c r="X28" s="832">
        <f t="shared" si="25"/>
        <v>0.03</v>
      </c>
      <c r="Y28" s="915" t="s">
        <v>1766</v>
      </c>
      <c r="Z28" s="916" t="s">
        <v>1759</v>
      </c>
      <c r="AA28" s="916" t="s">
        <v>1760</v>
      </c>
      <c r="AB28" s="821" t="s">
        <v>542</v>
      </c>
      <c r="AC28" s="910" t="s">
        <v>1080</v>
      </c>
      <c r="AD28" s="917" t="s">
        <v>1767</v>
      </c>
      <c r="AE28" s="864">
        <f t="shared" ref="AE28:AE41" si="26">I28</f>
        <v>0.1</v>
      </c>
      <c r="AF28" s="864">
        <v>0.9729000000000001</v>
      </c>
      <c r="AG28" s="918" t="s">
        <v>1768</v>
      </c>
      <c r="AH28" s="918" t="s">
        <v>1769</v>
      </c>
      <c r="AI28" s="866">
        <f t="shared" si="3"/>
        <v>0.3</v>
      </c>
      <c r="AJ28" s="866">
        <v>1</v>
      </c>
      <c r="AK28" s="919" t="s">
        <v>1770</v>
      </c>
      <c r="AL28" s="919" t="s">
        <v>1769</v>
      </c>
      <c r="AM28" s="864">
        <f t="shared" si="4"/>
        <v>0.3</v>
      </c>
      <c r="AN28" s="920">
        <v>0</v>
      </c>
      <c r="AO28" s="921" t="s">
        <v>1771</v>
      </c>
      <c r="AP28" s="922" t="s">
        <v>1763</v>
      </c>
      <c r="AQ28" s="866">
        <f t="shared" si="5"/>
        <v>0.3</v>
      </c>
      <c r="AR28" s="923">
        <v>0</v>
      </c>
      <c r="AS28" s="913" t="s">
        <v>1764</v>
      </c>
      <c r="AT28" s="924"/>
    </row>
    <row r="29" spans="1:46" ht="108" customHeight="1">
      <c r="A29" s="1570"/>
      <c r="B29" s="1570"/>
      <c r="C29" s="1571"/>
      <c r="D29" s="840">
        <v>14.3</v>
      </c>
      <c r="E29" s="820" t="s">
        <v>1772</v>
      </c>
      <c r="F29" s="906">
        <v>0.02</v>
      </c>
      <c r="G29" s="821" t="s">
        <v>537</v>
      </c>
      <c r="H29" s="821" t="s">
        <v>532</v>
      </c>
      <c r="I29" s="857">
        <v>1</v>
      </c>
      <c r="J29" s="829">
        <f t="shared" si="17"/>
        <v>1</v>
      </c>
      <c r="K29" s="925">
        <f t="shared" si="18"/>
        <v>1</v>
      </c>
      <c r="L29" s="858">
        <v>1</v>
      </c>
      <c r="M29" s="859">
        <f t="shared" si="19"/>
        <v>1</v>
      </c>
      <c r="N29" s="828">
        <f t="shared" si="20"/>
        <v>1</v>
      </c>
      <c r="O29" s="857">
        <v>1</v>
      </c>
      <c r="P29" s="829">
        <f t="shared" si="21"/>
        <v>1</v>
      </c>
      <c r="Q29" s="828">
        <f t="shared" si="22"/>
        <v>1</v>
      </c>
      <c r="R29" s="858">
        <v>1</v>
      </c>
      <c r="S29" s="859">
        <f t="shared" si="23"/>
        <v>1</v>
      </c>
      <c r="T29" s="828">
        <f t="shared" si="0"/>
        <v>1</v>
      </c>
      <c r="U29" s="832">
        <f>SUM(I29,L29,O29,R29)/4</f>
        <v>1</v>
      </c>
      <c r="V29" s="860">
        <f>SUM(J29,M29,P29,S29)/4</f>
        <v>1</v>
      </c>
      <c r="W29" s="832">
        <f t="shared" si="24"/>
        <v>1</v>
      </c>
      <c r="X29" s="832">
        <f t="shared" si="25"/>
        <v>0.02</v>
      </c>
      <c r="Y29" s="915" t="s">
        <v>1773</v>
      </c>
      <c r="Z29" s="916" t="s">
        <v>1759</v>
      </c>
      <c r="AA29" s="916" t="s">
        <v>1774</v>
      </c>
      <c r="AB29" s="821" t="s">
        <v>542</v>
      </c>
      <c r="AC29" s="910" t="s">
        <v>1080</v>
      </c>
      <c r="AD29" s="917" t="s">
        <v>1767</v>
      </c>
      <c r="AE29" s="864">
        <f t="shared" si="26"/>
        <v>1</v>
      </c>
      <c r="AF29" s="864">
        <v>1</v>
      </c>
      <c r="AG29" s="838" t="s">
        <v>1775</v>
      </c>
      <c r="AH29" s="918" t="s">
        <v>1769</v>
      </c>
      <c r="AI29" s="866">
        <f t="shared" si="3"/>
        <v>1</v>
      </c>
      <c r="AJ29" s="866">
        <v>1</v>
      </c>
      <c r="AK29" s="842" t="s">
        <v>1776</v>
      </c>
      <c r="AL29" s="919" t="s">
        <v>1769</v>
      </c>
      <c r="AM29" s="864">
        <f t="shared" si="4"/>
        <v>1</v>
      </c>
      <c r="AN29" s="922">
        <v>1</v>
      </c>
      <c r="AO29" s="926" t="s">
        <v>1777</v>
      </c>
      <c r="AP29" s="922" t="s">
        <v>1763</v>
      </c>
      <c r="AQ29" s="866">
        <f t="shared" si="5"/>
        <v>1</v>
      </c>
      <c r="AR29" s="923">
        <v>1</v>
      </c>
      <c r="AS29" s="927" t="s">
        <v>1778</v>
      </c>
      <c r="AT29" s="842" t="s">
        <v>1763</v>
      </c>
    </row>
    <row r="30" spans="1:46" ht="146.65" customHeight="1">
      <c r="A30" s="1570"/>
      <c r="B30" s="1570"/>
      <c r="C30" s="1571"/>
      <c r="D30" s="840">
        <v>14.4</v>
      </c>
      <c r="E30" s="848" t="s">
        <v>1779</v>
      </c>
      <c r="F30" s="906">
        <v>0.03</v>
      </c>
      <c r="G30" s="821" t="s">
        <v>537</v>
      </c>
      <c r="H30" s="821" t="s">
        <v>532</v>
      </c>
      <c r="I30" s="857">
        <v>0.15</v>
      </c>
      <c r="J30" s="907">
        <f t="shared" si="17"/>
        <v>0</v>
      </c>
      <c r="K30" s="851">
        <f t="shared" si="18"/>
        <v>0</v>
      </c>
      <c r="L30" s="858">
        <v>0.15</v>
      </c>
      <c r="M30" s="843">
        <f t="shared" si="19"/>
        <v>0</v>
      </c>
      <c r="N30" s="825">
        <f t="shared" si="20"/>
        <v>0</v>
      </c>
      <c r="O30" s="857">
        <v>0.2</v>
      </c>
      <c r="P30" s="907">
        <f t="shared" si="21"/>
        <v>1</v>
      </c>
      <c r="Q30" s="828">
        <f t="shared" si="22"/>
        <v>5</v>
      </c>
      <c r="R30" s="858">
        <v>0.2</v>
      </c>
      <c r="S30" s="843">
        <f t="shared" si="23"/>
        <v>0</v>
      </c>
      <c r="T30" s="828">
        <f t="shared" si="0"/>
        <v>0</v>
      </c>
      <c r="U30" s="908">
        <f t="shared" ref="U30:V38" si="27">SUM(I30,L30,O30,R30)</f>
        <v>0.7</v>
      </c>
      <c r="V30" s="909">
        <f t="shared" si="27"/>
        <v>1</v>
      </c>
      <c r="W30" s="832">
        <f t="shared" si="24"/>
        <v>1</v>
      </c>
      <c r="X30" s="832">
        <f t="shared" si="25"/>
        <v>0.03</v>
      </c>
      <c r="Y30" s="820" t="s">
        <v>1780</v>
      </c>
      <c r="Z30" s="820" t="s">
        <v>1781</v>
      </c>
      <c r="AA30" s="820" t="s">
        <v>1782</v>
      </c>
      <c r="AB30" s="821" t="s">
        <v>542</v>
      </c>
      <c r="AC30" s="910" t="s">
        <v>1783</v>
      </c>
      <c r="AD30" s="917" t="s">
        <v>1784</v>
      </c>
      <c r="AE30" s="864">
        <f t="shared" si="26"/>
        <v>0.15</v>
      </c>
      <c r="AF30" s="837">
        <v>0</v>
      </c>
      <c r="AG30" s="838" t="s">
        <v>1785</v>
      </c>
      <c r="AH30" s="918" t="s">
        <v>1786</v>
      </c>
      <c r="AI30" s="866">
        <f t="shared" si="3"/>
        <v>0.15</v>
      </c>
      <c r="AJ30" s="839">
        <v>0</v>
      </c>
      <c r="AK30" s="842" t="s">
        <v>1787</v>
      </c>
      <c r="AL30" s="919" t="s">
        <v>1786</v>
      </c>
      <c r="AM30" s="864">
        <f t="shared" si="4"/>
        <v>0.2</v>
      </c>
      <c r="AN30" s="928">
        <v>1</v>
      </c>
      <c r="AO30" s="929" t="s">
        <v>1788</v>
      </c>
      <c r="AP30" s="918" t="s">
        <v>1786</v>
      </c>
      <c r="AQ30" s="866">
        <f t="shared" si="5"/>
        <v>0.2</v>
      </c>
      <c r="AR30" s="839">
        <v>0</v>
      </c>
      <c r="AS30" s="913" t="s">
        <v>1764</v>
      </c>
      <c r="AT30" s="842"/>
    </row>
    <row r="31" spans="1:46" ht="67.7" customHeight="1">
      <c r="A31" s="1570"/>
      <c r="B31" s="1570"/>
      <c r="C31" s="1571"/>
      <c r="D31" s="840">
        <v>14.5</v>
      </c>
      <c r="E31" s="821" t="s">
        <v>1789</v>
      </c>
      <c r="F31" s="906">
        <v>0.03</v>
      </c>
      <c r="G31" s="821" t="s">
        <v>537</v>
      </c>
      <c r="H31" s="821" t="s">
        <v>532</v>
      </c>
      <c r="I31" s="857">
        <v>0.1</v>
      </c>
      <c r="J31" s="829">
        <f t="shared" si="17"/>
        <v>0.5</v>
      </c>
      <c r="K31" s="851">
        <f t="shared" si="18"/>
        <v>5</v>
      </c>
      <c r="L31" s="858">
        <v>0.1</v>
      </c>
      <c r="M31" s="859">
        <f t="shared" si="19"/>
        <v>0</v>
      </c>
      <c r="N31" s="825">
        <f t="shared" si="20"/>
        <v>0</v>
      </c>
      <c r="O31" s="857">
        <v>0.15</v>
      </c>
      <c r="P31" s="829">
        <f t="shared" si="21"/>
        <v>1</v>
      </c>
      <c r="Q31" s="828">
        <f t="shared" si="22"/>
        <v>6.666666666666667</v>
      </c>
      <c r="R31" s="858">
        <v>0.15</v>
      </c>
      <c r="S31" s="859">
        <f t="shared" si="23"/>
        <v>0</v>
      </c>
      <c r="T31" s="828">
        <f t="shared" si="0"/>
        <v>0</v>
      </c>
      <c r="U31" s="832">
        <f t="shared" si="27"/>
        <v>0.5</v>
      </c>
      <c r="V31" s="860">
        <f t="shared" si="27"/>
        <v>1.5</v>
      </c>
      <c r="W31" s="832">
        <f t="shared" si="24"/>
        <v>1</v>
      </c>
      <c r="X31" s="832">
        <f t="shared" si="25"/>
        <v>0.03</v>
      </c>
      <c r="Y31" s="915" t="s">
        <v>1790</v>
      </c>
      <c r="Z31" s="916" t="s">
        <v>1791</v>
      </c>
      <c r="AA31" s="916" t="s">
        <v>1792</v>
      </c>
      <c r="AB31" s="821" t="s">
        <v>542</v>
      </c>
      <c r="AC31" s="910" t="s">
        <v>1783</v>
      </c>
      <c r="AD31" s="917" t="s">
        <v>1793</v>
      </c>
      <c r="AE31" s="864">
        <f t="shared" si="26"/>
        <v>0.1</v>
      </c>
      <c r="AF31" s="864">
        <v>0.5</v>
      </c>
      <c r="AG31" s="838" t="s">
        <v>1794</v>
      </c>
      <c r="AH31" s="918" t="s">
        <v>1795</v>
      </c>
      <c r="AI31" s="866">
        <f t="shared" si="3"/>
        <v>0.1</v>
      </c>
      <c r="AJ31" s="866">
        <v>0</v>
      </c>
      <c r="AK31" s="919" t="s">
        <v>1796</v>
      </c>
      <c r="AL31" s="919" t="s">
        <v>1795</v>
      </c>
      <c r="AM31" s="864">
        <f t="shared" si="4"/>
        <v>0.15</v>
      </c>
      <c r="AN31" s="920">
        <v>1</v>
      </c>
      <c r="AO31" s="922" t="s">
        <v>1797</v>
      </c>
      <c r="AP31" s="918" t="s">
        <v>1795</v>
      </c>
      <c r="AQ31" s="866">
        <f t="shared" si="5"/>
        <v>0.15</v>
      </c>
      <c r="AR31" s="923">
        <v>0</v>
      </c>
      <c r="AS31" s="913" t="s">
        <v>1764</v>
      </c>
      <c r="AT31" s="924"/>
    </row>
    <row r="32" spans="1:46" ht="67.7" customHeight="1" outlineLevel="1">
      <c r="A32" s="1570"/>
      <c r="B32" s="1570"/>
      <c r="C32" s="1571"/>
      <c r="D32" s="840">
        <v>14.6</v>
      </c>
      <c r="E32" s="821" t="s">
        <v>1798</v>
      </c>
      <c r="F32" s="906">
        <v>0.03</v>
      </c>
      <c r="G32" s="821" t="s">
        <v>537</v>
      </c>
      <c r="H32" s="821" t="s">
        <v>532</v>
      </c>
      <c r="I32" s="857">
        <v>0.1</v>
      </c>
      <c r="J32" s="829">
        <f t="shared" si="17"/>
        <v>9.0899999999999995E-2</v>
      </c>
      <c r="K32" s="851">
        <f t="shared" si="18"/>
        <v>0.90899999999999992</v>
      </c>
      <c r="L32" s="858">
        <v>0.1</v>
      </c>
      <c r="M32" s="859">
        <f t="shared" si="19"/>
        <v>9.0899999999999995E-2</v>
      </c>
      <c r="N32" s="825">
        <f t="shared" si="20"/>
        <v>0.90899999999999992</v>
      </c>
      <c r="O32" s="857">
        <v>0.15</v>
      </c>
      <c r="P32" s="829">
        <f t="shared" si="21"/>
        <v>0.25</v>
      </c>
      <c r="Q32" s="828">
        <f t="shared" si="22"/>
        <v>1.6666666666666667</v>
      </c>
      <c r="R32" s="858">
        <v>0.15</v>
      </c>
      <c r="S32" s="859">
        <f t="shared" si="23"/>
        <v>0.625</v>
      </c>
      <c r="T32" s="828">
        <f t="shared" si="0"/>
        <v>4.166666666666667</v>
      </c>
      <c r="U32" s="832">
        <f t="shared" si="27"/>
        <v>0.5</v>
      </c>
      <c r="V32" s="860">
        <f t="shared" si="27"/>
        <v>1.0568</v>
      </c>
      <c r="W32" s="832">
        <f t="shared" si="24"/>
        <v>1</v>
      </c>
      <c r="X32" s="832">
        <f t="shared" si="25"/>
        <v>0.03</v>
      </c>
      <c r="Y32" s="915" t="s">
        <v>1799</v>
      </c>
      <c r="Z32" s="916" t="s">
        <v>1800</v>
      </c>
      <c r="AA32" s="916" t="s">
        <v>1792</v>
      </c>
      <c r="AB32" s="821" t="s">
        <v>542</v>
      </c>
      <c r="AC32" s="910" t="s">
        <v>1783</v>
      </c>
      <c r="AD32" s="917" t="s">
        <v>1793</v>
      </c>
      <c r="AE32" s="864">
        <f t="shared" si="26"/>
        <v>0.1</v>
      </c>
      <c r="AF32" s="864">
        <v>9.0899999999999995E-2</v>
      </c>
      <c r="AG32" s="838" t="s">
        <v>1801</v>
      </c>
      <c r="AH32" s="918" t="s">
        <v>1795</v>
      </c>
      <c r="AI32" s="866">
        <f t="shared" si="3"/>
        <v>0.1</v>
      </c>
      <c r="AJ32" s="866">
        <v>9.0899999999999995E-2</v>
      </c>
      <c r="AK32" s="842" t="s">
        <v>1801</v>
      </c>
      <c r="AL32" s="919" t="s">
        <v>1795</v>
      </c>
      <c r="AM32" s="864">
        <f t="shared" si="4"/>
        <v>0.15</v>
      </c>
      <c r="AN32" s="920">
        <v>0.25</v>
      </c>
      <c r="AO32" s="922" t="s">
        <v>1802</v>
      </c>
      <c r="AP32" s="918" t="s">
        <v>1795</v>
      </c>
      <c r="AQ32" s="866">
        <f t="shared" si="5"/>
        <v>0.15</v>
      </c>
      <c r="AR32" s="923">
        <v>0.625</v>
      </c>
      <c r="AS32" s="930" t="s">
        <v>1803</v>
      </c>
      <c r="AT32" s="919" t="s">
        <v>1795</v>
      </c>
    </row>
    <row r="33" spans="1:53" ht="99.2" customHeight="1">
      <c r="A33" s="1570"/>
      <c r="B33" s="1570"/>
      <c r="C33" s="1571"/>
      <c r="D33" s="840">
        <v>14.7</v>
      </c>
      <c r="E33" s="821" t="s">
        <v>1804</v>
      </c>
      <c r="F33" s="906">
        <v>0.03</v>
      </c>
      <c r="G33" s="821" t="s">
        <v>537</v>
      </c>
      <c r="H33" s="821" t="s">
        <v>532</v>
      </c>
      <c r="I33" s="857">
        <v>0.1</v>
      </c>
      <c r="J33" s="829">
        <f t="shared" si="17"/>
        <v>0.15710000000000002</v>
      </c>
      <c r="K33" s="851">
        <f t="shared" si="18"/>
        <v>1.5710000000000002</v>
      </c>
      <c r="L33" s="858">
        <v>0.1</v>
      </c>
      <c r="M33" s="859">
        <f t="shared" si="19"/>
        <v>0.15710000000000002</v>
      </c>
      <c r="N33" s="825">
        <f t="shared" si="20"/>
        <v>1.5710000000000002</v>
      </c>
      <c r="O33" s="857">
        <v>0.15</v>
      </c>
      <c r="P33" s="829">
        <f t="shared" si="21"/>
        <v>0.06</v>
      </c>
      <c r="Q33" s="828">
        <f t="shared" si="22"/>
        <v>0.4</v>
      </c>
      <c r="R33" s="858">
        <v>0.15</v>
      </c>
      <c r="S33" s="859">
        <f t="shared" si="23"/>
        <v>0</v>
      </c>
      <c r="T33" s="828">
        <f t="shared" si="0"/>
        <v>0</v>
      </c>
      <c r="U33" s="832">
        <f t="shared" si="27"/>
        <v>0.5</v>
      </c>
      <c r="V33" s="860">
        <f t="shared" si="27"/>
        <v>0.37420000000000003</v>
      </c>
      <c r="W33" s="832">
        <f t="shared" si="24"/>
        <v>0.74840000000000007</v>
      </c>
      <c r="X33" s="832">
        <f t="shared" si="25"/>
        <v>2.2452E-2</v>
      </c>
      <c r="Y33" s="915" t="s">
        <v>1805</v>
      </c>
      <c r="Z33" s="916" t="s">
        <v>1806</v>
      </c>
      <c r="AA33" s="916" t="s">
        <v>1792</v>
      </c>
      <c r="AB33" s="821" t="s">
        <v>542</v>
      </c>
      <c r="AC33" s="910" t="s">
        <v>1783</v>
      </c>
      <c r="AD33" s="917" t="s">
        <v>1793</v>
      </c>
      <c r="AE33" s="864">
        <f t="shared" si="26"/>
        <v>0.1</v>
      </c>
      <c r="AF33" s="864">
        <v>0.15710000000000002</v>
      </c>
      <c r="AG33" s="918" t="s">
        <v>1807</v>
      </c>
      <c r="AH33" s="918" t="s">
        <v>1808</v>
      </c>
      <c r="AI33" s="866">
        <f t="shared" si="3"/>
        <v>0.1</v>
      </c>
      <c r="AJ33" s="866">
        <v>0.15710000000000002</v>
      </c>
      <c r="AK33" s="919" t="s">
        <v>1807</v>
      </c>
      <c r="AL33" s="919" t="s">
        <v>1808</v>
      </c>
      <c r="AM33" s="864">
        <f t="shared" si="4"/>
        <v>0.15</v>
      </c>
      <c r="AN33" s="920">
        <v>0.06</v>
      </c>
      <c r="AO33" s="922" t="s">
        <v>1809</v>
      </c>
      <c r="AP33" s="918" t="s">
        <v>1808</v>
      </c>
      <c r="AQ33" s="866">
        <f t="shared" si="5"/>
        <v>0.15</v>
      </c>
      <c r="AR33" s="923">
        <v>0</v>
      </c>
      <c r="AS33" s="930" t="s">
        <v>1810</v>
      </c>
      <c r="AT33" s="919" t="s">
        <v>1808</v>
      </c>
    </row>
    <row r="34" spans="1:53" ht="203.65" customHeight="1">
      <c r="A34" s="1570"/>
      <c r="B34" s="1570"/>
      <c r="C34" s="1571"/>
      <c r="D34" s="840">
        <v>14.8</v>
      </c>
      <c r="E34" s="821" t="s">
        <v>1811</v>
      </c>
      <c r="F34" s="906">
        <v>0.03</v>
      </c>
      <c r="G34" s="821" t="s">
        <v>537</v>
      </c>
      <c r="H34" s="821" t="s">
        <v>532</v>
      </c>
      <c r="I34" s="857">
        <v>0.2</v>
      </c>
      <c r="J34" s="829">
        <f t="shared" si="17"/>
        <v>0.43659999999999999</v>
      </c>
      <c r="K34" s="851">
        <f t="shared" si="18"/>
        <v>2.1829999999999998</v>
      </c>
      <c r="L34" s="858">
        <v>0.2</v>
      </c>
      <c r="M34" s="859">
        <f t="shared" si="19"/>
        <v>0.41200000000000003</v>
      </c>
      <c r="N34" s="825">
        <f t="shared" si="20"/>
        <v>2.06</v>
      </c>
      <c r="O34" s="857">
        <v>0.2</v>
      </c>
      <c r="P34" s="829">
        <f t="shared" si="21"/>
        <v>0.4</v>
      </c>
      <c r="Q34" s="828">
        <f t="shared" si="22"/>
        <v>2</v>
      </c>
      <c r="R34" s="858">
        <v>0.2</v>
      </c>
      <c r="S34" s="859">
        <f t="shared" si="23"/>
        <v>0.34499999999999997</v>
      </c>
      <c r="T34" s="828">
        <f t="shared" si="0"/>
        <v>1.7249999999999999</v>
      </c>
      <c r="U34" s="832">
        <f t="shared" si="27"/>
        <v>0.8</v>
      </c>
      <c r="V34" s="860">
        <f t="shared" si="27"/>
        <v>1.5936000000000001</v>
      </c>
      <c r="W34" s="832">
        <f t="shared" si="24"/>
        <v>1</v>
      </c>
      <c r="X34" s="832">
        <f t="shared" si="25"/>
        <v>0.03</v>
      </c>
      <c r="Y34" s="915" t="s">
        <v>1812</v>
      </c>
      <c r="Z34" s="915" t="s">
        <v>1813</v>
      </c>
      <c r="AA34" s="915" t="s">
        <v>1782</v>
      </c>
      <c r="AB34" s="821" t="s">
        <v>542</v>
      </c>
      <c r="AC34" s="931" t="s">
        <v>1814</v>
      </c>
      <c r="AD34" s="917" t="s">
        <v>1815</v>
      </c>
      <c r="AE34" s="864">
        <f t="shared" si="26"/>
        <v>0.2</v>
      </c>
      <c r="AF34" s="864">
        <v>0.43659999999999999</v>
      </c>
      <c r="AG34" s="838" t="s">
        <v>1816</v>
      </c>
      <c r="AH34" s="918" t="s">
        <v>1817</v>
      </c>
      <c r="AI34" s="866">
        <f t="shared" si="3"/>
        <v>0.2</v>
      </c>
      <c r="AJ34" s="923">
        <v>0.41200000000000003</v>
      </c>
      <c r="AK34" s="842" t="s">
        <v>1818</v>
      </c>
      <c r="AL34" s="919" t="s">
        <v>1817</v>
      </c>
      <c r="AM34" s="864">
        <f t="shared" si="4"/>
        <v>0.2</v>
      </c>
      <c r="AN34" s="920">
        <v>0.4</v>
      </c>
      <c r="AO34" s="932" t="s">
        <v>1819</v>
      </c>
      <c r="AP34" s="933" t="s">
        <v>1817</v>
      </c>
      <c r="AQ34" s="866">
        <f t="shared" si="5"/>
        <v>0.2</v>
      </c>
      <c r="AR34" s="923">
        <v>0.34499999999999997</v>
      </c>
      <c r="AS34" s="930" t="s">
        <v>1820</v>
      </c>
      <c r="AT34" s="842" t="s">
        <v>1763</v>
      </c>
    </row>
    <row r="35" spans="1:53" ht="67.7" customHeight="1">
      <c r="A35" s="1570"/>
      <c r="B35" s="1570"/>
      <c r="C35" s="1571"/>
      <c r="D35" s="880">
        <v>14.9</v>
      </c>
      <c r="E35" s="821" t="s">
        <v>1821</v>
      </c>
      <c r="F35" s="906">
        <v>0.02</v>
      </c>
      <c r="G35" s="821" t="s">
        <v>538</v>
      </c>
      <c r="H35" s="821" t="s">
        <v>532</v>
      </c>
      <c r="I35" s="823">
        <v>1</v>
      </c>
      <c r="J35" s="934">
        <f t="shared" si="17"/>
        <v>1</v>
      </c>
      <c r="K35" s="851">
        <f t="shared" si="18"/>
        <v>1</v>
      </c>
      <c r="L35" s="826">
        <v>3</v>
      </c>
      <c r="M35" s="935">
        <f t="shared" si="19"/>
        <v>1</v>
      </c>
      <c r="N35" s="825">
        <f t="shared" si="20"/>
        <v>0.33333333333333331</v>
      </c>
      <c r="O35" s="823">
        <v>3</v>
      </c>
      <c r="P35" s="934">
        <f t="shared" si="21"/>
        <v>2</v>
      </c>
      <c r="Q35" s="828">
        <f t="shared" si="22"/>
        <v>0.66666666666666663</v>
      </c>
      <c r="R35" s="826">
        <v>3</v>
      </c>
      <c r="S35" s="936">
        <f t="shared" si="23"/>
        <v>3</v>
      </c>
      <c r="T35" s="828">
        <f t="shared" si="0"/>
        <v>1</v>
      </c>
      <c r="U35" s="937">
        <f t="shared" si="27"/>
        <v>10</v>
      </c>
      <c r="V35" s="831">
        <f t="shared" si="27"/>
        <v>7</v>
      </c>
      <c r="W35" s="832">
        <f t="shared" si="24"/>
        <v>0.7</v>
      </c>
      <c r="X35" s="832">
        <f t="shared" si="25"/>
        <v>1.3999999999999999E-2</v>
      </c>
      <c r="Y35" s="915" t="s">
        <v>1822</v>
      </c>
      <c r="Z35" s="915" t="s">
        <v>1823</v>
      </c>
      <c r="AA35" s="915" t="s">
        <v>1824</v>
      </c>
      <c r="AB35" s="821" t="s">
        <v>542</v>
      </c>
      <c r="AC35" s="938"/>
      <c r="AD35" s="917" t="s">
        <v>1825</v>
      </c>
      <c r="AE35" s="939">
        <f t="shared" si="26"/>
        <v>1</v>
      </c>
      <c r="AF35" s="939">
        <v>1</v>
      </c>
      <c r="AG35" s="855" t="s">
        <v>1826</v>
      </c>
      <c r="AH35" s="888" t="s">
        <v>1827</v>
      </c>
      <c r="AI35" s="940">
        <f t="shared" si="3"/>
        <v>3</v>
      </c>
      <c r="AJ35" s="940">
        <v>1</v>
      </c>
      <c r="AK35" s="880" t="s">
        <v>1828</v>
      </c>
      <c r="AL35" s="889" t="s">
        <v>1827</v>
      </c>
      <c r="AM35" s="939">
        <f t="shared" si="4"/>
        <v>3</v>
      </c>
      <c r="AN35" s="941">
        <v>2</v>
      </c>
      <c r="AO35" s="922" t="s">
        <v>1829</v>
      </c>
      <c r="AP35" s="888" t="s">
        <v>1827</v>
      </c>
      <c r="AQ35" s="940">
        <f t="shared" si="5"/>
        <v>3</v>
      </c>
      <c r="AR35" s="942">
        <v>3</v>
      </c>
      <c r="AS35" s="930" t="s">
        <v>1830</v>
      </c>
      <c r="AT35" s="889" t="s">
        <v>1827</v>
      </c>
    </row>
    <row r="36" spans="1:53" ht="158.1" customHeight="1">
      <c r="A36" s="1570"/>
      <c r="B36" s="1570"/>
      <c r="C36" s="1571"/>
      <c r="D36" s="943" t="s">
        <v>1831</v>
      </c>
      <c r="E36" s="821" t="s">
        <v>1832</v>
      </c>
      <c r="F36" s="906">
        <v>0.02</v>
      </c>
      <c r="G36" s="821" t="s">
        <v>538</v>
      </c>
      <c r="H36" s="821" t="s">
        <v>532</v>
      </c>
      <c r="I36" s="823">
        <v>4</v>
      </c>
      <c r="J36" s="934">
        <f t="shared" si="17"/>
        <v>5</v>
      </c>
      <c r="K36" s="925">
        <f t="shared" si="18"/>
        <v>1.25</v>
      </c>
      <c r="L36" s="826">
        <v>12</v>
      </c>
      <c r="M36" s="935">
        <f t="shared" si="19"/>
        <v>9</v>
      </c>
      <c r="N36" s="828">
        <f t="shared" si="20"/>
        <v>0.75</v>
      </c>
      <c r="O36" s="823">
        <v>12</v>
      </c>
      <c r="P36" s="934">
        <f t="shared" si="21"/>
        <v>11</v>
      </c>
      <c r="Q36" s="828">
        <f t="shared" si="22"/>
        <v>0.91666666666666663</v>
      </c>
      <c r="R36" s="826">
        <v>12</v>
      </c>
      <c r="S36" s="936">
        <f t="shared" si="23"/>
        <v>8</v>
      </c>
      <c r="T36" s="828">
        <f t="shared" si="0"/>
        <v>0.66666666666666663</v>
      </c>
      <c r="U36" s="937">
        <f t="shared" si="27"/>
        <v>40</v>
      </c>
      <c r="V36" s="831">
        <f t="shared" si="27"/>
        <v>33</v>
      </c>
      <c r="W36" s="832">
        <f t="shared" si="24"/>
        <v>0.82499999999999996</v>
      </c>
      <c r="X36" s="832">
        <f t="shared" si="25"/>
        <v>1.6500000000000001E-2</v>
      </c>
      <c r="Y36" s="916" t="s">
        <v>1833</v>
      </c>
      <c r="Z36" s="916" t="s">
        <v>1834</v>
      </c>
      <c r="AA36" s="916" t="s">
        <v>1835</v>
      </c>
      <c r="AB36" s="821" t="s">
        <v>542</v>
      </c>
      <c r="AC36" s="938"/>
      <c r="AD36" s="917" t="s">
        <v>1836</v>
      </c>
      <c r="AE36" s="939">
        <f t="shared" si="26"/>
        <v>4</v>
      </c>
      <c r="AF36" s="944">
        <v>5</v>
      </c>
      <c r="AG36" s="855" t="s">
        <v>1837</v>
      </c>
      <c r="AH36" s="918" t="s">
        <v>1838</v>
      </c>
      <c r="AI36" s="940">
        <f t="shared" si="3"/>
        <v>12</v>
      </c>
      <c r="AJ36" s="940">
        <v>9</v>
      </c>
      <c r="AK36" s="945" t="s">
        <v>1839</v>
      </c>
      <c r="AL36" s="919" t="s">
        <v>1838</v>
      </c>
      <c r="AM36" s="939">
        <f t="shared" si="4"/>
        <v>12</v>
      </c>
      <c r="AN36" s="941">
        <v>11</v>
      </c>
      <c r="AO36" s="922" t="s">
        <v>1840</v>
      </c>
      <c r="AP36" s="918" t="s">
        <v>1838</v>
      </c>
      <c r="AQ36" s="940">
        <f t="shared" si="5"/>
        <v>12</v>
      </c>
      <c r="AR36" s="942">
        <v>8</v>
      </c>
      <c r="AS36" s="930" t="s">
        <v>1841</v>
      </c>
      <c r="AT36" s="919" t="s">
        <v>1838</v>
      </c>
    </row>
    <row r="37" spans="1:53" ht="67.7" customHeight="1">
      <c r="A37" s="1570"/>
      <c r="B37" s="1570"/>
      <c r="C37" s="1571"/>
      <c r="D37" s="943" t="s">
        <v>1842</v>
      </c>
      <c r="E37" s="821" t="s">
        <v>1843</v>
      </c>
      <c r="F37" s="906">
        <v>0.03</v>
      </c>
      <c r="G37" s="821" t="s">
        <v>538</v>
      </c>
      <c r="H37" s="821" t="s">
        <v>532</v>
      </c>
      <c r="I37" s="823">
        <v>6</v>
      </c>
      <c r="J37" s="934">
        <f t="shared" si="17"/>
        <v>12</v>
      </c>
      <c r="K37" s="925">
        <f t="shared" si="18"/>
        <v>2</v>
      </c>
      <c r="L37" s="826">
        <v>6</v>
      </c>
      <c r="M37" s="935">
        <f t="shared" si="19"/>
        <v>12</v>
      </c>
      <c r="N37" s="828">
        <f t="shared" si="20"/>
        <v>2</v>
      </c>
      <c r="O37" s="823">
        <v>6</v>
      </c>
      <c r="P37" s="934">
        <f t="shared" si="21"/>
        <v>12</v>
      </c>
      <c r="Q37" s="828">
        <f t="shared" si="22"/>
        <v>2</v>
      </c>
      <c r="R37" s="826">
        <v>6</v>
      </c>
      <c r="S37" s="936">
        <f t="shared" si="23"/>
        <v>0</v>
      </c>
      <c r="T37" s="828">
        <f t="shared" si="0"/>
        <v>0</v>
      </c>
      <c r="U37" s="937">
        <f t="shared" si="27"/>
        <v>24</v>
      </c>
      <c r="V37" s="831">
        <f t="shared" si="27"/>
        <v>36</v>
      </c>
      <c r="W37" s="832">
        <f t="shared" si="24"/>
        <v>1</v>
      </c>
      <c r="X37" s="832">
        <f t="shared" si="25"/>
        <v>0.03</v>
      </c>
      <c r="Y37" s="916" t="s">
        <v>1844</v>
      </c>
      <c r="Z37" s="916" t="s">
        <v>1845</v>
      </c>
      <c r="AA37" s="916" t="s">
        <v>1835</v>
      </c>
      <c r="AB37" s="821" t="s">
        <v>542</v>
      </c>
      <c r="AC37" s="938"/>
      <c r="AD37" s="917" t="s">
        <v>1836</v>
      </c>
      <c r="AE37" s="939">
        <f t="shared" si="26"/>
        <v>6</v>
      </c>
      <c r="AF37" s="939">
        <v>12</v>
      </c>
      <c r="AG37" s="855" t="s">
        <v>1846</v>
      </c>
      <c r="AH37" s="918" t="s">
        <v>1847</v>
      </c>
      <c r="AI37" s="940">
        <f t="shared" si="3"/>
        <v>6</v>
      </c>
      <c r="AJ37" s="940">
        <v>12</v>
      </c>
      <c r="AK37" s="880" t="s">
        <v>1846</v>
      </c>
      <c r="AL37" s="919" t="s">
        <v>1847</v>
      </c>
      <c r="AM37" s="939">
        <f t="shared" si="4"/>
        <v>6</v>
      </c>
      <c r="AN37" s="941">
        <v>12</v>
      </c>
      <c r="AO37" s="946" t="s">
        <v>1848</v>
      </c>
      <c r="AP37" s="918" t="s">
        <v>1847</v>
      </c>
      <c r="AQ37" s="940">
        <f t="shared" si="5"/>
        <v>6</v>
      </c>
      <c r="AR37" s="942">
        <v>0</v>
      </c>
      <c r="AS37" s="930" t="s">
        <v>1764</v>
      </c>
      <c r="AT37" s="924"/>
    </row>
    <row r="38" spans="1:53" ht="99.2" customHeight="1">
      <c r="A38" s="1570"/>
      <c r="B38" s="1570"/>
      <c r="C38" s="1571"/>
      <c r="D38" s="943" t="s">
        <v>1849</v>
      </c>
      <c r="E38" s="821" t="s">
        <v>1850</v>
      </c>
      <c r="F38" s="906">
        <v>0.03</v>
      </c>
      <c r="G38" s="821" t="s">
        <v>538</v>
      </c>
      <c r="H38" s="821" t="s">
        <v>532</v>
      </c>
      <c r="I38" s="823">
        <v>27</v>
      </c>
      <c r="J38" s="947">
        <f t="shared" si="17"/>
        <v>34</v>
      </c>
      <c r="K38" s="851">
        <f t="shared" si="18"/>
        <v>1.2592592592592593</v>
      </c>
      <c r="L38" s="826">
        <v>27</v>
      </c>
      <c r="M38" s="935">
        <f t="shared" si="19"/>
        <v>33</v>
      </c>
      <c r="N38" s="825">
        <f t="shared" si="20"/>
        <v>1.2222222222222223</v>
      </c>
      <c r="O38" s="823">
        <v>27</v>
      </c>
      <c r="P38" s="934">
        <f t="shared" si="21"/>
        <v>20</v>
      </c>
      <c r="Q38" s="828">
        <f t="shared" si="22"/>
        <v>0.7407407407407407</v>
      </c>
      <c r="R38" s="826">
        <v>27</v>
      </c>
      <c r="S38" s="936">
        <f t="shared" si="23"/>
        <v>24</v>
      </c>
      <c r="T38" s="828">
        <f t="shared" si="0"/>
        <v>0.88888888888888884</v>
      </c>
      <c r="U38" s="937">
        <f t="shared" si="27"/>
        <v>108</v>
      </c>
      <c r="V38" s="831">
        <f t="shared" si="27"/>
        <v>111</v>
      </c>
      <c r="W38" s="832">
        <f t="shared" si="24"/>
        <v>1</v>
      </c>
      <c r="X38" s="832">
        <f t="shared" si="25"/>
        <v>0.03</v>
      </c>
      <c r="Y38" s="916" t="s">
        <v>1851</v>
      </c>
      <c r="Z38" s="916" t="s">
        <v>1852</v>
      </c>
      <c r="AA38" s="916" t="s">
        <v>1835</v>
      </c>
      <c r="AB38" s="821" t="s">
        <v>542</v>
      </c>
      <c r="AC38" s="938"/>
      <c r="AD38" s="917" t="s">
        <v>1836</v>
      </c>
      <c r="AE38" s="939">
        <f t="shared" si="26"/>
        <v>27</v>
      </c>
      <c r="AF38" s="944">
        <v>34</v>
      </c>
      <c r="AG38" s="855" t="s">
        <v>1853</v>
      </c>
      <c r="AH38" s="918" t="s">
        <v>1854</v>
      </c>
      <c r="AI38" s="940">
        <v>27</v>
      </c>
      <c r="AJ38" s="940">
        <v>33</v>
      </c>
      <c r="AK38" s="856" t="s">
        <v>1855</v>
      </c>
      <c r="AL38" s="856" t="s">
        <v>1854</v>
      </c>
      <c r="AM38" s="939">
        <f t="shared" si="4"/>
        <v>27</v>
      </c>
      <c r="AN38" s="948">
        <v>20</v>
      </c>
      <c r="AO38" s="949" t="s">
        <v>1856</v>
      </c>
      <c r="AP38" s="949" t="s">
        <v>1854</v>
      </c>
      <c r="AQ38" s="940">
        <f t="shared" si="5"/>
        <v>27</v>
      </c>
      <c r="AR38" s="940">
        <v>24</v>
      </c>
      <c r="AS38" s="950" t="s">
        <v>1857</v>
      </c>
      <c r="AT38" s="950" t="s">
        <v>1854</v>
      </c>
    </row>
    <row r="39" spans="1:53" ht="97.5" customHeight="1">
      <c r="A39" s="1570"/>
      <c r="B39" s="1570"/>
      <c r="C39" s="1571"/>
      <c r="D39" s="840">
        <v>14.13</v>
      </c>
      <c r="E39" s="821" t="s">
        <v>1858</v>
      </c>
      <c r="F39" s="906">
        <v>0.02</v>
      </c>
      <c r="G39" s="821" t="s">
        <v>537</v>
      </c>
      <c r="H39" s="821" t="s">
        <v>531</v>
      </c>
      <c r="I39" s="857">
        <v>1</v>
      </c>
      <c r="J39" s="829">
        <f t="shared" si="17"/>
        <v>1</v>
      </c>
      <c r="K39" s="925">
        <f t="shared" si="18"/>
        <v>1</v>
      </c>
      <c r="L39" s="858">
        <v>1</v>
      </c>
      <c r="M39" s="859">
        <f t="shared" si="19"/>
        <v>1</v>
      </c>
      <c r="N39" s="828">
        <f t="shared" si="20"/>
        <v>1</v>
      </c>
      <c r="O39" s="857">
        <v>1</v>
      </c>
      <c r="P39" s="829">
        <f t="shared" si="21"/>
        <v>1</v>
      </c>
      <c r="Q39" s="828">
        <f t="shared" si="22"/>
        <v>1</v>
      </c>
      <c r="R39" s="858">
        <v>1</v>
      </c>
      <c r="S39" s="859">
        <f t="shared" si="23"/>
        <v>1</v>
      </c>
      <c r="T39" s="828">
        <f t="shared" si="0"/>
        <v>1</v>
      </c>
      <c r="U39" s="832">
        <f>SUM(I39,L39,O39,R39)/4</f>
        <v>1</v>
      </c>
      <c r="V39" s="860">
        <f>SUM(J39,M39,P39,S39)/4</f>
        <v>1</v>
      </c>
      <c r="W39" s="832">
        <f t="shared" si="24"/>
        <v>1</v>
      </c>
      <c r="X39" s="832">
        <f t="shared" si="25"/>
        <v>0.02</v>
      </c>
      <c r="Y39" s="916" t="s">
        <v>1859</v>
      </c>
      <c r="Z39" s="916" t="s">
        <v>1860</v>
      </c>
      <c r="AA39" s="916" t="s">
        <v>1861</v>
      </c>
      <c r="AB39" s="821" t="s">
        <v>542</v>
      </c>
      <c r="AC39" s="938"/>
      <c r="AD39" s="938"/>
      <c r="AE39" s="864">
        <f t="shared" si="26"/>
        <v>1</v>
      </c>
      <c r="AF39" s="864">
        <v>1</v>
      </c>
      <c r="AG39" s="838" t="s">
        <v>1862</v>
      </c>
      <c r="AH39" s="918" t="s">
        <v>1863</v>
      </c>
      <c r="AI39" s="866">
        <f t="shared" si="3"/>
        <v>1</v>
      </c>
      <c r="AJ39" s="866">
        <v>1</v>
      </c>
      <c r="AK39" s="856" t="s">
        <v>1864</v>
      </c>
      <c r="AL39" s="856" t="s">
        <v>1865</v>
      </c>
      <c r="AM39" s="864">
        <f t="shared" si="4"/>
        <v>1</v>
      </c>
      <c r="AN39" s="928">
        <v>1</v>
      </c>
      <c r="AO39" s="922" t="s">
        <v>1866</v>
      </c>
      <c r="AP39" s="922" t="s">
        <v>1763</v>
      </c>
      <c r="AQ39" s="866">
        <f t="shared" si="5"/>
        <v>1</v>
      </c>
      <c r="AR39" s="951">
        <v>1</v>
      </c>
      <c r="AS39" s="952" t="s">
        <v>1867</v>
      </c>
      <c r="AT39" s="842" t="s">
        <v>1763</v>
      </c>
    </row>
    <row r="40" spans="1:53" ht="67.7" customHeight="1">
      <c r="A40" s="1570"/>
      <c r="B40" s="1570"/>
      <c r="C40" s="1571"/>
      <c r="D40" s="953" t="s">
        <v>1868</v>
      </c>
      <c r="E40" s="821" t="s">
        <v>1869</v>
      </c>
      <c r="F40" s="906">
        <v>0.02</v>
      </c>
      <c r="G40" s="821" t="s">
        <v>537</v>
      </c>
      <c r="H40" s="821" t="s">
        <v>532</v>
      </c>
      <c r="I40" s="857">
        <v>7.0000000000000007E-2</v>
      </c>
      <c r="J40" s="829">
        <f t="shared" si="17"/>
        <v>0.15359999999999999</v>
      </c>
      <c r="K40" s="851">
        <f t="shared" si="18"/>
        <v>2.194285714285714</v>
      </c>
      <c r="L40" s="858">
        <v>0.13</v>
      </c>
      <c r="M40" s="859">
        <f t="shared" si="19"/>
        <v>0.1313</v>
      </c>
      <c r="N40" s="828">
        <f t="shared" si="20"/>
        <v>1.01</v>
      </c>
      <c r="O40" s="857">
        <v>0.13</v>
      </c>
      <c r="P40" s="829">
        <f t="shared" si="21"/>
        <v>0.6</v>
      </c>
      <c r="Q40" s="828">
        <f t="shared" si="22"/>
        <v>4.615384615384615</v>
      </c>
      <c r="R40" s="858">
        <v>7.0000000000000007E-2</v>
      </c>
      <c r="S40" s="859">
        <f t="shared" si="23"/>
        <v>0.73</v>
      </c>
      <c r="T40" s="828">
        <f t="shared" si="0"/>
        <v>10.428571428571427</v>
      </c>
      <c r="U40" s="832">
        <f>SUM(I40,L40,O40,R40)</f>
        <v>0.4</v>
      </c>
      <c r="V40" s="860">
        <f>SUM(J40,M40,P40,S40)</f>
        <v>1.6149</v>
      </c>
      <c r="W40" s="832">
        <f t="shared" si="24"/>
        <v>1</v>
      </c>
      <c r="X40" s="832">
        <f t="shared" si="25"/>
        <v>0.02</v>
      </c>
      <c r="Y40" s="916" t="s">
        <v>1870</v>
      </c>
      <c r="Z40" s="916" t="s">
        <v>1871</v>
      </c>
      <c r="AA40" s="916" t="s">
        <v>1872</v>
      </c>
      <c r="AB40" s="821" t="s">
        <v>542</v>
      </c>
      <c r="AC40" s="938"/>
      <c r="AD40" s="931" t="s">
        <v>1873</v>
      </c>
      <c r="AE40" s="864">
        <f t="shared" si="26"/>
        <v>7.0000000000000007E-2</v>
      </c>
      <c r="AF40" s="954">
        <v>0.15359999999999999</v>
      </c>
      <c r="AG40" s="918" t="s">
        <v>1874</v>
      </c>
      <c r="AH40" s="918" t="s">
        <v>1875</v>
      </c>
      <c r="AI40" s="866">
        <f t="shared" si="3"/>
        <v>0.13</v>
      </c>
      <c r="AJ40" s="872">
        <v>0.1313</v>
      </c>
      <c r="AK40" s="856" t="s">
        <v>1876</v>
      </c>
      <c r="AL40" s="856" t="s">
        <v>1865</v>
      </c>
      <c r="AM40" s="864">
        <f t="shared" si="4"/>
        <v>0.13</v>
      </c>
      <c r="AN40" s="928">
        <v>0.6</v>
      </c>
      <c r="AO40" s="922" t="s">
        <v>1877</v>
      </c>
      <c r="AP40" s="922" t="s">
        <v>1878</v>
      </c>
      <c r="AQ40" s="866">
        <f t="shared" si="5"/>
        <v>7.0000000000000007E-2</v>
      </c>
      <c r="AR40" s="923">
        <v>0.73</v>
      </c>
      <c r="AS40" s="856" t="s">
        <v>1879</v>
      </c>
      <c r="AT40" s="856" t="s">
        <v>1880</v>
      </c>
    </row>
    <row r="41" spans="1:53" ht="67.7" customHeight="1">
      <c r="A41" s="1570"/>
      <c r="B41" s="1570"/>
      <c r="C41" s="1571"/>
      <c r="D41" s="955">
        <v>14.15</v>
      </c>
      <c r="E41" s="821" t="s">
        <v>1881</v>
      </c>
      <c r="F41" s="906">
        <v>0.02</v>
      </c>
      <c r="G41" s="821" t="s">
        <v>538</v>
      </c>
      <c r="H41" s="821" t="s">
        <v>531</v>
      </c>
      <c r="I41" s="823">
        <v>15</v>
      </c>
      <c r="J41" s="934">
        <f t="shared" si="17"/>
        <v>8</v>
      </c>
      <c r="K41" s="851">
        <f>IF(ISERROR(I41/J41),"",(I41/J41))</f>
        <v>1.875</v>
      </c>
      <c r="L41" s="826">
        <v>15</v>
      </c>
      <c r="M41" s="935">
        <f t="shared" si="19"/>
        <v>8</v>
      </c>
      <c r="N41" s="825">
        <f>IF(ISERROR(L41/M41),"",(L41/M41))</f>
        <v>1.875</v>
      </c>
      <c r="O41" s="823">
        <v>15</v>
      </c>
      <c r="P41" s="934">
        <f t="shared" si="21"/>
        <v>11</v>
      </c>
      <c r="Q41" s="828">
        <f t="shared" si="22"/>
        <v>0.73333333333333328</v>
      </c>
      <c r="R41" s="826">
        <v>15</v>
      </c>
      <c r="S41" s="879">
        <f t="shared" si="23"/>
        <v>0.14779999999999999</v>
      </c>
      <c r="T41" s="828">
        <f t="shared" si="0"/>
        <v>9.853333333333332E-3</v>
      </c>
      <c r="U41" s="937">
        <f>SUM(I41,L41,O41,R41)/4</f>
        <v>15</v>
      </c>
      <c r="V41" s="956">
        <v>8</v>
      </c>
      <c r="W41" s="957">
        <f>IF(SUM(K41,N41,Q41,T41)/4&gt;1,1,SUM(K41,N41,Q41,T41)/4)</f>
        <v>1</v>
      </c>
      <c r="X41" s="870">
        <f t="shared" si="25"/>
        <v>0.02</v>
      </c>
      <c r="Y41" s="916" t="s">
        <v>1882</v>
      </c>
      <c r="Z41" s="916" t="s">
        <v>1883</v>
      </c>
      <c r="AA41" s="915" t="s">
        <v>1443</v>
      </c>
      <c r="AB41" s="821" t="s">
        <v>541</v>
      </c>
      <c r="AC41" s="938"/>
      <c r="AD41" s="938"/>
      <c r="AE41" s="939">
        <f t="shared" si="26"/>
        <v>15</v>
      </c>
      <c r="AF41" s="837">
        <v>8</v>
      </c>
      <c r="AG41" s="838" t="s">
        <v>1884</v>
      </c>
      <c r="AH41" s="918" t="s">
        <v>1885</v>
      </c>
      <c r="AI41" s="940">
        <f t="shared" si="3"/>
        <v>15</v>
      </c>
      <c r="AJ41" s="839">
        <v>8</v>
      </c>
      <c r="AK41" s="856" t="s">
        <v>1886</v>
      </c>
      <c r="AL41" s="856" t="s">
        <v>1865</v>
      </c>
      <c r="AM41" s="939">
        <f t="shared" si="4"/>
        <v>15</v>
      </c>
      <c r="AN41" s="958">
        <v>11</v>
      </c>
      <c r="AO41" s="959" t="s">
        <v>1887</v>
      </c>
      <c r="AP41" s="922" t="s">
        <v>1888</v>
      </c>
      <c r="AQ41" s="940">
        <f t="shared" si="5"/>
        <v>15</v>
      </c>
      <c r="AR41" s="960">
        <v>0.14779999999999999</v>
      </c>
      <c r="AS41" s="924" t="s">
        <v>1889</v>
      </c>
      <c r="AT41" s="842" t="s">
        <v>1890</v>
      </c>
    </row>
    <row r="42" spans="1:53" ht="67.7" customHeight="1">
      <c r="A42" s="1570"/>
      <c r="B42" s="1570"/>
      <c r="C42" s="1571"/>
      <c r="D42" s="840">
        <v>14.16</v>
      </c>
      <c r="E42" s="821" t="s">
        <v>1891</v>
      </c>
      <c r="F42" s="906">
        <v>0.02</v>
      </c>
      <c r="G42" s="821" t="s">
        <v>537</v>
      </c>
      <c r="H42" s="821" t="s">
        <v>531</v>
      </c>
      <c r="I42" s="857">
        <v>0.7</v>
      </c>
      <c r="J42" s="829">
        <f t="shared" si="17"/>
        <v>0.50619999999999998</v>
      </c>
      <c r="K42" s="851">
        <f>IF(ISERROR(J42/I42),"",(J42/I42))</f>
        <v>0.7231428571428572</v>
      </c>
      <c r="L42" s="858">
        <v>0.7</v>
      </c>
      <c r="M42" s="859">
        <f t="shared" si="19"/>
        <v>0.98569999999999991</v>
      </c>
      <c r="N42" s="825">
        <f>IF(ISERROR(M42/L42),"",(M42/L42))</f>
        <v>1.4081428571428571</v>
      </c>
      <c r="O42" s="857">
        <v>0.7</v>
      </c>
      <c r="P42" s="829">
        <f t="shared" si="21"/>
        <v>0.72</v>
      </c>
      <c r="Q42" s="828">
        <f t="shared" si="22"/>
        <v>1.0285714285714287</v>
      </c>
      <c r="R42" s="858">
        <v>0.7</v>
      </c>
      <c r="S42" s="859">
        <f t="shared" si="23"/>
        <v>0.71</v>
      </c>
      <c r="T42" s="828">
        <f t="shared" si="0"/>
        <v>1.0142857142857142</v>
      </c>
      <c r="U42" s="832">
        <f>SUM(I42,L42,O42,R42)/4</f>
        <v>0.7</v>
      </c>
      <c r="V42" s="860">
        <f>SUM(J42,M42,P42,S42)/4</f>
        <v>0.73047499999999999</v>
      </c>
      <c r="W42" s="832">
        <f>IF((IF(ISERROR(V42/U42),0,(V42/U42)))&gt;1,1,(IF(ISERROR(V42/U42),0,(V42/U42))))</f>
        <v>1</v>
      </c>
      <c r="X42" s="832">
        <f t="shared" si="25"/>
        <v>0.02</v>
      </c>
      <c r="Y42" s="916" t="s">
        <v>1892</v>
      </c>
      <c r="Z42" s="916" t="s">
        <v>1893</v>
      </c>
      <c r="AA42" s="916" t="s">
        <v>1894</v>
      </c>
      <c r="AB42" s="821" t="s">
        <v>542</v>
      </c>
      <c r="AC42" s="938"/>
      <c r="AD42" s="961" t="s">
        <v>1895</v>
      </c>
      <c r="AE42" s="864">
        <f>I42</f>
        <v>0.7</v>
      </c>
      <c r="AF42" s="954">
        <v>0.50619999999999998</v>
      </c>
      <c r="AG42" s="838" t="s">
        <v>1896</v>
      </c>
      <c r="AH42" s="962" t="s">
        <v>1897</v>
      </c>
      <c r="AI42" s="866">
        <f t="shared" si="3"/>
        <v>0.7</v>
      </c>
      <c r="AJ42" s="872">
        <v>0.98569999999999991</v>
      </c>
      <c r="AK42" s="840" t="s">
        <v>1898</v>
      </c>
      <c r="AL42" s="840" t="s">
        <v>1865</v>
      </c>
      <c r="AM42" s="864">
        <f t="shared" si="4"/>
        <v>0.7</v>
      </c>
      <c r="AN42" s="920">
        <v>0.72</v>
      </c>
      <c r="AO42" s="922" t="s">
        <v>1899</v>
      </c>
      <c r="AP42" s="922" t="s">
        <v>1900</v>
      </c>
      <c r="AQ42" s="866">
        <f t="shared" si="5"/>
        <v>0.7</v>
      </c>
      <c r="AR42" s="951">
        <v>0.71</v>
      </c>
      <c r="AS42" s="842" t="s">
        <v>1901</v>
      </c>
      <c r="AT42" s="842" t="s">
        <v>1902</v>
      </c>
    </row>
    <row r="43" spans="1:53" ht="30.75" customHeight="1">
      <c r="A43" s="963"/>
      <c r="B43" s="963"/>
      <c r="C43" s="847" t="s">
        <v>1755</v>
      </c>
      <c r="D43" s="1573"/>
      <c r="E43" s="1573"/>
      <c r="F43" s="1573"/>
      <c r="G43" s="1573"/>
      <c r="H43" s="1573"/>
      <c r="I43" s="1573"/>
      <c r="J43" s="1573"/>
      <c r="K43" s="1573"/>
      <c r="L43" s="1573"/>
      <c r="M43" s="1573"/>
      <c r="N43" s="1573"/>
      <c r="O43" s="1573"/>
      <c r="P43" s="1573"/>
      <c r="Q43" s="1573"/>
      <c r="R43" s="1573"/>
      <c r="S43" s="1573"/>
      <c r="T43" s="1573"/>
      <c r="U43" s="1573"/>
      <c r="V43" s="1573"/>
      <c r="W43" s="1573"/>
      <c r="X43" s="1573"/>
      <c r="Y43" s="1573"/>
      <c r="Z43" s="1573"/>
      <c r="AA43" s="1573"/>
      <c r="AB43" s="1573"/>
      <c r="AC43" s="1573"/>
      <c r="AD43" s="1573"/>
      <c r="AE43" s="1573">
        <f>I43</f>
        <v>0</v>
      </c>
      <c r="AF43" s="1573"/>
      <c r="AG43" s="1573"/>
      <c r="AH43" s="1573"/>
      <c r="AI43" s="1573">
        <f t="shared" si="3"/>
        <v>0</v>
      </c>
      <c r="AJ43" s="1573"/>
      <c r="AK43" s="1573"/>
      <c r="AL43" s="1573"/>
      <c r="AM43" s="1573">
        <f t="shared" si="4"/>
        <v>0</v>
      </c>
      <c r="AN43" s="1573"/>
      <c r="AO43" s="1573"/>
      <c r="AP43" s="1573"/>
      <c r="AQ43" s="1573">
        <f t="shared" si="5"/>
        <v>0</v>
      </c>
      <c r="AR43" s="1573"/>
      <c r="AS43" s="1573"/>
      <c r="AT43" s="1573"/>
    </row>
    <row r="44" spans="1:53" ht="64.150000000000006" customHeight="1">
      <c r="A44" s="1570" t="s">
        <v>1903</v>
      </c>
      <c r="B44" s="1571" t="s">
        <v>1904</v>
      </c>
      <c r="C44" s="1571" t="s">
        <v>1475</v>
      </c>
      <c r="D44" s="840">
        <v>15.1</v>
      </c>
      <c r="E44" s="820" t="s">
        <v>1905</v>
      </c>
      <c r="F44" s="906">
        <v>0.02</v>
      </c>
      <c r="G44" s="821" t="s">
        <v>538</v>
      </c>
      <c r="H44" s="821" t="s">
        <v>532</v>
      </c>
      <c r="I44" s="964">
        <v>30</v>
      </c>
      <c r="J44" s="934">
        <f t="shared" ref="J44:J53" si="28">AF44</f>
        <v>51</v>
      </c>
      <c r="K44" s="851">
        <f t="shared" ref="K44:K53" si="29">IF(ISERROR(J44/I44),"",(J44/I44))</f>
        <v>1.7</v>
      </c>
      <c r="L44" s="965">
        <v>60</v>
      </c>
      <c r="M44" s="935">
        <f t="shared" ref="M44:M53" si="30">AJ44</f>
        <v>67</v>
      </c>
      <c r="N44" s="825">
        <f t="shared" ref="N44:N53" si="31">IF(ISERROR(M44/L44),"",(M44/L44))</f>
        <v>1.1166666666666667</v>
      </c>
      <c r="O44" s="964">
        <v>60</v>
      </c>
      <c r="P44" s="934">
        <f t="shared" ref="P44:P53" si="32">AN44</f>
        <v>74</v>
      </c>
      <c r="Q44" s="828">
        <f t="shared" ref="Q44:Q53" si="33">IF(ISERROR(P44/O44),"",(P44/O44))</f>
        <v>1.2333333333333334</v>
      </c>
      <c r="R44" s="965">
        <v>60</v>
      </c>
      <c r="S44" s="935">
        <f t="shared" ref="S44:S53" si="34">AR44</f>
        <v>50</v>
      </c>
      <c r="T44" s="828">
        <f t="shared" si="0"/>
        <v>0.83333333333333337</v>
      </c>
      <c r="U44" s="937">
        <f>SUM(I44,L44,O44,R44)</f>
        <v>210</v>
      </c>
      <c r="V44" s="966">
        <f>SUM(J44,M44,P44,S44)</f>
        <v>242</v>
      </c>
      <c r="W44" s="832">
        <f t="shared" ref="W44:W53" si="35">IF((IF(ISERROR(V44/U44),0,(V44/U44)))&gt;1,1,(IF(ISERROR(V44/U44),0,(V44/U44))))</f>
        <v>1</v>
      </c>
      <c r="X44" s="832">
        <f t="shared" ref="X44:X53" si="36">F44*W44</f>
        <v>0.02</v>
      </c>
      <c r="Y44" s="821" t="s">
        <v>1906</v>
      </c>
      <c r="Z44" s="820" t="s">
        <v>1907</v>
      </c>
      <c r="AA44" s="820" t="s">
        <v>1908</v>
      </c>
      <c r="AB44" s="821" t="s">
        <v>542</v>
      </c>
      <c r="AC44" s="967"/>
      <c r="AD44" s="967"/>
      <c r="AE44" s="968">
        <v>30</v>
      </c>
      <c r="AF44" s="968">
        <v>51</v>
      </c>
      <c r="AG44" s="969" t="s">
        <v>1909</v>
      </c>
      <c r="AH44" s="970" t="s">
        <v>1910</v>
      </c>
      <c r="AI44" s="940">
        <f t="shared" si="3"/>
        <v>60</v>
      </c>
      <c r="AJ44" s="940">
        <v>67</v>
      </c>
      <c r="AK44" s="969" t="s">
        <v>1911</v>
      </c>
      <c r="AL44" s="856" t="s">
        <v>1910</v>
      </c>
      <c r="AM44" s="939">
        <f t="shared" si="4"/>
        <v>60</v>
      </c>
      <c r="AN44" s="971">
        <v>74</v>
      </c>
      <c r="AO44" s="921" t="s">
        <v>1912</v>
      </c>
      <c r="AP44" s="972" t="s">
        <v>1910</v>
      </c>
      <c r="AQ44" s="940">
        <f t="shared" si="5"/>
        <v>60</v>
      </c>
      <c r="AR44" s="839">
        <v>50</v>
      </c>
      <c r="AS44" s="856" t="s">
        <v>1913</v>
      </c>
      <c r="AT44" s="973" t="s">
        <v>1910</v>
      </c>
    </row>
    <row r="45" spans="1:53" ht="93.95" customHeight="1">
      <c r="A45" s="1570"/>
      <c r="B45" s="1570"/>
      <c r="C45" s="1571"/>
      <c r="D45" s="840">
        <v>15.2</v>
      </c>
      <c r="E45" s="820" t="s">
        <v>1914</v>
      </c>
      <c r="F45" s="906">
        <v>0.02</v>
      </c>
      <c r="G45" s="821" t="s">
        <v>538</v>
      </c>
      <c r="H45" s="821" t="s">
        <v>532</v>
      </c>
      <c r="I45" s="964">
        <v>2</v>
      </c>
      <c r="J45" s="934">
        <f t="shared" si="28"/>
        <v>2</v>
      </c>
      <c r="K45" s="851">
        <f t="shared" si="29"/>
        <v>1</v>
      </c>
      <c r="L45" s="965">
        <v>2</v>
      </c>
      <c r="M45" s="935">
        <f t="shared" si="30"/>
        <v>3</v>
      </c>
      <c r="N45" s="825">
        <f t="shared" si="31"/>
        <v>1.5</v>
      </c>
      <c r="O45" s="964">
        <v>2</v>
      </c>
      <c r="P45" s="934">
        <f t="shared" si="32"/>
        <v>1</v>
      </c>
      <c r="Q45" s="828">
        <f t="shared" si="33"/>
        <v>0.5</v>
      </c>
      <c r="R45" s="965">
        <v>2</v>
      </c>
      <c r="S45" s="935">
        <f t="shared" si="34"/>
        <v>2</v>
      </c>
      <c r="T45" s="828">
        <f t="shared" si="0"/>
        <v>1</v>
      </c>
      <c r="U45" s="937">
        <f>SUM(I45,L45,O45,R45)</f>
        <v>8</v>
      </c>
      <c r="V45" s="966">
        <f>SUM(J45,M45,P45,S45)</f>
        <v>8</v>
      </c>
      <c r="W45" s="832">
        <f t="shared" si="35"/>
        <v>1</v>
      </c>
      <c r="X45" s="832">
        <f t="shared" si="36"/>
        <v>0.02</v>
      </c>
      <c r="Y45" s="821" t="s">
        <v>1915</v>
      </c>
      <c r="Z45" s="820" t="s">
        <v>1510</v>
      </c>
      <c r="AA45" s="820" t="s">
        <v>1511</v>
      </c>
      <c r="AB45" s="821" t="s">
        <v>542</v>
      </c>
      <c r="AC45" s="974"/>
      <c r="AD45" s="974"/>
      <c r="AE45" s="968">
        <v>2</v>
      </c>
      <c r="AF45" s="968">
        <v>2</v>
      </c>
      <c r="AG45" s="838" t="s">
        <v>1916</v>
      </c>
      <c r="AH45" s="970" t="s">
        <v>1917</v>
      </c>
      <c r="AI45" s="940">
        <f t="shared" si="3"/>
        <v>2</v>
      </c>
      <c r="AJ45" s="940">
        <v>3</v>
      </c>
      <c r="AK45" s="838" t="s">
        <v>1918</v>
      </c>
      <c r="AL45" s="856" t="s">
        <v>1919</v>
      </c>
      <c r="AM45" s="939">
        <f t="shared" si="4"/>
        <v>2</v>
      </c>
      <c r="AN45" s="958">
        <v>1</v>
      </c>
      <c r="AO45" s="922" t="s">
        <v>1920</v>
      </c>
      <c r="AP45" s="975" t="s">
        <v>1919</v>
      </c>
      <c r="AQ45" s="976">
        <f t="shared" si="5"/>
        <v>2</v>
      </c>
      <c r="AR45" s="977">
        <v>2</v>
      </c>
      <c r="AS45" s="978" t="s">
        <v>1921</v>
      </c>
      <c r="AT45" s="979" t="s">
        <v>1919</v>
      </c>
      <c r="AU45" s="980"/>
      <c r="AV45" s="980"/>
      <c r="AW45" s="980"/>
      <c r="AX45" s="980"/>
      <c r="AY45" s="980"/>
      <c r="AZ45" s="980"/>
      <c r="BA45" s="980"/>
    </row>
    <row r="46" spans="1:53" s="997" customFormat="1" ht="67.7" customHeight="1">
      <c r="A46" s="1570"/>
      <c r="B46" s="1570"/>
      <c r="C46" s="1571"/>
      <c r="D46" s="981">
        <v>15.3</v>
      </c>
      <c r="E46" s="820" t="s">
        <v>1488</v>
      </c>
      <c r="F46" s="906">
        <v>0.02</v>
      </c>
      <c r="G46" s="821" t="s">
        <v>537</v>
      </c>
      <c r="H46" s="821" t="s">
        <v>531</v>
      </c>
      <c r="I46" s="982">
        <v>0.8</v>
      </c>
      <c r="J46" s="983">
        <f t="shared" si="28"/>
        <v>0.83030000000000004</v>
      </c>
      <c r="K46" s="851">
        <f t="shared" si="29"/>
        <v>1.0378749999999999</v>
      </c>
      <c r="L46" s="984">
        <v>0.8</v>
      </c>
      <c r="M46" s="843">
        <f t="shared" si="30"/>
        <v>0.94469999999999998</v>
      </c>
      <c r="N46" s="825">
        <f t="shared" si="31"/>
        <v>1.1808749999999999</v>
      </c>
      <c r="O46" s="982">
        <v>0.8</v>
      </c>
      <c r="P46" s="983">
        <f t="shared" si="32"/>
        <v>0.95499999999999996</v>
      </c>
      <c r="Q46" s="828">
        <f t="shared" si="33"/>
        <v>1.1937499999999999</v>
      </c>
      <c r="R46" s="984">
        <v>0.8</v>
      </c>
      <c r="S46" s="843" t="str">
        <f t="shared" si="34"/>
        <v>91.97%</v>
      </c>
      <c r="T46" s="828" t="str">
        <f t="shared" si="0"/>
        <v/>
      </c>
      <c r="U46" s="908">
        <f>SUM(I46,L46,O46,R46)/4</f>
        <v>0.8</v>
      </c>
      <c r="V46" s="909">
        <f>SUM(J46,M46,P46,S46)/4</f>
        <v>0.6825</v>
      </c>
      <c r="W46" s="832">
        <f t="shared" si="35"/>
        <v>0.85312499999999991</v>
      </c>
      <c r="X46" s="832">
        <f t="shared" si="36"/>
        <v>1.7062499999999998E-2</v>
      </c>
      <c r="Y46" s="985" t="s">
        <v>1922</v>
      </c>
      <c r="Z46" s="820" t="s">
        <v>1923</v>
      </c>
      <c r="AA46" s="894" t="s">
        <v>1924</v>
      </c>
      <c r="AB46" s="862" t="s">
        <v>540</v>
      </c>
      <c r="AC46" s="863" t="s">
        <v>1925</v>
      </c>
      <c r="AD46" s="986"/>
      <c r="AE46" s="987">
        <f>80%</f>
        <v>0.8</v>
      </c>
      <c r="AF46" s="987">
        <v>0.83030000000000004</v>
      </c>
      <c r="AG46" s="838" t="s">
        <v>1926</v>
      </c>
      <c r="AH46" s="970" t="s">
        <v>1927</v>
      </c>
      <c r="AI46" s="988">
        <f t="shared" si="3"/>
        <v>0.8</v>
      </c>
      <c r="AJ46" s="989">
        <v>0.94469999999999998</v>
      </c>
      <c r="AK46" s="990" t="s">
        <v>1928</v>
      </c>
      <c r="AL46" s="991" t="s">
        <v>1929</v>
      </c>
      <c r="AM46" s="864">
        <f t="shared" si="4"/>
        <v>0.8</v>
      </c>
      <c r="AN46" s="992">
        <v>0.95499999999999996</v>
      </c>
      <c r="AO46" s="993" t="s">
        <v>1930</v>
      </c>
      <c r="AP46" s="994" t="s">
        <v>1931</v>
      </c>
      <c r="AQ46" s="988">
        <f t="shared" si="5"/>
        <v>0.8</v>
      </c>
      <c r="AR46" s="989" t="s">
        <v>1932</v>
      </c>
      <c r="AS46" s="995" t="s">
        <v>1933</v>
      </c>
      <c r="AT46" s="996" t="s">
        <v>1934</v>
      </c>
      <c r="AU46" s="980"/>
      <c r="AV46" s="980"/>
      <c r="AW46" s="980"/>
      <c r="AX46" s="980"/>
      <c r="AY46" s="980"/>
      <c r="AZ46" s="980"/>
      <c r="BA46" s="980"/>
    </row>
    <row r="47" spans="1:53" ht="67.7" customHeight="1">
      <c r="A47" s="1570"/>
      <c r="B47" s="1570"/>
      <c r="C47" s="1571"/>
      <c r="D47" s="840">
        <v>15.4</v>
      </c>
      <c r="E47" s="883" t="s">
        <v>1935</v>
      </c>
      <c r="F47" s="998">
        <v>0</v>
      </c>
      <c r="G47" s="999" t="s">
        <v>538</v>
      </c>
      <c r="H47" s="999" t="s">
        <v>532</v>
      </c>
      <c r="I47" s="1000">
        <v>0</v>
      </c>
      <c r="J47" s="824">
        <f t="shared" si="28"/>
        <v>0</v>
      </c>
      <c r="K47" s="825" t="str">
        <f t="shared" si="29"/>
        <v/>
      </c>
      <c r="L47" s="1001">
        <v>0</v>
      </c>
      <c r="M47" s="827">
        <f t="shared" si="30"/>
        <v>0</v>
      </c>
      <c r="N47" s="825" t="str">
        <f t="shared" si="31"/>
        <v/>
      </c>
      <c r="O47" s="1000">
        <v>0</v>
      </c>
      <c r="P47" s="824">
        <f t="shared" si="32"/>
        <v>0</v>
      </c>
      <c r="Q47" s="828" t="str">
        <f t="shared" si="33"/>
        <v/>
      </c>
      <c r="R47" s="1001">
        <v>0</v>
      </c>
      <c r="S47" s="827">
        <f t="shared" si="34"/>
        <v>0</v>
      </c>
      <c r="T47" s="828" t="str">
        <f t="shared" si="0"/>
        <v/>
      </c>
      <c r="U47" s="831">
        <f t="shared" ref="U47:V55" si="37">SUM(I47,L47,O47,R47)</f>
        <v>0</v>
      </c>
      <c r="V47" s="1002">
        <f t="shared" si="37"/>
        <v>0</v>
      </c>
      <c r="W47" s="832">
        <f t="shared" si="35"/>
        <v>0</v>
      </c>
      <c r="X47" s="832">
        <f t="shared" si="36"/>
        <v>0</v>
      </c>
      <c r="Y47" s="999" t="s">
        <v>1936</v>
      </c>
      <c r="Z47" s="883" t="s">
        <v>1937</v>
      </c>
      <c r="AA47" s="883" t="s">
        <v>1824</v>
      </c>
      <c r="AB47" s="915" t="s">
        <v>542</v>
      </c>
      <c r="AC47" s="1003"/>
      <c r="AD47" s="1003"/>
      <c r="AE47" s="939">
        <f t="shared" ref="AE47:AE61" si="38">I47</f>
        <v>0</v>
      </c>
      <c r="AF47" s="837"/>
      <c r="AG47" s="838"/>
      <c r="AH47" s="838"/>
      <c r="AI47" s="940">
        <f t="shared" si="3"/>
        <v>0</v>
      </c>
      <c r="AJ47" s="839"/>
      <c r="AK47" s="856"/>
      <c r="AL47" s="856"/>
      <c r="AM47" s="939">
        <f t="shared" si="4"/>
        <v>0</v>
      </c>
      <c r="AN47" s="837"/>
      <c r="AO47" s="838"/>
      <c r="AP47" s="838"/>
      <c r="AQ47" s="940">
        <f t="shared" si="5"/>
        <v>0</v>
      </c>
      <c r="AR47" s="839"/>
      <c r="AS47" s="856"/>
      <c r="AT47" s="856"/>
    </row>
    <row r="48" spans="1:53" ht="67.7" customHeight="1">
      <c r="A48" s="1570"/>
      <c r="B48" s="1570"/>
      <c r="C48" s="1571"/>
      <c r="D48" s="840">
        <v>15.5</v>
      </c>
      <c r="E48" s="883" t="s">
        <v>1938</v>
      </c>
      <c r="F48" s="998">
        <v>0</v>
      </c>
      <c r="G48" s="999" t="s">
        <v>538</v>
      </c>
      <c r="H48" s="999" t="s">
        <v>532</v>
      </c>
      <c r="I48" s="1000">
        <v>0</v>
      </c>
      <c r="J48" s="824">
        <f t="shared" si="28"/>
        <v>0</v>
      </c>
      <c r="K48" s="825" t="str">
        <f t="shared" si="29"/>
        <v/>
      </c>
      <c r="L48" s="1001">
        <v>0</v>
      </c>
      <c r="M48" s="827">
        <f t="shared" si="30"/>
        <v>0</v>
      </c>
      <c r="N48" s="825" t="str">
        <f t="shared" si="31"/>
        <v/>
      </c>
      <c r="O48" s="1000">
        <v>0</v>
      </c>
      <c r="P48" s="824">
        <f t="shared" si="32"/>
        <v>0</v>
      </c>
      <c r="Q48" s="828" t="str">
        <f t="shared" si="33"/>
        <v/>
      </c>
      <c r="R48" s="1001">
        <v>0</v>
      </c>
      <c r="S48" s="827">
        <f t="shared" si="34"/>
        <v>0</v>
      </c>
      <c r="T48" s="828" t="str">
        <f t="shared" si="0"/>
        <v/>
      </c>
      <c r="U48" s="831">
        <f t="shared" si="37"/>
        <v>0</v>
      </c>
      <c r="V48" s="1002">
        <f t="shared" si="37"/>
        <v>0</v>
      </c>
      <c r="W48" s="832">
        <f t="shared" si="35"/>
        <v>0</v>
      </c>
      <c r="X48" s="832">
        <f t="shared" si="36"/>
        <v>0</v>
      </c>
      <c r="Y48" s="999" t="s">
        <v>1939</v>
      </c>
      <c r="Z48" s="999" t="s">
        <v>1940</v>
      </c>
      <c r="AA48" s="999" t="s">
        <v>1941</v>
      </c>
      <c r="AB48" s="915" t="s">
        <v>542</v>
      </c>
      <c r="AC48" s="1003"/>
      <c r="AD48" s="1003"/>
      <c r="AE48" s="939">
        <f t="shared" si="38"/>
        <v>0</v>
      </c>
      <c r="AF48" s="837"/>
      <c r="AG48" s="838"/>
      <c r="AH48" s="838"/>
      <c r="AI48" s="940">
        <f t="shared" si="3"/>
        <v>0</v>
      </c>
      <c r="AJ48" s="839"/>
      <c r="AK48" s="856"/>
      <c r="AL48" s="856"/>
      <c r="AM48" s="939">
        <f t="shared" si="4"/>
        <v>0</v>
      </c>
      <c r="AN48" s="837"/>
      <c r="AO48" s="838"/>
      <c r="AP48" s="838"/>
      <c r="AQ48" s="866">
        <f t="shared" si="5"/>
        <v>0</v>
      </c>
      <c r="AR48" s="839"/>
      <c r="AS48" s="856"/>
      <c r="AT48" s="856"/>
    </row>
    <row r="49" spans="1:46" ht="67.7" customHeight="1">
      <c r="A49" s="1570"/>
      <c r="B49" s="1570"/>
      <c r="C49" s="1571"/>
      <c r="D49" s="840">
        <v>15.6</v>
      </c>
      <c r="E49" s="883" t="s">
        <v>1942</v>
      </c>
      <c r="F49" s="998">
        <v>0</v>
      </c>
      <c r="G49" s="999" t="s">
        <v>538</v>
      </c>
      <c r="H49" s="999" t="s">
        <v>532</v>
      </c>
      <c r="I49" s="1000">
        <v>0</v>
      </c>
      <c r="J49" s="824">
        <f t="shared" si="28"/>
        <v>0</v>
      </c>
      <c r="K49" s="825" t="str">
        <f t="shared" si="29"/>
        <v/>
      </c>
      <c r="L49" s="1001">
        <v>0</v>
      </c>
      <c r="M49" s="827">
        <f t="shared" si="30"/>
        <v>0</v>
      </c>
      <c r="N49" s="825" t="str">
        <f t="shared" si="31"/>
        <v/>
      </c>
      <c r="O49" s="1000">
        <v>0</v>
      </c>
      <c r="P49" s="824">
        <f t="shared" si="32"/>
        <v>0</v>
      </c>
      <c r="Q49" s="828" t="str">
        <f t="shared" si="33"/>
        <v/>
      </c>
      <c r="R49" s="1001">
        <v>0</v>
      </c>
      <c r="S49" s="827">
        <f t="shared" si="34"/>
        <v>0</v>
      </c>
      <c r="T49" s="828" t="str">
        <f t="shared" si="0"/>
        <v/>
      </c>
      <c r="U49" s="831">
        <f t="shared" si="37"/>
        <v>0</v>
      </c>
      <c r="V49" s="1002">
        <f t="shared" si="37"/>
        <v>0</v>
      </c>
      <c r="W49" s="832">
        <f t="shared" si="35"/>
        <v>0</v>
      </c>
      <c r="X49" s="832">
        <f t="shared" si="36"/>
        <v>0</v>
      </c>
      <c r="Y49" s="1004" t="s">
        <v>1943</v>
      </c>
      <c r="Z49" s="999" t="s">
        <v>1944</v>
      </c>
      <c r="AA49" s="999" t="s">
        <v>1945</v>
      </c>
      <c r="AB49" s="915" t="s">
        <v>542</v>
      </c>
      <c r="AC49" s="1003"/>
      <c r="AD49" s="1003"/>
      <c r="AE49" s="939">
        <f t="shared" si="38"/>
        <v>0</v>
      </c>
      <c r="AF49" s="837"/>
      <c r="AG49" s="838"/>
      <c r="AH49" s="838"/>
      <c r="AI49" s="940">
        <f t="shared" si="3"/>
        <v>0</v>
      </c>
      <c r="AJ49" s="839"/>
      <c r="AK49" s="856"/>
      <c r="AL49" s="856"/>
      <c r="AM49" s="939">
        <f t="shared" si="4"/>
        <v>0</v>
      </c>
      <c r="AN49" s="837"/>
      <c r="AO49" s="838"/>
      <c r="AP49" s="838"/>
      <c r="AQ49" s="940">
        <f t="shared" si="5"/>
        <v>0</v>
      </c>
      <c r="AR49" s="839"/>
      <c r="AS49" s="856"/>
      <c r="AT49" s="856"/>
    </row>
    <row r="50" spans="1:46" ht="207" customHeight="1">
      <c r="A50" s="1570"/>
      <c r="B50" s="1570"/>
      <c r="C50" s="1571"/>
      <c r="D50" s="840">
        <v>15.7</v>
      </c>
      <c r="E50" s="883" t="s">
        <v>1946</v>
      </c>
      <c r="F50" s="998">
        <v>0.02</v>
      </c>
      <c r="G50" s="999" t="s">
        <v>538</v>
      </c>
      <c r="H50" s="999" t="s">
        <v>532</v>
      </c>
      <c r="I50" s="1000">
        <v>7</v>
      </c>
      <c r="J50" s="824">
        <f t="shared" si="28"/>
        <v>8</v>
      </c>
      <c r="K50" s="851">
        <f t="shared" si="29"/>
        <v>1.1428571428571428</v>
      </c>
      <c r="L50" s="1001">
        <v>8</v>
      </c>
      <c r="M50" s="827">
        <f t="shared" si="30"/>
        <v>8</v>
      </c>
      <c r="N50" s="825">
        <f t="shared" si="31"/>
        <v>1</v>
      </c>
      <c r="O50" s="1000">
        <v>8</v>
      </c>
      <c r="P50" s="824">
        <f t="shared" si="32"/>
        <v>8</v>
      </c>
      <c r="Q50" s="828">
        <f t="shared" si="33"/>
        <v>1</v>
      </c>
      <c r="R50" s="1001">
        <v>7</v>
      </c>
      <c r="S50" s="827">
        <f t="shared" si="34"/>
        <v>7</v>
      </c>
      <c r="T50" s="828">
        <f t="shared" si="0"/>
        <v>1</v>
      </c>
      <c r="U50" s="831">
        <f t="shared" si="37"/>
        <v>30</v>
      </c>
      <c r="V50" s="1002">
        <f t="shared" si="37"/>
        <v>31</v>
      </c>
      <c r="W50" s="832">
        <f t="shared" si="35"/>
        <v>1</v>
      </c>
      <c r="X50" s="832">
        <f t="shared" si="36"/>
        <v>0.02</v>
      </c>
      <c r="Y50" s="1004" t="s">
        <v>1947</v>
      </c>
      <c r="Z50" s="883" t="s">
        <v>1948</v>
      </c>
      <c r="AA50" s="883" t="s">
        <v>1949</v>
      </c>
      <c r="AB50" s="915" t="s">
        <v>542</v>
      </c>
      <c r="AC50" s="1003"/>
      <c r="AD50" s="1005" t="s">
        <v>1950</v>
      </c>
      <c r="AE50" s="939">
        <f t="shared" si="38"/>
        <v>7</v>
      </c>
      <c r="AF50" s="837">
        <v>8</v>
      </c>
      <c r="AG50" s="838" t="s">
        <v>1951</v>
      </c>
      <c r="AH50" s="918" t="s">
        <v>1952</v>
      </c>
      <c r="AI50" s="940">
        <f t="shared" si="3"/>
        <v>8</v>
      </c>
      <c r="AJ50" s="839">
        <v>8</v>
      </c>
      <c r="AK50" s="856" t="s">
        <v>1953</v>
      </c>
      <c r="AL50" s="856" t="s">
        <v>1954</v>
      </c>
      <c r="AM50" s="939">
        <f t="shared" si="4"/>
        <v>8</v>
      </c>
      <c r="AN50" s="958">
        <v>8</v>
      </c>
      <c r="AO50" s="1006" t="s">
        <v>1955</v>
      </c>
      <c r="AP50" s="922" t="s">
        <v>1956</v>
      </c>
      <c r="AQ50" s="940">
        <f t="shared" si="5"/>
        <v>7</v>
      </c>
      <c r="AR50" s="839">
        <v>7</v>
      </c>
      <c r="AS50" s="930" t="s">
        <v>1957</v>
      </c>
      <c r="AT50" s="842" t="s">
        <v>1958</v>
      </c>
    </row>
    <row r="51" spans="1:46" ht="67.7" customHeight="1">
      <c r="A51" s="1570"/>
      <c r="B51" s="1571"/>
      <c r="C51" s="1571"/>
      <c r="D51" s="840">
        <v>15.8</v>
      </c>
      <c r="E51" s="883" t="s">
        <v>1959</v>
      </c>
      <c r="F51" s="998">
        <v>0.02</v>
      </c>
      <c r="G51" s="999" t="s">
        <v>538</v>
      </c>
      <c r="H51" s="999" t="s">
        <v>532</v>
      </c>
      <c r="I51" s="1000">
        <v>0</v>
      </c>
      <c r="J51" s="824">
        <f t="shared" si="28"/>
        <v>0</v>
      </c>
      <c r="K51" s="825" t="str">
        <f t="shared" si="29"/>
        <v/>
      </c>
      <c r="L51" s="1001">
        <v>0</v>
      </c>
      <c r="M51" s="827">
        <f t="shared" si="30"/>
        <v>0</v>
      </c>
      <c r="N51" s="825" t="str">
        <f t="shared" si="31"/>
        <v/>
      </c>
      <c r="O51" s="1000">
        <v>1</v>
      </c>
      <c r="P51" s="824">
        <f t="shared" si="32"/>
        <v>0</v>
      </c>
      <c r="Q51" s="828">
        <f t="shared" si="33"/>
        <v>0</v>
      </c>
      <c r="R51" s="1001">
        <v>0</v>
      </c>
      <c r="S51" s="827">
        <f t="shared" si="34"/>
        <v>1</v>
      </c>
      <c r="T51" s="828" t="str">
        <f t="shared" si="0"/>
        <v/>
      </c>
      <c r="U51" s="831">
        <f t="shared" si="37"/>
        <v>1</v>
      </c>
      <c r="V51" s="1002">
        <f t="shared" si="37"/>
        <v>1</v>
      </c>
      <c r="W51" s="832">
        <f t="shared" si="35"/>
        <v>1</v>
      </c>
      <c r="X51" s="832">
        <f t="shared" si="36"/>
        <v>0.02</v>
      </c>
      <c r="Y51" s="1004" t="s">
        <v>1960</v>
      </c>
      <c r="Z51" s="883" t="s">
        <v>1549</v>
      </c>
      <c r="AA51" s="883" t="s">
        <v>1961</v>
      </c>
      <c r="AB51" s="915" t="s">
        <v>542</v>
      </c>
      <c r="AC51" s="1003"/>
      <c r="AD51" s="1003"/>
      <c r="AE51" s="939">
        <f t="shared" si="38"/>
        <v>0</v>
      </c>
      <c r="AF51" s="837"/>
      <c r="AG51" s="838"/>
      <c r="AH51" s="838"/>
      <c r="AI51" s="940">
        <f t="shared" si="3"/>
        <v>0</v>
      </c>
      <c r="AJ51" s="839"/>
      <c r="AK51" s="856"/>
      <c r="AL51" s="856"/>
      <c r="AM51" s="939">
        <f t="shared" si="4"/>
        <v>1</v>
      </c>
      <c r="AN51" s="958">
        <v>0</v>
      </c>
      <c r="AO51" s="922" t="s">
        <v>1962</v>
      </c>
      <c r="AP51" s="922" t="s">
        <v>1963</v>
      </c>
      <c r="AQ51" s="940">
        <f t="shared" si="5"/>
        <v>0</v>
      </c>
      <c r="AR51" s="839">
        <v>1</v>
      </c>
      <c r="AS51" s="842" t="s">
        <v>1964</v>
      </c>
      <c r="AT51" s="842" t="s">
        <v>1965</v>
      </c>
    </row>
    <row r="52" spans="1:46" ht="67.7" customHeight="1">
      <c r="A52" s="1570"/>
      <c r="B52" s="1570"/>
      <c r="C52" s="1571"/>
      <c r="D52" s="840">
        <v>15.9</v>
      </c>
      <c r="E52" s="883" t="s">
        <v>1966</v>
      </c>
      <c r="F52" s="998">
        <v>0.02</v>
      </c>
      <c r="G52" s="999" t="s">
        <v>538</v>
      </c>
      <c r="H52" s="999" t="s">
        <v>532</v>
      </c>
      <c r="I52" s="1000">
        <v>0</v>
      </c>
      <c r="J52" s="824">
        <f t="shared" si="28"/>
        <v>0</v>
      </c>
      <c r="K52" s="825" t="str">
        <f t="shared" si="29"/>
        <v/>
      </c>
      <c r="L52" s="1001">
        <v>0</v>
      </c>
      <c r="M52" s="827">
        <f t="shared" si="30"/>
        <v>0</v>
      </c>
      <c r="N52" s="825" t="str">
        <f t="shared" si="31"/>
        <v/>
      </c>
      <c r="O52" s="1000">
        <v>0</v>
      </c>
      <c r="P52" s="824">
        <f t="shared" si="32"/>
        <v>0</v>
      </c>
      <c r="Q52" s="828" t="str">
        <f t="shared" si="33"/>
        <v/>
      </c>
      <c r="R52" s="1001">
        <v>1</v>
      </c>
      <c r="S52" s="827">
        <f t="shared" si="34"/>
        <v>1</v>
      </c>
      <c r="T52" s="828">
        <f t="shared" si="0"/>
        <v>1</v>
      </c>
      <c r="U52" s="831">
        <f t="shared" si="37"/>
        <v>1</v>
      </c>
      <c r="V52" s="1002">
        <f t="shared" si="37"/>
        <v>1</v>
      </c>
      <c r="W52" s="832">
        <f t="shared" si="35"/>
        <v>1</v>
      </c>
      <c r="X52" s="832">
        <f t="shared" si="36"/>
        <v>0.02</v>
      </c>
      <c r="Y52" s="1004" t="s">
        <v>1967</v>
      </c>
      <c r="Z52" s="883" t="s">
        <v>1553</v>
      </c>
      <c r="AA52" s="883" t="s">
        <v>1968</v>
      </c>
      <c r="AB52" s="915" t="s">
        <v>542</v>
      </c>
      <c r="AC52" s="1003"/>
      <c r="AD52" s="1003"/>
      <c r="AE52" s="939">
        <f t="shared" si="38"/>
        <v>0</v>
      </c>
      <c r="AF52" s="837"/>
      <c r="AG52" s="838"/>
      <c r="AH52" s="838"/>
      <c r="AI52" s="940">
        <f t="shared" si="3"/>
        <v>0</v>
      </c>
      <c r="AJ52" s="839"/>
      <c r="AK52" s="840"/>
      <c r="AL52" s="840"/>
      <c r="AM52" s="939">
        <f t="shared" si="4"/>
        <v>0</v>
      </c>
      <c r="AN52" s="958"/>
      <c r="AO52" s="922"/>
      <c r="AP52" s="922"/>
      <c r="AQ52" s="940">
        <f t="shared" si="5"/>
        <v>1</v>
      </c>
      <c r="AR52" s="839">
        <v>1</v>
      </c>
      <c r="AS52" s="930" t="s">
        <v>1969</v>
      </c>
      <c r="AT52" s="930" t="s">
        <v>1970</v>
      </c>
    </row>
    <row r="53" spans="1:46" ht="154.5" customHeight="1">
      <c r="A53" s="1570"/>
      <c r="B53" s="1570"/>
      <c r="C53" s="1571"/>
      <c r="D53" s="1007">
        <v>15.1</v>
      </c>
      <c r="E53" s="1008" t="s">
        <v>1971</v>
      </c>
      <c r="F53" s="906">
        <v>0.03</v>
      </c>
      <c r="G53" s="821" t="s">
        <v>537</v>
      </c>
      <c r="H53" s="821" t="s">
        <v>532</v>
      </c>
      <c r="I53" s="1009">
        <v>0.25</v>
      </c>
      <c r="J53" s="907">
        <f t="shared" si="28"/>
        <v>0</v>
      </c>
      <c r="K53" s="851">
        <f t="shared" si="29"/>
        <v>0</v>
      </c>
      <c r="L53" s="984">
        <v>0.25</v>
      </c>
      <c r="M53" s="843">
        <f t="shared" si="30"/>
        <v>0</v>
      </c>
      <c r="N53" s="825">
        <f t="shared" si="31"/>
        <v>0</v>
      </c>
      <c r="O53" s="1009">
        <v>0.25</v>
      </c>
      <c r="P53" s="907">
        <f t="shared" si="32"/>
        <v>0</v>
      </c>
      <c r="Q53" s="828">
        <f t="shared" si="33"/>
        <v>0</v>
      </c>
      <c r="R53" s="984">
        <v>0.25</v>
      </c>
      <c r="S53" s="843">
        <f t="shared" si="34"/>
        <v>0.87</v>
      </c>
      <c r="T53" s="828">
        <f t="shared" si="0"/>
        <v>3.48</v>
      </c>
      <c r="U53" s="908">
        <f t="shared" si="37"/>
        <v>1</v>
      </c>
      <c r="V53" s="909">
        <f t="shared" si="37"/>
        <v>0.87</v>
      </c>
      <c r="W53" s="832">
        <f t="shared" si="35"/>
        <v>0.87</v>
      </c>
      <c r="X53" s="832">
        <f t="shared" si="36"/>
        <v>2.6099999999999998E-2</v>
      </c>
      <c r="Y53" s="1010" t="s">
        <v>1972</v>
      </c>
      <c r="Z53" s="820" t="s">
        <v>1973</v>
      </c>
      <c r="AA53" s="820" t="s">
        <v>1974</v>
      </c>
      <c r="AB53" s="862" t="s">
        <v>542</v>
      </c>
      <c r="AC53" s="863" t="s">
        <v>1975</v>
      </c>
      <c r="AD53" s="863"/>
      <c r="AE53" s="864">
        <f t="shared" si="38"/>
        <v>0.25</v>
      </c>
      <c r="AF53" s="837">
        <v>0</v>
      </c>
      <c r="AG53" s="838"/>
      <c r="AH53" s="838"/>
      <c r="AI53" s="866">
        <f t="shared" si="3"/>
        <v>0.25</v>
      </c>
      <c r="AJ53" s="839">
        <v>0</v>
      </c>
      <c r="AK53" s="856"/>
      <c r="AL53" s="856"/>
      <c r="AM53" s="864">
        <f t="shared" si="4"/>
        <v>0.25</v>
      </c>
      <c r="AN53" s="837">
        <v>0</v>
      </c>
      <c r="AO53" s="838"/>
      <c r="AP53" s="838"/>
      <c r="AQ53" s="866">
        <f t="shared" si="5"/>
        <v>0.25</v>
      </c>
      <c r="AR53" s="866">
        <v>0.87</v>
      </c>
      <c r="AS53" s="856" t="s">
        <v>1976</v>
      </c>
      <c r="AT53" s="856" t="s">
        <v>1977</v>
      </c>
    </row>
    <row r="54" spans="1:46" ht="44.85" customHeight="1" thickBot="1">
      <c r="A54" s="1572"/>
      <c r="B54" s="1572"/>
      <c r="C54" s="847" t="s">
        <v>1755</v>
      </c>
      <c r="D54" s="1573"/>
      <c r="E54" s="1573"/>
      <c r="F54" s="1573"/>
      <c r="G54" s="1573"/>
      <c r="H54" s="1573"/>
      <c r="I54" s="1573"/>
      <c r="J54" s="1573"/>
      <c r="K54" s="1573"/>
      <c r="L54" s="1573"/>
      <c r="M54" s="1573"/>
      <c r="N54" s="1573"/>
      <c r="O54" s="1573"/>
      <c r="P54" s="1573"/>
      <c r="Q54" s="1573"/>
      <c r="R54" s="1573"/>
      <c r="S54" s="1573"/>
      <c r="T54" s="1573"/>
      <c r="U54" s="1573"/>
      <c r="V54" s="1573">
        <f t="shared" si="37"/>
        <v>0</v>
      </c>
      <c r="W54" s="1573"/>
      <c r="X54" s="1573"/>
      <c r="Y54" s="1573"/>
      <c r="Z54" s="1573"/>
      <c r="AA54" s="1573"/>
      <c r="AB54" s="1573"/>
      <c r="AC54" s="1573"/>
      <c r="AD54" s="1573"/>
      <c r="AE54" s="1573">
        <f t="shared" si="38"/>
        <v>0</v>
      </c>
      <c r="AF54" s="1573"/>
      <c r="AG54" s="1573"/>
      <c r="AH54" s="1573"/>
      <c r="AI54" s="1573">
        <f t="shared" si="3"/>
        <v>0</v>
      </c>
      <c r="AJ54" s="1573"/>
      <c r="AK54" s="1573"/>
      <c r="AL54" s="1573"/>
      <c r="AM54" s="1573">
        <f t="shared" si="4"/>
        <v>0</v>
      </c>
      <c r="AN54" s="1573"/>
      <c r="AO54" s="1573"/>
      <c r="AP54" s="1573"/>
      <c r="AQ54" s="1573">
        <f t="shared" si="5"/>
        <v>0</v>
      </c>
      <c r="AR54" s="1573"/>
      <c r="AS54" s="1573"/>
      <c r="AT54" s="1573"/>
    </row>
    <row r="55" spans="1:46" ht="69.400000000000006" customHeight="1">
      <c r="A55" s="1571" t="s">
        <v>1978</v>
      </c>
      <c r="B55" s="1571"/>
      <c r="C55" s="1571" t="s">
        <v>1577</v>
      </c>
      <c r="D55" s="840">
        <v>16.100000000000001</v>
      </c>
      <c r="E55" s="821" t="s">
        <v>1979</v>
      </c>
      <c r="F55" s="906">
        <v>0.03</v>
      </c>
      <c r="G55" s="821" t="s">
        <v>537</v>
      </c>
      <c r="H55" s="821" t="s">
        <v>532</v>
      </c>
      <c r="I55" s="1011">
        <v>0.2</v>
      </c>
      <c r="J55" s="829">
        <f>AF55</f>
        <v>0.28000000000000003</v>
      </c>
      <c r="K55" s="851">
        <f>IF(ISERROR(J55/I55),"",(J55/I55))</f>
        <v>1.4000000000000001</v>
      </c>
      <c r="L55" s="1012">
        <v>0.1</v>
      </c>
      <c r="M55" s="859">
        <f>AJ55</f>
        <v>9.5000000000000001E-2</v>
      </c>
      <c r="N55" s="825">
        <f>IF(ISERROR(M55/L55),"",(M55/L55))</f>
        <v>0.95</v>
      </c>
      <c r="O55" s="1011">
        <v>0.05</v>
      </c>
      <c r="P55" s="878">
        <f>AN55</f>
        <v>4.7599999999999996E-2</v>
      </c>
      <c r="Q55" s="828">
        <f>IF(ISERROR(P55/O55),"",(P55/O55))</f>
        <v>0.95199999999999985</v>
      </c>
      <c r="R55" s="1012">
        <v>0.05</v>
      </c>
      <c r="S55" s="859">
        <f>AR55</f>
        <v>0</v>
      </c>
      <c r="T55" s="828">
        <f t="shared" si="0"/>
        <v>0</v>
      </c>
      <c r="U55" s="832">
        <f t="shared" ref="U55:V57" si="39">SUM(I55,L55,O55,R55)</f>
        <v>0.4</v>
      </c>
      <c r="V55" s="1013">
        <f t="shared" si="37"/>
        <v>0.42259999999999998</v>
      </c>
      <c r="W55" s="832">
        <f>IF((IF(ISERROR(V55/U55),0,(V55/U55)))&gt;1,1,(IF(ISERROR(V55/U55),0,(V55/U55))))</f>
        <v>1</v>
      </c>
      <c r="X55" s="832">
        <f>F55*W55</f>
        <v>0.03</v>
      </c>
      <c r="Y55" s="821" t="s">
        <v>1980</v>
      </c>
      <c r="Z55" s="821" t="s">
        <v>1981</v>
      </c>
      <c r="AA55" s="1014"/>
      <c r="AB55" s="862" t="s">
        <v>542</v>
      </c>
      <c r="AC55" s="1015" t="s">
        <v>1982</v>
      </c>
      <c r="AD55" s="1015" t="s">
        <v>1983</v>
      </c>
      <c r="AE55" s="864">
        <f t="shared" si="38"/>
        <v>0.2</v>
      </c>
      <c r="AF55" s="864">
        <v>0.28000000000000003</v>
      </c>
      <c r="AG55" s="855" t="s">
        <v>1984</v>
      </c>
      <c r="AH55" s="855" t="s">
        <v>1985</v>
      </c>
      <c r="AI55" s="866">
        <f t="shared" si="3"/>
        <v>0.1</v>
      </c>
      <c r="AJ55" s="872">
        <v>9.5000000000000001E-2</v>
      </c>
      <c r="AK55" s="880" t="s">
        <v>1986</v>
      </c>
      <c r="AL55" s="880" t="s">
        <v>1985</v>
      </c>
      <c r="AM55" s="864">
        <f t="shared" si="4"/>
        <v>0.05</v>
      </c>
      <c r="AN55" s="954">
        <v>4.7599999999999996E-2</v>
      </c>
      <c r="AO55" s="855" t="s">
        <v>1987</v>
      </c>
      <c r="AP55" s="855" t="s">
        <v>1985</v>
      </c>
      <c r="AQ55" s="866">
        <f t="shared" si="5"/>
        <v>0.05</v>
      </c>
      <c r="AR55" s="923">
        <v>0</v>
      </c>
      <c r="AS55" s="1016" t="s">
        <v>1988</v>
      </c>
      <c r="AT55" s="1016"/>
    </row>
    <row r="56" spans="1:46" ht="72" customHeight="1">
      <c r="A56" s="1571"/>
      <c r="B56" s="1571"/>
      <c r="C56" s="1571"/>
      <c r="D56" s="840">
        <v>16.2</v>
      </c>
      <c r="E56" s="821" t="s">
        <v>1989</v>
      </c>
      <c r="F56" s="906">
        <v>0.02</v>
      </c>
      <c r="G56" s="821" t="s">
        <v>538</v>
      </c>
      <c r="H56" s="821" t="s">
        <v>532</v>
      </c>
      <c r="I56" s="964">
        <v>1</v>
      </c>
      <c r="J56" s="934">
        <f>AF56</f>
        <v>1</v>
      </c>
      <c r="K56" s="851">
        <f>IF(ISERROR(J56/I56),"",(J56/I56))</f>
        <v>1</v>
      </c>
      <c r="L56" s="965">
        <v>0</v>
      </c>
      <c r="M56" s="935">
        <f>AJ56</f>
        <v>0</v>
      </c>
      <c r="N56" s="825" t="str">
        <f>IF(ISERROR(M56/L56),"",(M56/L56))</f>
        <v/>
      </c>
      <c r="O56" s="964">
        <v>0</v>
      </c>
      <c r="P56" s="934">
        <f>AN56</f>
        <v>0</v>
      </c>
      <c r="Q56" s="828" t="str">
        <f>IF(ISERROR(P56/O56),"",(P56/O56))</f>
        <v/>
      </c>
      <c r="R56" s="965">
        <v>0</v>
      </c>
      <c r="S56" s="827">
        <f>AR56</f>
        <v>0</v>
      </c>
      <c r="T56" s="828" t="str">
        <f t="shared" si="0"/>
        <v/>
      </c>
      <c r="U56" s="937">
        <f t="shared" si="39"/>
        <v>1</v>
      </c>
      <c r="V56" s="956">
        <f t="shared" si="39"/>
        <v>1</v>
      </c>
      <c r="W56" s="832">
        <f>IF((IF(ISERROR(V56/U56),0,(V56/U56)))&gt;1,1,(IF(ISERROR(V56/U56),0,(V56/U56))))</f>
        <v>1</v>
      </c>
      <c r="X56" s="832">
        <f>F56*W56</f>
        <v>0.02</v>
      </c>
      <c r="Y56" s="821" t="s">
        <v>1990</v>
      </c>
      <c r="Z56" s="821" t="s">
        <v>1991</v>
      </c>
      <c r="AA56" s="1017" t="s">
        <v>1992</v>
      </c>
      <c r="AB56" s="862" t="s">
        <v>542</v>
      </c>
      <c r="AC56" s="863"/>
      <c r="AD56" s="863" t="s">
        <v>1993</v>
      </c>
      <c r="AE56" s="939">
        <f t="shared" si="38"/>
        <v>1</v>
      </c>
      <c r="AF56" s="939">
        <v>1</v>
      </c>
      <c r="AG56" s="939" t="s">
        <v>1994</v>
      </c>
      <c r="AH56" s="918" t="s">
        <v>1995</v>
      </c>
      <c r="AI56" s="940">
        <f t="shared" si="3"/>
        <v>0</v>
      </c>
      <c r="AJ56" s="839"/>
      <c r="AK56" s="856"/>
      <c r="AL56" s="856"/>
      <c r="AM56" s="939">
        <f t="shared" si="4"/>
        <v>0</v>
      </c>
      <c r="AN56" s="837"/>
      <c r="AO56" s="838"/>
      <c r="AP56" s="838"/>
      <c r="AQ56" s="940">
        <f t="shared" si="5"/>
        <v>0</v>
      </c>
      <c r="AR56" s="942"/>
      <c r="AS56" s="842"/>
      <c r="AT56" s="842"/>
    </row>
    <row r="57" spans="1:46" ht="72" customHeight="1">
      <c r="A57" s="1571"/>
      <c r="B57" s="1571"/>
      <c r="C57" s="1571"/>
      <c r="D57" s="840">
        <v>16.3</v>
      </c>
      <c r="E57" s="821" t="s">
        <v>1996</v>
      </c>
      <c r="F57" s="906">
        <v>0.02</v>
      </c>
      <c r="G57" s="821" t="s">
        <v>538</v>
      </c>
      <c r="H57" s="821" t="s">
        <v>532</v>
      </c>
      <c r="I57" s="1000">
        <v>0</v>
      </c>
      <c r="J57" s="824">
        <f>AF57</f>
        <v>0</v>
      </c>
      <c r="K57" s="825" t="str">
        <f>IF(ISERROR(J57/I57),"",(J57/I57))</f>
        <v/>
      </c>
      <c r="L57" s="1018">
        <v>0</v>
      </c>
      <c r="M57" s="827">
        <f>AJ57</f>
        <v>0</v>
      </c>
      <c r="N57" s="825" t="str">
        <f>IF(ISERROR(M57/L57),"",(M57/L57))</f>
        <v/>
      </c>
      <c r="O57" s="1000">
        <v>1</v>
      </c>
      <c r="P57" s="824">
        <f>AN57</f>
        <v>0</v>
      </c>
      <c r="Q57" s="828">
        <f>IF(ISERROR(P57/O57),"",(P57/O57))</f>
        <v>0</v>
      </c>
      <c r="R57" s="1018">
        <v>0</v>
      </c>
      <c r="S57" s="827">
        <f>AR57</f>
        <v>0</v>
      </c>
      <c r="T57" s="828" t="str">
        <f t="shared" si="0"/>
        <v/>
      </c>
      <c r="U57" s="831">
        <f t="shared" si="39"/>
        <v>1</v>
      </c>
      <c r="V57" s="1002">
        <f t="shared" si="39"/>
        <v>0</v>
      </c>
      <c r="W57" s="832">
        <f>IF((IF(ISERROR(V57/U57),0,(V57/U57)))&gt;1,1,(IF(ISERROR(V57/U57),0,(V57/U57))))</f>
        <v>0</v>
      </c>
      <c r="X57" s="832">
        <f>F57*W57</f>
        <v>0</v>
      </c>
      <c r="Y57" s="862" t="s">
        <v>1997</v>
      </c>
      <c r="Z57" s="848" t="s">
        <v>1998</v>
      </c>
      <c r="AA57" s="862" t="s">
        <v>1999</v>
      </c>
      <c r="AB57" s="862" t="s">
        <v>542</v>
      </c>
      <c r="AC57" s="863"/>
      <c r="AD57" s="863"/>
      <c r="AE57" s="939">
        <f t="shared" si="38"/>
        <v>0</v>
      </c>
      <c r="AF57" s="837"/>
      <c r="AG57" s="855"/>
      <c r="AH57" s="855"/>
      <c r="AI57" s="940">
        <f t="shared" si="3"/>
        <v>0</v>
      </c>
      <c r="AJ57" s="839">
        <v>0</v>
      </c>
      <c r="AK57" s="856"/>
      <c r="AL57" s="856"/>
      <c r="AM57" s="939">
        <f t="shared" si="4"/>
        <v>1</v>
      </c>
      <c r="AN57" s="837">
        <v>0</v>
      </c>
      <c r="AO57" s="838" t="s">
        <v>2000</v>
      </c>
      <c r="AP57" s="838"/>
      <c r="AQ57" s="940">
        <f t="shared" si="5"/>
        <v>0</v>
      </c>
      <c r="AR57" s="839"/>
      <c r="AS57" s="856"/>
      <c r="AT57" s="856"/>
    </row>
    <row r="58" spans="1:46" ht="38.65" customHeight="1" thickBot="1">
      <c r="A58" s="1572"/>
      <c r="B58" s="1572"/>
      <c r="C58" s="847" t="s">
        <v>1755</v>
      </c>
      <c r="D58" s="1574"/>
      <c r="E58" s="1574"/>
      <c r="F58" s="1574"/>
      <c r="G58" s="1574"/>
      <c r="H58" s="1574"/>
      <c r="I58" s="1574"/>
      <c r="J58" s="1574"/>
      <c r="K58" s="1574"/>
      <c r="L58" s="1574"/>
      <c r="M58" s="1574"/>
      <c r="N58" s="1574"/>
      <c r="O58" s="1574"/>
      <c r="P58" s="1574"/>
      <c r="Q58" s="1574"/>
      <c r="R58" s="1574"/>
      <c r="S58" s="1574"/>
      <c r="T58" s="1574"/>
      <c r="U58" s="1574"/>
      <c r="V58" s="1574"/>
      <c r="W58" s="1574"/>
      <c r="X58" s="1574"/>
      <c r="Y58" s="1574"/>
      <c r="Z58" s="1574"/>
      <c r="AA58" s="1574"/>
      <c r="AB58" s="1574"/>
      <c r="AC58" s="1574"/>
      <c r="AD58" s="1574"/>
      <c r="AE58" s="1574">
        <f t="shared" si="38"/>
        <v>0</v>
      </c>
      <c r="AF58" s="1574"/>
      <c r="AG58" s="1574"/>
      <c r="AH58" s="1574"/>
      <c r="AI58" s="1574">
        <f t="shared" si="3"/>
        <v>0</v>
      </c>
      <c r="AJ58" s="1574"/>
      <c r="AK58" s="1574"/>
      <c r="AL58" s="1574"/>
      <c r="AM58" s="1574">
        <f t="shared" si="4"/>
        <v>0</v>
      </c>
      <c r="AN58" s="1574"/>
      <c r="AO58" s="1574"/>
      <c r="AP58" s="1574"/>
      <c r="AQ58" s="1574">
        <f t="shared" si="5"/>
        <v>0</v>
      </c>
      <c r="AR58" s="1574"/>
      <c r="AS58" s="1574"/>
      <c r="AT58" s="1574"/>
    </row>
    <row r="59" spans="1:46" ht="62.25" customHeight="1">
      <c r="A59" s="1570" t="s">
        <v>1978</v>
      </c>
      <c r="B59" s="1570" t="s">
        <v>2001</v>
      </c>
      <c r="C59" s="1571" t="s">
        <v>1608</v>
      </c>
      <c r="D59" s="840">
        <v>17.100000000000001</v>
      </c>
      <c r="E59" s="820" t="s">
        <v>2002</v>
      </c>
      <c r="F59" s="906">
        <v>0.03</v>
      </c>
      <c r="G59" s="821" t="s">
        <v>538</v>
      </c>
      <c r="H59" s="821" t="s">
        <v>532</v>
      </c>
      <c r="I59" s="1019">
        <v>1</v>
      </c>
      <c r="J59" s="824">
        <f>AF59</f>
        <v>1</v>
      </c>
      <c r="K59" s="851">
        <f>IF(ISERROR(J59/I59),"",(J59/I59))</f>
        <v>1</v>
      </c>
      <c r="L59" s="1020">
        <v>0</v>
      </c>
      <c r="M59" s="827">
        <f>AJ59</f>
        <v>0</v>
      </c>
      <c r="N59" s="825" t="str">
        <f>IF(ISERROR(M59/L59),"",(M59/L59))</f>
        <v/>
      </c>
      <c r="O59" s="1019">
        <v>0</v>
      </c>
      <c r="P59" s="824">
        <f>AN59</f>
        <v>0</v>
      </c>
      <c r="Q59" s="829">
        <f>IF(ISERROR(P59/O59),0,(P59/O59))</f>
        <v>0</v>
      </c>
      <c r="R59" s="1020">
        <v>0</v>
      </c>
      <c r="S59" s="827">
        <f>AR59</f>
        <v>0</v>
      </c>
      <c r="T59" s="828" t="str">
        <f t="shared" si="0"/>
        <v/>
      </c>
      <c r="U59" s="831">
        <f t="shared" ref="U59:V61" si="40">SUM(I59,L59,O59,R59)</f>
        <v>1</v>
      </c>
      <c r="V59" s="1002">
        <f t="shared" si="40"/>
        <v>1</v>
      </c>
      <c r="W59" s="832">
        <f>IF((IF(ISERROR(V59/U59),0,(V59/U59)))&gt;1,1,(IF(ISERROR(V59/U59),0,(V59/U59))))</f>
        <v>1</v>
      </c>
      <c r="X59" s="832">
        <f>F59*W59</f>
        <v>0.03</v>
      </c>
      <c r="Y59" s="830" t="s">
        <v>2003</v>
      </c>
      <c r="Z59" s="985" t="s">
        <v>2004</v>
      </c>
      <c r="AA59" s="985" t="s">
        <v>2005</v>
      </c>
      <c r="AB59" s="862" t="s">
        <v>542</v>
      </c>
      <c r="AC59" s="1015"/>
      <c r="AD59" s="1015"/>
      <c r="AE59" s="939">
        <f t="shared" si="38"/>
        <v>1</v>
      </c>
      <c r="AF59" s="837">
        <v>1</v>
      </c>
      <c r="AG59" s="855" t="s">
        <v>2006</v>
      </c>
      <c r="AH59" s="888" t="s">
        <v>2007</v>
      </c>
      <c r="AI59" s="940">
        <f t="shared" si="3"/>
        <v>0</v>
      </c>
      <c r="AJ59" s="839"/>
      <c r="AK59" s="856"/>
      <c r="AL59" s="856"/>
      <c r="AM59" s="939">
        <f t="shared" si="4"/>
        <v>0</v>
      </c>
      <c r="AN59" s="837"/>
      <c r="AO59" s="838"/>
      <c r="AP59" s="838"/>
      <c r="AQ59" s="940">
        <f t="shared" si="5"/>
        <v>0</v>
      </c>
      <c r="AR59" s="839"/>
      <c r="AS59" s="856"/>
      <c r="AT59" s="856"/>
    </row>
    <row r="60" spans="1:46" ht="69.400000000000006" customHeight="1">
      <c r="A60" s="1570"/>
      <c r="B60" s="1570"/>
      <c r="C60" s="1571"/>
      <c r="D60" s="840">
        <v>17.2</v>
      </c>
      <c r="E60" s="820" t="s">
        <v>2008</v>
      </c>
      <c r="F60" s="906">
        <v>0.02</v>
      </c>
      <c r="G60" s="821" t="s">
        <v>538</v>
      </c>
      <c r="H60" s="821" t="s">
        <v>532</v>
      </c>
      <c r="I60" s="1019">
        <v>0</v>
      </c>
      <c r="J60" s="824">
        <f>AF60</f>
        <v>0</v>
      </c>
      <c r="K60" s="851" t="str">
        <f>IF(ISERROR(J60/I60),"",(J60/I60))</f>
        <v/>
      </c>
      <c r="L60" s="1020">
        <v>1</v>
      </c>
      <c r="M60" s="827">
        <f>AJ60</f>
        <v>0</v>
      </c>
      <c r="N60" s="825">
        <f>IF(ISERROR(M60/L60),"",(M60/L60))</f>
        <v>0</v>
      </c>
      <c r="O60" s="1019">
        <v>0</v>
      </c>
      <c r="P60" s="824">
        <f>AN60</f>
        <v>1</v>
      </c>
      <c r="Q60" s="829">
        <f>IF(ISERROR(P60/O60),0,(P60/O60))</f>
        <v>0</v>
      </c>
      <c r="R60" s="1020">
        <v>1</v>
      </c>
      <c r="S60" s="827">
        <f>AR60</f>
        <v>0</v>
      </c>
      <c r="T60" s="828">
        <f t="shared" si="0"/>
        <v>0</v>
      </c>
      <c r="U60" s="831">
        <f t="shared" si="40"/>
        <v>2</v>
      </c>
      <c r="V60" s="1002">
        <f t="shared" si="40"/>
        <v>1</v>
      </c>
      <c r="W60" s="832">
        <f>IF((IF(ISERROR(V60/U60),0,(V60/U60)))&gt;1,1,(IF(ISERROR(V60/U60),0,(V60/U60))))</f>
        <v>0.5</v>
      </c>
      <c r="X60" s="832">
        <f>F60*W60</f>
        <v>0.01</v>
      </c>
      <c r="Y60" s="830" t="s">
        <v>2009</v>
      </c>
      <c r="Z60" s="985" t="s">
        <v>2010</v>
      </c>
      <c r="AA60" s="985" t="s">
        <v>2011</v>
      </c>
      <c r="AB60" s="862" t="s">
        <v>542</v>
      </c>
      <c r="AC60" s="863"/>
      <c r="AD60" s="844" t="s">
        <v>2012</v>
      </c>
      <c r="AE60" s="939">
        <f t="shared" si="38"/>
        <v>0</v>
      </c>
      <c r="AF60" s="837"/>
      <c r="AG60" s="838"/>
      <c r="AH60" s="838"/>
      <c r="AI60" s="940">
        <f t="shared" si="3"/>
        <v>1</v>
      </c>
      <c r="AJ60" s="839">
        <v>0</v>
      </c>
      <c r="AK60" s="856" t="s">
        <v>2013</v>
      </c>
      <c r="AL60" s="856"/>
      <c r="AM60" s="939">
        <f t="shared" si="4"/>
        <v>0</v>
      </c>
      <c r="AN60" s="958">
        <v>1</v>
      </c>
      <c r="AO60" s="922" t="s">
        <v>2014</v>
      </c>
      <c r="AP60" s="922" t="s">
        <v>2015</v>
      </c>
      <c r="AQ60" s="940">
        <f t="shared" si="5"/>
        <v>1</v>
      </c>
      <c r="AR60" s="1021">
        <v>0</v>
      </c>
      <c r="AS60" s="856" t="s">
        <v>2016</v>
      </c>
      <c r="AT60" s="842"/>
    </row>
    <row r="61" spans="1:46" ht="69.400000000000006" customHeight="1">
      <c r="A61" s="1570"/>
      <c r="B61" s="1570"/>
      <c r="C61" s="1571"/>
      <c r="D61" s="840">
        <v>17.3</v>
      </c>
      <c r="E61" s="820" t="s">
        <v>2017</v>
      </c>
      <c r="F61" s="906">
        <v>0.02</v>
      </c>
      <c r="G61" s="821" t="s">
        <v>538</v>
      </c>
      <c r="H61" s="821" t="s">
        <v>532</v>
      </c>
      <c r="I61" s="964">
        <v>0</v>
      </c>
      <c r="J61" s="934">
        <f>AF61</f>
        <v>0</v>
      </c>
      <c r="K61" s="851" t="str">
        <f>IF(ISERROR(J61/I61),"",(J61/I61))</f>
        <v/>
      </c>
      <c r="L61" s="965">
        <v>0</v>
      </c>
      <c r="M61" s="935">
        <f>AJ61</f>
        <v>0</v>
      </c>
      <c r="N61" s="825" t="str">
        <f>IF(ISERROR(M61/L61),"",(M61/L61))</f>
        <v/>
      </c>
      <c r="O61" s="964">
        <v>0</v>
      </c>
      <c r="P61" s="934">
        <f>AN61</f>
        <v>0</v>
      </c>
      <c r="Q61" s="829">
        <f>IF(ISERROR(P61/O61),0,(P61/O61))</f>
        <v>0</v>
      </c>
      <c r="R61" s="965">
        <v>1</v>
      </c>
      <c r="S61" s="827" t="str">
        <f>AR61</f>
        <v>1</v>
      </c>
      <c r="T61" s="828">
        <f t="shared" si="0"/>
        <v>1</v>
      </c>
      <c r="U61" s="937">
        <f t="shared" si="40"/>
        <v>1</v>
      </c>
      <c r="V61" s="1002">
        <f t="shared" si="40"/>
        <v>0</v>
      </c>
      <c r="W61" s="832">
        <f>IF((IF(ISERROR(V61/U61),0,(V61/U61)))&gt;1,1,(IF(ISERROR(V61/U61),0,(V61/U61))))</f>
        <v>0</v>
      </c>
      <c r="X61" s="832">
        <f>F61*W61</f>
        <v>0</v>
      </c>
      <c r="Y61" s="835" t="s">
        <v>2018</v>
      </c>
      <c r="Z61" s="835" t="s">
        <v>2019</v>
      </c>
      <c r="AA61" s="835" t="s">
        <v>2020</v>
      </c>
      <c r="AB61" s="862" t="s">
        <v>542</v>
      </c>
      <c r="AC61" s="863"/>
      <c r="AD61" s="863"/>
      <c r="AE61" s="939">
        <f t="shared" si="38"/>
        <v>0</v>
      </c>
      <c r="AF61" s="837"/>
      <c r="AG61" s="838"/>
      <c r="AH61" s="838"/>
      <c r="AI61" s="940">
        <f t="shared" si="3"/>
        <v>0</v>
      </c>
      <c r="AJ61" s="839"/>
      <c r="AK61" s="856"/>
      <c r="AL61" s="856"/>
      <c r="AM61" s="939">
        <f t="shared" si="4"/>
        <v>0</v>
      </c>
      <c r="AN61" s="837"/>
      <c r="AO61" s="838"/>
      <c r="AP61" s="838"/>
      <c r="AQ61" s="940">
        <f t="shared" si="5"/>
        <v>1</v>
      </c>
      <c r="AR61" s="1022" t="s">
        <v>2021</v>
      </c>
      <c r="AS61" s="842" t="s">
        <v>2022</v>
      </c>
      <c r="AT61" s="842" t="s">
        <v>1622</v>
      </c>
    </row>
    <row r="62" spans="1:46" ht="30.75" customHeight="1">
      <c r="F62" s="1023">
        <f>SUM(F12:F61)</f>
        <v>1.0000000000000007</v>
      </c>
    </row>
  </sheetData>
  <sheetProtection password="EEC9" sheet="1" objects="1" scenarios="1" selectLockedCells="1" selectUnlockedCells="1"/>
  <mergeCells count="81">
    <mergeCell ref="A1:E3"/>
    <mergeCell ref="F1:AB1"/>
    <mergeCell ref="F2:AB2"/>
    <mergeCell ref="F3:AB3"/>
    <mergeCell ref="A4:E4"/>
    <mergeCell ref="F4:AB4"/>
    <mergeCell ref="F8:F11"/>
    <mergeCell ref="A5:E5"/>
    <mergeCell ref="F5:AB5"/>
    <mergeCell ref="A6:E6"/>
    <mergeCell ref="F6:AB6"/>
    <mergeCell ref="A7:E7"/>
    <mergeCell ref="F7:AB7"/>
    <mergeCell ref="A8:A11"/>
    <mergeCell ref="B8:B11"/>
    <mergeCell ref="C8:C10"/>
    <mergeCell ref="D8:D11"/>
    <mergeCell ref="E8:E11"/>
    <mergeCell ref="G8:G11"/>
    <mergeCell ref="H8:H11"/>
    <mergeCell ref="I8:X8"/>
    <mergeCell ref="Y8:AD8"/>
    <mergeCell ref="I9:K9"/>
    <mergeCell ref="L9:N9"/>
    <mergeCell ref="O9:Q9"/>
    <mergeCell ref="R9:T9"/>
    <mergeCell ref="U9:W9"/>
    <mergeCell ref="Y9:Y11"/>
    <mergeCell ref="Z9:AA9"/>
    <mergeCell ref="AB9:AB11"/>
    <mergeCell ref="AC9:AC11"/>
    <mergeCell ref="AD9:AD11"/>
    <mergeCell ref="I10:I11"/>
    <mergeCell ref="J10:J11"/>
    <mergeCell ref="K10:K11"/>
    <mergeCell ref="L10:L11"/>
    <mergeCell ref="M10:M11"/>
    <mergeCell ref="N10:N11"/>
    <mergeCell ref="P10:P11"/>
    <mergeCell ref="Q10:Q11"/>
    <mergeCell ref="R10:R11"/>
    <mergeCell ref="S10:S11"/>
    <mergeCell ref="O10:O11"/>
    <mergeCell ref="T10:T11"/>
    <mergeCell ref="A26:B26"/>
    <mergeCell ref="E26:AT26"/>
    <mergeCell ref="AE10:AH10"/>
    <mergeCell ref="AI10:AL10"/>
    <mergeCell ref="AM10:AP10"/>
    <mergeCell ref="AQ10:AT10"/>
    <mergeCell ref="A12:A14"/>
    <mergeCell ref="B12:B14"/>
    <mergeCell ref="C12:C14"/>
    <mergeCell ref="U10:U11"/>
    <mergeCell ref="V10:V11"/>
    <mergeCell ref="W10:W11"/>
    <mergeCell ref="X10:X11"/>
    <mergeCell ref="Z10:Z11"/>
    <mergeCell ref="AA10:AA11"/>
    <mergeCell ref="A15:B15"/>
    <mergeCell ref="D15:AT15"/>
    <mergeCell ref="A16:A25"/>
    <mergeCell ref="B16:B25"/>
    <mergeCell ref="C16:C25"/>
    <mergeCell ref="A27:A42"/>
    <mergeCell ref="B27:B42"/>
    <mergeCell ref="C27:C42"/>
    <mergeCell ref="D43:AT43"/>
    <mergeCell ref="A44:A53"/>
    <mergeCell ref="B44:B53"/>
    <mergeCell ref="C44:C53"/>
    <mergeCell ref="A59:A61"/>
    <mergeCell ref="B59:B61"/>
    <mergeCell ref="C59:C61"/>
    <mergeCell ref="A54:B54"/>
    <mergeCell ref="D54:AT54"/>
    <mergeCell ref="A55:A57"/>
    <mergeCell ref="B55:B57"/>
    <mergeCell ref="C55:C57"/>
    <mergeCell ref="A58:B58"/>
    <mergeCell ref="D58:AT58"/>
  </mergeCells>
  <conditionalFormatting sqref="K13:K14 K17:K25 K28:K42 K45:K53 K56:K57 K60:K61 N13:N14">
    <cfRule type="cellIs" dxfId="353" priority="349" stopIfTrue="1" operator="between">
      <formula>0.9</formula>
      <formula>1.05</formula>
    </cfRule>
    <cfRule type="cellIs" dxfId="352" priority="350" stopIfTrue="1" operator="between">
      <formula>0.7</formula>
      <formula>0.8999</formula>
    </cfRule>
    <cfRule type="cellIs" dxfId="351" priority="351" stopIfTrue="1" operator="between">
      <formula>0</formula>
      <formula>0.699</formula>
    </cfRule>
  </conditionalFormatting>
  <conditionalFormatting sqref="K12">
    <cfRule type="cellIs" dxfId="350" priority="346" stopIfTrue="1" operator="between">
      <formula>0.9</formula>
      <formula>1.05</formula>
    </cfRule>
    <cfRule type="cellIs" dxfId="349" priority="347" stopIfTrue="1" operator="between">
      <formula>0.7</formula>
      <formula>0.8999</formula>
    </cfRule>
    <cfRule type="cellIs" dxfId="348" priority="348" stopIfTrue="1" operator="between">
      <formula>0</formula>
      <formula>0.699</formula>
    </cfRule>
  </conditionalFormatting>
  <conditionalFormatting sqref="K13">
    <cfRule type="cellIs" dxfId="347" priority="343" stopIfTrue="1" operator="between">
      <formula>0.9</formula>
      <formula>1.05</formula>
    </cfRule>
    <cfRule type="cellIs" dxfId="346" priority="344" stopIfTrue="1" operator="between">
      <formula>0.7</formula>
      <formula>0.8999</formula>
    </cfRule>
    <cfRule type="cellIs" dxfId="345" priority="345" stopIfTrue="1" operator="between">
      <formula>0</formula>
      <formula>0.699</formula>
    </cfRule>
  </conditionalFormatting>
  <conditionalFormatting sqref="K16:K25 N13:N14">
    <cfRule type="cellIs" dxfId="344" priority="340" stopIfTrue="1" operator="between">
      <formula>0.9</formula>
      <formula>1.05</formula>
    </cfRule>
    <cfRule type="cellIs" dxfId="343" priority="341" stopIfTrue="1" operator="between">
      <formula>0.7</formula>
      <formula>0.8999</formula>
    </cfRule>
    <cfRule type="cellIs" dxfId="342" priority="342" stopIfTrue="1" operator="between">
      <formula>0</formula>
      <formula>0.699</formula>
    </cfRule>
  </conditionalFormatting>
  <conditionalFormatting sqref="K27:K42 K45:K53 K56:K57 K60:K61">
    <cfRule type="cellIs" dxfId="341" priority="337" stopIfTrue="1" operator="between">
      <formula>0.9</formula>
      <formula>1.05</formula>
    </cfRule>
    <cfRule type="cellIs" dxfId="340" priority="338" stopIfTrue="1" operator="between">
      <formula>0.7</formula>
      <formula>0.8999</formula>
    </cfRule>
    <cfRule type="cellIs" dxfId="339" priority="339" stopIfTrue="1" operator="between">
      <formula>0</formula>
      <formula>0.699</formula>
    </cfRule>
  </conditionalFormatting>
  <conditionalFormatting sqref="N28:N42">
    <cfRule type="cellIs" dxfId="338" priority="334" stopIfTrue="1" operator="between">
      <formula>0.9</formula>
      <formula>1.05</formula>
    </cfRule>
    <cfRule type="cellIs" dxfId="337" priority="335" stopIfTrue="1" operator="between">
      <formula>0.7</formula>
      <formula>0.8999</formula>
    </cfRule>
    <cfRule type="cellIs" dxfId="336" priority="336" stopIfTrue="1" operator="between">
      <formula>0</formula>
      <formula>0.699</formula>
    </cfRule>
  </conditionalFormatting>
  <conditionalFormatting sqref="N27:N42">
    <cfRule type="cellIs" dxfId="335" priority="331" stopIfTrue="1" operator="between">
      <formula>0.9</formula>
      <formula>1.05</formula>
    </cfRule>
    <cfRule type="cellIs" dxfId="334" priority="332" stopIfTrue="1" operator="between">
      <formula>0.7</formula>
      <formula>0.8999</formula>
    </cfRule>
    <cfRule type="cellIs" dxfId="333" priority="333" stopIfTrue="1" operator="between">
      <formula>0</formula>
      <formula>0.699</formula>
    </cfRule>
  </conditionalFormatting>
  <conditionalFormatting sqref="N17:N25 N13:N14 Q18:Q25">
    <cfRule type="cellIs" dxfId="332" priority="328" stopIfTrue="1" operator="between">
      <formula>0.9</formula>
      <formula>1.05</formula>
    </cfRule>
    <cfRule type="cellIs" dxfId="331" priority="329" stopIfTrue="1" operator="between">
      <formula>0.7</formula>
      <formula>0.8999</formula>
    </cfRule>
    <cfRule type="cellIs" dxfId="330" priority="330" stopIfTrue="1" operator="between">
      <formula>0</formula>
      <formula>0.699</formula>
    </cfRule>
  </conditionalFormatting>
  <conditionalFormatting sqref="N16:N25 N13:N14 Q18:Q25">
    <cfRule type="cellIs" dxfId="329" priority="325" stopIfTrue="1" operator="between">
      <formula>0.9</formula>
      <formula>1.05</formula>
    </cfRule>
    <cfRule type="cellIs" dxfId="328" priority="326" stopIfTrue="1" operator="between">
      <formula>0.7</formula>
      <formula>0.8999</formula>
    </cfRule>
    <cfRule type="cellIs" dxfId="327" priority="327" stopIfTrue="1" operator="between">
      <formula>0</formula>
      <formula>0.699</formula>
    </cfRule>
  </conditionalFormatting>
  <conditionalFormatting sqref="K44:K53 K56:K57 K60:K61">
    <cfRule type="cellIs" dxfId="326" priority="322" stopIfTrue="1" operator="between">
      <formula>0.9</formula>
      <formula>1.05</formula>
    </cfRule>
    <cfRule type="cellIs" dxfId="325" priority="323" stopIfTrue="1" operator="between">
      <formula>0.7</formula>
      <formula>0.8999</formula>
    </cfRule>
    <cfRule type="cellIs" dxfId="324" priority="324" stopIfTrue="1" operator="between">
      <formula>0</formula>
      <formula>0.699</formula>
    </cfRule>
  </conditionalFormatting>
  <conditionalFormatting sqref="K44:K53 K56:K57 K60:K61">
    <cfRule type="cellIs" dxfId="323" priority="319" stopIfTrue="1" operator="between">
      <formula>0.9</formula>
      <formula>1.05</formula>
    </cfRule>
    <cfRule type="cellIs" dxfId="322" priority="320" stopIfTrue="1" operator="between">
      <formula>0.7</formula>
      <formula>0.8999</formula>
    </cfRule>
    <cfRule type="cellIs" dxfId="321" priority="321" stopIfTrue="1" operator="between">
      <formula>0</formula>
      <formula>0.699</formula>
    </cfRule>
  </conditionalFormatting>
  <conditionalFormatting sqref="N45:N53">
    <cfRule type="cellIs" dxfId="320" priority="316" stopIfTrue="1" operator="between">
      <formula>0.9</formula>
      <formula>1.05</formula>
    </cfRule>
    <cfRule type="cellIs" dxfId="319" priority="317" stopIfTrue="1" operator="between">
      <formula>0.7</formula>
      <formula>0.8999</formula>
    </cfRule>
    <cfRule type="cellIs" dxfId="318" priority="318" stopIfTrue="1" operator="between">
      <formula>0</formula>
      <formula>0.699</formula>
    </cfRule>
  </conditionalFormatting>
  <conditionalFormatting sqref="N45:N53">
    <cfRule type="cellIs" dxfId="317" priority="313" stopIfTrue="1" operator="between">
      <formula>0.9</formula>
      <formula>1.05</formula>
    </cfRule>
    <cfRule type="cellIs" dxfId="316" priority="314" stopIfTrue="1" operator="between">
      <formula>0.7</formula>
      <formula>0.8999</formula>
    </cfRule>
    <cfRule type="cellIs" dxfId="315" priority="315" stopIfTrue="1" operator="between">
      <formula>0</formula>
      <formula>0.699</formula>
    </cfRule>
  </conditionalFormatting>
  <conditionalFormatting sqref="N44:N53">
    <cfRule type="cellIs" dxfId="314" priority="310" stopIfTrue="1" operator="between">
      <formula>0.9</formula>
      <formula>1.05</formula>
    </cfRule>
    <cfRule type="cellIs" dxfId="313" priority="311" stopIfTrue="1" operator="between">
      <formula>0.7</formula>
      <formula>0.8999</formula>
    </cfRule>
    <cfRule type="cellIs" dxfId="312" priority="312" stopIfTrue="1" operator="between">
      <formula>0</formula>
      <formula>0.699</formula>
    </cfRule>
  </conditionalFormatting>
  <conditionalFormatting sqref="N44:N53">
    <cfRule type="cellIs" dxfId="311" priority="307" stopIfTrue="1" operator="between">
      <formula>0.9</formula>
      <formula>1.05</formula>
    </cfRule>
    <cfRule type="cellIs" dxfId="310" priority="308" stopIfTrue="1" operator="between">
      <formula>0.7</formula>
      <formula>0.8999</formula>
    </cfRule>
    <cfRule type="cellIs" dxfId="309" priority="309" stopIfTrue="1" operator="between">
      <formula>0</formula>
      <formula>0.699</formula>
    </cfRule>
  </conditionalFormatting>
  <conditionalFormatting sqref="K55:K57">
    <cfRule type="cellIs" dxfId="308" priority="304" stopIfTrue="1" operator="between">
      <formula>0.9</formula>
      <formula>1.05</formula>
    </cfRule>
    <cfRule type="cellIs" dxfId="307" priority="305" stopIfTrue="1" operator="between">
      <formula>0.7</formula>
      <formula>0.8999</formula>
    </cfRule>
    <cfRule type="cellIs" dxfId="306" priority="306" stopIfTrue="1" operator="between">
      <formula>0</formula>
      <formula>0.699</formula>
    </cfRule>
  </conditionalFormatting>
  <conditionalFormatting sqref="K55:K57">
    <cfRule type="cellIs" dxfId="305" priority="301" stopIfTrue="1" operator="between">
      <formula>0.9</formula>
      <formula>1.05</formula>
    </cfRule>
    <cfRule type="cellIs" dxfId="304" priority="302" stopIfTrue="1" operator="between">
      <formula>0.7</formula>
      <formula>0.8999</formula>
    </cfRule>
    <cfRule type="cellIs" dxfId="303" priority="303" stopIfTrue="1" operator="between">
      <formula>0</formula>
      <formula>0.699</formula>
    </cfRule>
  </conditionalFormatting>
  <conditionalFormatting sqref="K55:K57">
    <cfRule type="cellIs" dxfId="302" priority="298" stopIfTrue="1" operator="between">
      <formula>0.9</formula>
      <formula>1.05</formula>
    </cfRule>
    <cfRule type="cellIs" dxfId="301" priority="299" stopIfTrue="1" operator="between">
      <formula>0.7</formula>
      <formula>0.8999</formula>
    </cfRule>
    <cfRule type="cellIs" dxfId="300" priority="300" stopIfTrue="1" operator="between">
      <formula>0</formula>
      <formula>0.699</formula>
    </cfRule>
  </conditionalFormatting>
  <conditionalFormatting sqref="K55:K57">
    <cfRule type="cellIs" dxfId="299" priority="295" stopIfTrue="1" operator="between">
      <formula>0.9</formula>
      <formula>1.05</formula>
    </cfRule>
    <cfRule type="cellIs" dxfId="298" priority="296" stopIfTrue="1" operator="between">
      <formula>0.7</formula>
      <formula>0.8999</formula>
    </cfRule>
    <cfRule type="cellIs" dxfId="297" priority="297" stopIfTrue="1" operator="between">
      <formula>0</formula>
      <formula>0.699</formula>
    </cfRule>
  </conditionalFormatting>
  <conditionalFormatting sqref="K59:K61">
    <cfRule type="cellIs" dxfId="296" priority="292" stopIfTrue="1" operator="between">
      <formula>0.9</formula>
      <formula>1.05</formula>
    </cfRule>
    <cfRule type="cellIs" dxfId="295" priority="293" stopIfTrue="1" operator="between">
      <formula>0.7</formula>
      <formula>0.8999</formula>
    </cfRule>
    <cfRule type="cellIs" dxfId="294" priority="294" stopIfTrue="1" operator="between">
      <formula>0</formula>
      <formula>0.699</formula>
    </cfRule>
  </conditionalFormatting>
  <conditionalFormatting sqref="K59:K61">
    <cfRule type="cellIs" dxfId="293" priority="289" stopIfTrue="1" operator="between">
      <formula>0.9</formula>
      <formula>1.05</formula>
    </cfRule>
    <cfRule type="cellIs" dxfId="292" priority="290" stopIfTrue="1" operator="between">
      <formula>0.7</formula>
      <formula>0.8999</formula>
    </cfRule>
    <cfRule type="cellIs" dxfId="291" priority="291" stopIfTrue="1" operator="between">
      <formula>0</formula>
      <formula>0.699</formula>
    </cfRule>
  </conditionalFormatting>
  <conditionalFormatting sqref="K59:K61">
    <cfRule type="cellIs" dxfId="290" priority="286" stopIfTrue="1" operator="between">
      <formula>0.9</formula>
      <formula>1.05</formula>
    </cfRule>
    <cfRule type="cellIs" dxfId="289" priority="287" stopIfTrue="1" operator="between">
      <formula>0.7</formula>
      <formula>0.8999</formula>
    </cfRule>
    <cfRule type="cellIs" dxfId="288" priority="288" stopIfTrue="1" operator="between">
      <formula>0</formula>
      <formula>0.699</formula>
    </cfRule>
  </conditionalFormatting>
  <conditionalFormatting sqref="K59:K61">
    <cfRule type="cellIs" dxfId="287" priority="283" stopIfTrue="1" operator="between">
      <formula>0.9</formula>
      <formula>1.05</formula>
    </cfRule>
    <cfRule type="cellIs" dxfId="286" priority="284" stopIfTrue="1" operator="between">
      <formula>0.7</formula>
      <formula>0.8999</formula>
    </cfRule>
    <cfRule type="cellIs" dxfId="285" priority="285" stopIfTrue="1" operator="between">
      <formula>0</formula>
      <formula>0.699</formula>
    </cfRule>
  </conditionalFormatting>
  <conditionalFormatting sqref="N56:N57">
    <cfRule type="cellIs" dxfId="284" priority="280" stopIfTrue="1" operator="between">
      <formula>0.9</formula>
      <formula>1.05</formula>
    </cfRule>
    <cfRule type="cellIs" dxfId="283" priority="281" stopIfTrue="1" operator="between">
      <formula>0.7</formula>
      <formula>0.8999</formula>
    </cfRule>
    <cfRule type="cellIs" dxfId="282" priority="282" stopIfTrue="1" operator="between">
      <formula>0</formula>
      <formula>0.699</formula>
    </cfRule>
  </conditionalFormatting>
  <conditionalFormatting sqref="N56:N57">
    <cfRule type="cellIs" dxfId="281" priority="277" stopIfTrue="1" operator="between">
      <formula>0.9</formula>
      <formula>1.05</formula>
    </cfRule>
    <cfRule type="cellIs" dxfId="280" priority="278" stopIfTrue="1" operator="between">
      <formula>0.7</formula>
      <formula>0.8999</formula>
    </cfRule>
    <cfRule type="cellIs" dxfId="279" priority="279" stopIfTrue="1" operator="between">
      <formula>0</formula>
      <formula>0.699</formula>
    </cfRule>
  </conditionalFormatting>
  <conditionalFormatting sqref="N56:N57">
    <cfRule type="cellIs" dxfId="278" priority="274" stopIfTrue="1" operator="between">
      <formula>0.9</formula>
      <formula>1.05</formula>
    </cfRule>
    <cfRule type="cellIs" dxfId="277" priority="275" stopIfTrue="1" operator="between">
      <formula>0.7</formula>
      <formula>0.8999</formula>
    </cfRule>
    <cfRule type="cellIs" dxfId="276" priority="276" stopIfTrue="1" operator="between">
      <formula>0</formula>
      <formula>0.699</formula>
    </cfRule>
  </conditionalFormatting>
  <conditionalFormatting sqref="N56:N57">
    <cfRule type="cellIs" dxfId="275" priority="271" stopIfTrue="1" operator="between">
      <formula>0.9</formula>
      <formula>1.05</formula>
    </cfRule>
    <cfRule type="cellIs" dxfId="274" priority="272" stopIfTrue="1" operator="between">
      <formula>0.7</formula>
      <formula>0.8999</formula>
    </cfRule>
    <cfRule type="cellIs" dxfId="273" priority="273" stopIfTrue="1" operator="between">
      <formula>0</formula>
      <formula>0.699</formula>
    </cfRule>
  </conditionalFormatting>
  <conditionalFormatting sqref="N55:N57">
    <cfRule type="cellIs" dxfId="272" priority="268" stopIfTrue="1" operator="between">
      <formula>0.9</formula>
      <formula>1.05</formula>
    </cfRule>
    <cfRule type="cellIs" dxfId="271" priority="269" stopIfTrue="1" operator="between">
      <formula>0.7</formula>
      <formula>0.8999</formula>
    </cfRule>
    <cfRule type="cellIs" dxfId="270" priority="270" stopIfTrue="1" operator="between">
      <formula>0</formula>
      <formula>0.699</formula>
    </cfRule>
  </conditionalFormatting>
  <conditionalFormatting sqref="N55:N57">
    <cfRule type="cellIs" dxfId="269" priority="265" stopIfTrue="1" operator="between">
      <formula>0.9</formula>
      <formula>1.05</formula>
    </cfRule>
    <cfRule type="cellIs" dxfId="268" priority="266" stopIfTrue="1" operator="between">
      <formula>0.7</formula>
      <formula>0.8999</formula>
    </cfRule>
    <cfRule type="cellIs" dxfId="267" priority="267" stopIfTrue="1" operator="between">
      <formula>0</formula>
      <formula>0.699</formula>
    </cfRule>
  </conditionalFormatting>
  <conditionalFormatting sqref="N55:N57">
    <cfRule type="cellIs" dxfId="266" priority="262" stopIfTrue="1" operator="between">
      <formula>0.9</formula>
      <formula>1.05</formula>
    </cfRule>
    <cfRule type="cellIs" dxfId="265" priority="263" stopIfTrue="1" operator="between">
      <formula>0.7</formula>
      <formula>0.8999</formula>
    </cfRule>
    <cfRule type="cellIs" dxfId="264" priority="264" stopIfTrue="1" operator="between">
      <formula>0</formula>
      <formula>0.699</formula>
    </cfRule>
  </conditionalFormatting>
  <conditionalFormatting sqref="N55:N57">
    <cfRule type="cellIs" dxfId="263" priority="259" stopIfTrue="1" operator="between">
      <formula>0.9</formula>
      <formula>1.05</formula>
    </cfRule>
    <cfRule type="cellIs" dxfId="262" priority="260" stopIfTrue="1" operator="between">
      <formula>0.7</formula>
      <formula>0.8999</formula>
    </cfRule>
    <cfRule type="cellIs" dxfId="261" priority="261" stopIfTrue="1" operator="between">
      <formula>0</formula>
      <formula>0.699</formula>
    </cfRule>
  </conditionalFormatting>
  <conditionalFormatting sqref="N60:N61">
    <cfRule type="cellIs" dxfId="260" priority="256" stopIfTrue="1" operator="between">
      <formula>0.9</formula>
      <formula>1.05</formula>
    </cfRule>
    <cfRule type="cellIs" dxfId="259" priority="257" stopIfTrue="1" operator="between">
      <formula>0.7</formula>
      <formula>0.8999</formula>
    </cfRule>
    <cfRule type="cellIs" dxfId="258" priority="258" stopIfTrue="1" operator="between">
      <formula>0</formula>
      <formula>0.699</formula>
    </cfRule>
  </conditionalFormatting>
  <conditionalFormatting sqref="N60:N61">
    <cfRule type="cellIs" dxfId="257" priority="253" stopIfTrue="1" operator="between">
      <formula>0.9</formula>
      <formula>1.05</formula>
    </cfRule>
    <cfRule type="cellIs" dxfId="256" priority="254" stopIfTrue="1" operator="between">
      <formula>0.7</formula>
      <formula>0.8999</formula>
    </cfRule>
    <cfRule type="cellIs" dxfId="255" priority="255" stopIfTrue="1" operator="between">
      <formula>0</formula>
      <formula>0.699</formula>
    </cfRule>
  </conditionalFormatting>
  <conditionalFormatting sqref="N60:N61">
    <cfRule type="cellIs" dxfId="254" priority="250" stopIfTrue="1" operator="between">
      <formula>0.9</formula>
      <formula>1.05</formula>
    </cfRule>
    <cfRule type="cellIs" dxfId="253" priority="251" stopIfTrue="1" operator="between">
      <formula>0.7</formula>
      <formula>0.8999</formula>
    </cfRule>
    <cfRule type="cellIs" dxfId="252" priority="252" stopIfTrue="1" operator="between">
      <formula>0</formula>
      <formula>0.699</formula>
    </cfRule>
  </conditionalFormatting>
  <conditionalFormatting sqref="N60:N61">
    <cfRule type="cellIs" dxfId="251" priority="247" stopIfTrue="1" operator="between">
      <formula>0.9</formula>
      <formula>1.05</formula>
    </cfRule>
    <cfRule type="cellIs" dxfId="250" priority="248" stopIfTrue="1" operator="between">
      <formula>0.7</formula>
      <formula>0.8999</formula>
    </cfRule>
    <cfRule type="cellIs" dxfId="249" priority="249" stopIfTrue="1" operator="between">
      <formula>0</formula>
      <formula>0.699</formula>
    </cfRule>
  </conditionalFormatting>
  <conditionalFormatting sqref="N59:N61">
    <cfRule type="cellIs" dxfId="248" priority="244" stopIfTrue="1" operator="between">
      <formula>0.9</formula>
      <formula>1.05</formula>
    </cfRule>
    <cfRule type="cellIs" dxfId="247" priority="245" stopIfTrue="1" operator="between">
      <formula>0.7</formula>
      <formula>0.8999</formula>
    </cfRule>
    <cfRule type="cellIs" dxfId="246" priority="246" stopIfTrue="1" operator="between">
      <formula>0</formula>
      <formula>0.699</formula>
    </cfRule>
  </conditionalFormatting>
  <conditionalFormatting sqref="N59:N61">
    <cfRule type="cellIs" dxfId="245" priority="241" stopIfTrue="1" operator="between">
      <formula>0.9</formula>
      <formula>1.05</formula>
    </cfRule>
    <cfRule type="cellIs" dxfId="244" priority="242" stopIfTrue="1" operator="between">
      <formula>0.7</formula>
      <formula>0.8999</formula>
    </cfRule>
    <cfRule type="cellIs" dxfId="243" priority="243" stopIfTrue="1" operator="between">
      <formula>0</formula>
      <formula>0.699</formula>
    </cfRule>
  </conditionalFormatting>
  <conditionalFormatting sqref="N59:N61">
    <cfRule type="cellIs" dxfId="242" priority="238" stopIfTrue="1" operator="between">
      <formula>0.9</formula>
      <formula>1.05</formula>
    </cfRule>
    <cfRule type="cellIs" dxfId="241" priority="239" stopIfTrue="1" operator="between">
      <formula>0.7</formula>
      <formula>0.8999</formula>
    </cfRule>
    <cfRule type="cellIs" dxfId="240" priority="240" stopIfTrue="1" operator="between">
      <formula>0</formula>
      <formula>0.699</formula>
    </cfRule>
  </conditionalFormatting>
  <conditionalFormatting sqref="N59:N61">
    <cfRule type="cellIs" dxfId="239" priority="235" stopIfTrue="1" operator="between">
      <formula>0.9</formula>
      <formula>1.05</formula>
    </cfRule>
    <cfRule type="cellIs" dxfId="238" priority="236" stopIfTrue="1" operator="between">
      <formula>0.7</formula>
      <formula>0.8999</formula>
    </cfRule>
    <cfRule type="cellIs" dxfId="237" priority="237" stopIfTrue="1" operator="between">
      <formula>0</formula>
      <formula>0.699</formula>
    </cfRule>
  </conditionalFormatting>
  <conditionalFormatting sqref="N12:N14">
    <cfRule type="cellIs" dxfId="236" priority="232" stopIfTrue="1" operator="between">
      <formula>0.9</formula>
      <formula>1.05</formula>
    </cfRule>
    <cfRule type="cellIs" dxfId="235" priority="233" stopIfTrue="1" operator="between">
      <formula>0.7</formula>
      <formula>0.8999</formula>
    </cfRule>
    <cfRule type="cellIs" dxfId="234" priority="234" stopIfTrue="1" operator="between">
      <formula>0</formula>
      <formula>0.699</formula>
    </cfRule>
  </conditionalFormatting>
  <conditionalFormatting sqref="N12:N14">
    <cfRule type="cellIs" dxfId="233" priority="229" stopIfTrue="1" operator="between">
      <formula>0.9</formula>
      <formula>1.05</formula>
    </cfRule>
    <cfRule type="cellIs" dxfId="232" priority="230" stopIfTrue="1" operator="between">
      <formula>0.7</formula>
      <formula>0.8999</formula>
    </cfRule>
    <cfRule type="cellIs" dxfId="231" priority="231" stopIfTrue="1" operator="between">
      <formula>0</formula>
      <formula>0.699</formula>
    </cfRule>
  </conditionalFormatting>
  <conditionalFormatting sqref="W12:W14 W16:W25 W50:W53 W55:W57 W59:W61 W42 W44:W46 W27:W40">
    <cfRule type="cellIs" dxfId="230" priority="226" stopIfTrue="1" operator="between">
      <formula>0.9</formula>
      <formula>1</formula>
    </cfRule>
    <cfRule type="cellIs" dxfId="229" priority="227" stopIfTrue="1" operator="between">
      <formula>0.7</formula>
      <formula>0.899</formula>
    </cfRule>
    <cfRule type="cellIs" dxfId="228" priority="228" stopIfTrue="1" operator="between">
      <formula>0</formula>
      <formula>0.699</formula>
    </cfRule>
  </conditionalFormatting>
  <conditionalFormatting sqref="W41">
    <cfRule type="cellIs" dxfId="227" priority="223" stopIfTrue="1" operator="between">
      <formula>0.9</formula>
      <formula>1</formula>
    </cfRule>
    <cfRule type="cellIs" dxfId="226" priority="224" stopIfTrue="1" operator="between">
      <formula>0.7</formula>
      <formula>0.8999</formula>
    </cfRule>
    <cfRule type="cellIs" dxfId="225" priority="225" stopIfTrue="1" operator="between">
      <formula>0</formula>
      <formula>0.6999</formula>
    </cfRule>
  </conditionalFormatting>
  <conditionalFormatting sqref="Q17:Q25">
    <cfRule type="cellIs" dxfId="224" priority="220" stopIfTrue="1" operator="between">
      <formula>0.9</formula>
      <formula>1.05</formula>
    </cfRule>
    <cfRule type="cellIs" dxfId="223" priority="221" stopIfTrue="1" operator="between">
      <formula>0.7</formula>
      <formula>0.8999</formula>
    </cfRule>
    <cfRule type="cellIs" dxfId="222" priority="222" stopIfTrue="1" operator="between">
      <formula>0</formula>
      <formula>0.699</formula>
    </cfRule>
  </conditionalFormatting>
  <conditionalFormatting sqref="Q17:Q25">
    <cfRule type="cellIs" dxfId="221" priority="217" stopIfTrue="1" operator="between">
      <formula>0.9</formula>
      <formula>1.05</formula>
    </cfRule>
    <cfRule type="cellIs" dxfId="220" priority="218" stopIfTrue="1" operator="between">
      <formula>0.7</formula>
      <formula>0.8999</formula>
    </cfRule>
    <cfRule type="cellIs" dxfId="219" priority="219" stopIfTrue="1" operator="between">
      <formula>0</formula>
      <formula>0.699</formula>
    </cfRule>
  </conditionalFormatting>
  <conditionalFormatting sqref="Q27">
    <cfRule type="cellIs" dxfId="218" priority="214" stopIfTrue="1" operator="between">
      <formula>0.9</formula>
      <formula>1.05</formula>
    </cfRule>
    <cfRule type="cellIs" dxfId="217" priority="215" stopIfTrue="1" operator="between">
      <formula>0.7</formula>
      <formula>0.8999</formula>
    </cfRule>
    <cfRule type="cellIs" dxfId="216" priority="216" stopIfTrue="1" operator="between">
      <formula>0</formula>
      <formula>0.699</formula>
    </cfRule>
  </conditionalFormatting>
  <conditionalFormatting sqref="Q27">
    <cfRule type="cellIs" dxfId="215" priority="211" stopIfTrue="1" operator="between">
      <formula>0.9</formula>
      <formula>1.05</formula>
    </cfRule>
    <cfRule type="cellIs" dxfId="214" priority="212" stopIfTrue="1" operator="between">
      <formula>0.7</formula>
      <formula>0.8999</formula>
    </cfRule>
    <cfRule type="cellIs" dxfId="213" priority="213" stopIfTrue="1" operator="between">
      <formula>0</formula>
      <formula>0.699</formula>
    </cfRule>
  </conditionalFormatting>
  <conditionalFormatting sqref="Q28">
    <cfRule type="cellIs" dxfId="212" priority="208" stopIfTrue="1" operator="between">
      <formula>0.9</formula>
      <formula>1.05</formula>
    </cfRule>
    <cfRule type="cellIs" dxfId="211" priority="209" stopIfTrue="1" operator="between">
      <formula>0.7</formula>
      <formula>0.8999</formula>
    </cfRule>
    <cfRule type="cellIs" dxfId="210" priority="210" stopIfTrue="1" operator="between">
      <formula>0</formula>
      <formula>0.699</formula>
    </cfRule>
  </conditionalFormatting>
  <conditionalFormatting sqref="Q28">
    <cfRule type="cellIs" dxfId="209" priority="205" stopIfTrue="1" operator="between">
      <formula>0.9</formula>
      <formula>1.05</formula>
    </cfRule>
    <cfRule type="cellIs" dxfId="208" priority="206" stopIfTrue="1" operator="between">
      <formula>0.7</formula>
      <formula>0.8999</formula>
    </cfRule>
    <cfRule type="cellIs" dxfId="207" priority="207" stopIfTrue="1" operator="between">
      <formula>0</formula>
      <formula>0.699</formula>
    </cfRule>
  </conditionalFormatting>
  <conditionalFormatting sqref="Q29">
    <cfRule type="cellIs" dxfId="206" priority="202" stopIfTrue="1" operator="between">
      <formula>0.9</formula>
      <formula>1.05</formula>
    </cfRule>
    <cfRule type="cellIs" dxfId="205" priority="203" stopIfTrue="1" operator="between">
      <formula>0.7</formula>
      <formula>0.8999</formula>
    </cfRule>
    <cfRule type="cellIs" dxfId="204" priority="204" stopIfTrue="1" operator="between">
      <formula>0</formula>
      <formula>0.699</formula>
    </cfRule>
  </conditionalFormatting>
  <conditionalFormatting sqref="Q29">
    <cfRule type="cellIs" dxfId="203" priority="199" stopIfTrue="1" operator="between">
      <formula>0.9</formula>
      <formula>1.05</formula>
    </cfRule>
    <cfRule type="cellIs" dxfId="202" priority="200" stopIfTrue="1" operator="between">
      <formula>0.7</formula>
      <formula>0.8999</formula>
    </cfRule>
    <cfRule type="cellIs" dxfId="201" priority="201" stopIfTrue="1" operator="between">
      <formula>0</formula>
      <formula>0.699</formula>
    </cfRule>
  </conditionalFormatting>
  <conditionalFormatting sqref="Q30">
    <cfRule type="cellIs" dxfId="200" priority="196" stopIfTrue="1" operator="between">
      <formula>0.9</formula>
      <formula>1.05</formula>
    </cfRule>
    <cfRule type="cellIs" dxfId="199" priority="197" stopIfTrue="1" operator="between">
      <formula>0.7</formula>
      <formula>0.8999</formula>
    </cfRule>
    <cfRule type="cellIs" dxfId="198" priority="198" stopIfTrue="1" operator="between">
      <formula>0</formula>
      <formula>0.699</formula>
    </cfRule>
  </conditionalFormatting>
  <conditionalFormatting sqref="Q30">
    <cfRule type="cellIs" dxfId="197" priority="193" stopIfTrue="1" operator="between">
      <formula>0.9</formula>
      <formula>1.05</formula>
    </cfRule>
    <cfRule type="cellIs" dxfId="196" priority="194" stopIfTrue="1" operator="between">
      <formula>0.7</formula>
      <formula>0.8999</formula>
    </cfRule>
    <cfRule type="cellIs" dxfId="195" priority="195" stopIfTrue="1" operator="between">
      <formula>0</formula>
      <formula>0.699</formula>
    </cfRule>
  </conditionalFormatting>
  <conditionalFormatting sqref="Q31">
    <cfRule type="cellIs" dxfId="194" priority="190" stopIfTrue="1" operator="between">
      <formula>0.9</formula>
      <formula>1.05</formula>
    </cfRule>
    <cfRule type="cellIs" dxfId="193" priority="191" stopIfTrue="1" operator="between">
      <formula>0.7</formula>
      <formula>0.8999</formula>
    </cfRule>
    <cfRule type="cellIs" dxfId="192" priority="192" stopIfTrue="1" operator="between">
      <formula>0</formula>
      <formula>0.699</formula>
    </cfRule>
  </conditionalFormatting>
  <conditionalFormatting sqref="Q31">
    <cfRule type="cellIs" dxfId="191" priority="187" stopIfTrue="1" operator="between">
      <formula>0.9</formula>
      <formula>1.05</formula>
    </cfRule>
    <cfRule type="cellIs" dxfId="190" priority="188" stopIfTrue="1" operator="between">
      <formula>0.7</formula>
      <formula>0.8999</formula>
    </cfRule>
    <cfRule type="cellIs" dxfId="189" priority="189" stopIfTrue="1" operator="between">
      <formula>0</formula>
      <formula>0.699</formula>
    </cfRule>
  </conditionalFormatting>
  <conditionalFormatting sqref="Q32">
    <cfRule type="cellIs" dxfId="188" priority="184" stopIfTrue="1" operator="between">
      <formula>0.9</formula>
      <formula>1.05</formula>
    </cfRule>
    <cfRule type="cellIs" dxfId="187" priority="185" stopIfTrue="1" operator="between">
      <formula>0.7</formula>
      <formula>0.8999</formula>
    </cfRule>
    <cfRule type="cellIs" dxfId="186" priority="186" stopIfTrue="1" operator="between">
      <formula>0</formula>
      <formula>0.699</formula>
    </cfRule>
  </conditionalFormatting>
  <conditionalFormatting sqref="Q32">
    <cfRule type="cellIs" dxfId="185" priority="181" stopIfTrue="1" operator="between">
      <formula>0.9</formula>
      <formula>1.05</formula>
    </cfRule>
    <cfRule type="cellIs" dxfId="184" priority="182" stopIfTrue="1" operator="between">
      <formula>0.7</formula>
      <formula>0.8999</formula>
    </cfRule>
    <cfRule type="cellIs" dxfId="183" priority="183" stopIfTrue="1" operator="between">
      <formula>0</formula>
      <formula>0.699</formula>
    </cfRule>
  </conditionalFormatting>
  <conditionalFormatting sqref="Q33">
    <cfRule type="cellIs" dxfId="182" priority="178" stopIfTrue="1" operator="between">
      <formula>0.9</formula>
      <formula>1.05</formula>
    </cfRule>
    <cfRule type="cellIs" dxfId="181" priority="179" stopIfTrue="1" operator="between">
      <formula>0.7</formula>
      <formula>0.8999</formula>
    </cfRule>
    <cfRule type="cellIs" dxfId="180" priority="180" stopIfTrue="1" operator="between">
      <formula>0</formula>
      <formula>0.699</formula>
    </cfRule>
  </conditionalFormatting>
  <conditionalFormatting sqref="Q33">
    <cfRule type="cellIs" dxfId="179" priority="175" stopIfTrue="1" operator="between">
      <formula>0.9</formula>
      <formula>1.05</formula>
    </cfRule>
    <cfRule type="cellIs" dxfId="178" priority="176" stopIfTrue="1" operator="between">
      <formula>0.7</formula>
      <formula>0.8999</formula>
    </cfRule>
    <cfRule type="cellIs" dxfId="177" priority="177" stopIfTrue="1" operator="between">
      <formula>0</formula>
      <formula>0.699</formula>
    </cfRule>
  </conditionalFormatting>
  <conditionalFormatting sqref="Q34">
    <cfRule type="cellIs" dxfId="176" priority="172" stopIfTrue="1" operator="between">
      <formula>0.9</formula>
      <formula>1.05</formula>
    </cfRule>
    <cfRule type="cellIs" dxfId="175" priority="173" stopIfTrue="1" operator="between">
      <formula>0.7</formula>
      <formula>0.8999</formula>
    </cfRule>
    <cfRule type="cellIs" dxfId="174" priority="174" stopIfTrue="1" operator="between">
      <formula>0</formula>
      <formula>0.699</formula>
    </cfRule>
  </conditionalFormatting>
  <conditionalFormatting sqref="Q34">
    <cfRule type="cellIs" dxfId="173" priority="169" stopIfTrue="1" operator="between">
      <formula>0.9</formula>
      <formula>1.05</formula>
    </cfRule>
    <cfRule type="cellIs" dxfId="172" priority="170" stopIfTrue="1" operator="between">
      <formula>0.7</formula>
      <formula>0.8999</formula>
    </cfRule>
    <cfRule type="cellIs" dxfId="171" priority="171" stopIfTrue="1" operator="between">
      <formula>0</formula>
      <formula>0.699</formula>
    </cfRule>
  </conditionalFormatting>
  <conditionalFormatting sqref="Q35">
    <cfRule type="cellIs" dxfId="170" priority="166" stopIfTrue="1" operator="between">
      <formula>0.9</formula>
      <formula>1.05</formula>
    </cfRule>
    <cfRule type="cellIs" dxfId="169" priority="167" stopIfTrue="1" operator="between">
      <formula>0.7</formula>
      <formula>0.8999</formula>
    </cfRule>
    <cfRule type="cellIs" dxfId="168" priority="168" stopIfTrue="1" operator="between">
      <formula>0</formula>
      <formula>0.699</formula>
    </cfRule>
  </conditionalFormatting>
  <conditionalFormatting sqref="Q35">
    <cfRule type="cellIs" dxfId="167" priority="163" stopIfTrue="1" operator="between">
      <formula>0.9</formula>
      <formula>1.05</formula>
    </cfRule>
    <cfRule type="cellIs" dxfId="166" priority="164" stopIfTrue="1" operator="between">
      <formula>0.7</formula>
      <formula>0.8999</formula>
    </cfRule>
    <cfRule type="cellIs" dxfId="165" priority="165" stopIfTrue="1" operator="between">
      <formula>0</formula>
      <formula>0.699</formula>
    </cfRule>
  </conditionalFormatting>
  <conditionalFormatting sqref="Q36">
    <cfRule type="cellIs" dxfId="164" priority="160" stopIfTrue="1" operator="between">
      <formula>0.9</formula>
      <formula>1.05</formula>
    </cfRule>
    <cfRule type="cellIs" dxfId="163" priority="161" stopIfTrue="1" operator="between">
      <formula>0.7</formula>
      <formula>0.8999</formula>
    </cfRule>
    <cfRule type="cellIs" dxfId="162" priority="162" stopIfTrue="1" operator="between">
      <formula>0</formula>
      <formula>0.699</formula>
    </cfRule>
  </conditionalFormatting>
  <conditionalFormatting sqref="Q36">
    <cfRule type="cellIs" dxfId="161" priority="157" stopIfTrue="1" operator="between">
      <formula>0.9</formula>
      <formula>1.05</formula>
    </cfRule>
    <cfRule type="cellIs" dxfId="160" priority="158" stopIfTrue="1" operator="between">
      <formula>0.7</formula>
      <formula>0.8999</formula>
    </cfRule>
    <cfRule type="cellIs" dxfId="159" priority="159" stopIfTrue="1" operator="between">
      <formula>0</formula>
      <formula>0.699</formula>
    </cfRule>
  </conditionalFormatting>
  <conditionalFormatting sqref="Q37">
    <cfRule type="cellIs" dxfId="158" priority="154" stopIfTrue="1" operator="between">
      <formula>0.9</formula>
      <formula>1.05</formula>
    </cfRule>
    <cfRule type="cellIs" dxfId="157" priority="155" stopIfTrue="1" operator="between">
      <formula>0.7</formula>
      <formula>0.8999</formula>
    </cfRule>
    <cfRule type="cellIs" dxfId="156" priority="156" stopIfTrue="1" operator="between">
      <formula>0</formula>
      <formula>0.699</formula>
    </cfRule>
  </conditionalFormatting>
  <conditionalFormatting sqref="Q37">
    <cfRule type="cellIs" dxfId="155" priority="151" stopIfTrue="1" operator="between">
      <formula>0.9</formula>
      <formula>1.05</formula>
    </cfRule>
    <cfRule type="cellIs" dxfId="154" priority="152" stopIfTrue="1" operator="between">
      <formula>0.7</formula>
      <formula>0.8999</formula>
    </cfRule>
    <cfRule type="cellIs" dxfId="153" priority="153" stopIfTrue="1" operator="between">
      <formula>0</formula>
      <formula>0.699</formula>
    </cfRule>
  </conditionalFormatting>
  <conditionalFormatting sqref="Q38">
    <cfRule type="cellIs" dxfId="152" priority="148" stopIfTrue="1" operator="between">
      <formula>0.9</formula>
      <formula>1.05</formula>
    </cfRule>
    <cfRule type="cellIs" dxfId="151" priority="149" stopIfTrue="1" operator="between">
      <formula>0.7</formula>
      <formula>0.8999</formula>
    </cfRule>
    <cfRule type="cellIs" dxfId="150" priority="150" stopIfTrue="1" operator="between">
      <formula>0</formula>
      <formula>0.699</formula>
    </cfRule>
  </conditionalFormatting>
  <conditionalFormatting sqref="Q38">
    <cfRule type="cellIs" dxfId="149" priority="145" stopIfTrue="1" operator="between">
      <formula>0.9</formula>
      <formula>1.05</formula>
    </cfRule>
    <cfRule type="cellIs" dxfId="148" priority="146" stopIfTrue="1" operator="between">
      <formula>0.7</formula>
      <formula>0.8999</formula>
    </cfRule>
    <cfRule type="cellIs" dxfId="147" priority="147" stopIfTrue="1" operator="between">
      <formula>0</formula>
      <formula>0.699</formula>
    </cfRule>
  </conditionalFormatting>
  <conditionalFormatting sqref="Q39">
    <cfRule type="cellIs" dxfId="146" priority="142" stopIfTrue="1" operator="between">
      <formula>0.9</formula>
      <formula>1.05</formula>
    </cfRule>
    <cfRule type="cellIs" dxfId="145" priority="143" stopIfTrue="1" operator="between">
      <formula>0.7</formula>
      <formula>0.8999</formula>
    </cfRule>
    <cfRule type="cellIs" dxfId="144" priority="144" stopIfTrue="1" operator="between">
      <formula>0</formula>
      <formula>0.699</formula>
    </cfRule>
  </conditionalFormatting>
  <conditionalFormatting sqref="Q39">
    <cfRule type="cellIs" dxfId="143" priority="139" stopIfTrue="1" operator="between">
      <formula>0.9</formula>
      <formula>1.05</formula>
    </cfRule>
    <cfRule type="cellIs" dxfId="142" priority="140" stopIfTrue="1" operator="between">
      <formula>0.7</formula>
      <formula>0.8999</formula>
    </cfRule>
    <cfRule type="cellIs" dxfId="141" priority="141" stopIfTrue="1" operator="between">
      <formula>0</formula>
      <formula>0.699</formula>
    </cfRule>
  </conditionalFormatting>
  <conditionalFormatting sqref="Q40">
    <cfRule type="cellIs" dxfId="140" priority="136" stopIfTrue="1" operator="between">
      <formula>0.9</formula>
      <formula>1.05</formula>
    </cfRule>
    <cfRule type="cellIs" dxfId="139" priority="137" stopIfTrue="1" operator="between">
      <formula>0.7</formula>
      <formula>0.8999</formula>
    </cfRule>
    <cfRule type="cellIs" dxfId="138" priority="138" stopIfTrue="1" operator="between">
      <formula>0</formula>
      <formula>0.699</formula>
    </cfRule>
  </conditionalFormatting>
  <conditionalFormatting sqref="Q40">
    <cfRule type="cellIs" dxfId="137" priority="133" stopIfTrue="1" operator="between">
      <formula>0.9</formula>
      <formula>1.05</formula>
    </cfRule>
    <cfRule type="cellIs" dxfId="136" priority="134" stopIfTrue="1" operator="between">
      <formula>0.7</formula>
      <formula>0.8999</formula>
    </cfRule>
    <cfRule type="cellIs" dxfId="135" priority="135" stopIfTrue="1" operator="between">
      <formula>0</formula>
      <formula>0.699</formula>
    </cfRule>
  </conditionalFormatting>
  <conditionalFormatting sqref="Q41">
    <cfRule type="cellIs" dxfId="134" priority="130" stopIfTrue="1" operator="between">
      <formula>0.9</formula>
      <formula>1.05</formula>
    </cfRule>
    <cfRule type="cellIs" dxfId="133" priority="131" stopIfTrue="1" operator="between">
      <formula>0.7</formula>
      <formula>0.8999</formula>
    </cfRule>
    <cfRule type="cellIs" dxfId="132" priority="132" stopIfTrue="1" operator="between">
      <formula>0</formula>
      <formula>0.699</formula>
    </cfRule>
  </conditionalFormatting>
  <conditionalFormatting sqref="Q41">
    <cfRule type="cellIs" dxfId="131" priority="127" stopIfTrue="1" operator="between">
      <formula>0.9</formula>
      <formula>1.05</formula>
    </cfRule>
    <cfRule type="cellIs" dxfId="130" priority="128" stopIfTrue="1" operator="between">
      <formula>0.7</formula>
      <formula>0.8999</formula>
    </cfRule>
    <cfRule type="cellIs" dxfId="129" priority="129" stopIfTrue="1" operator="between">
      <formula>0</formula>
      <formula>0.699</formula>
    </cfRule>
  </conditionalFormatting>
  <conditionalFormatting sqref="Q42">
    <cfRule type="cellIs" dxfId="128" priority="124" stopIfTrue="1" operator="between">
      <formula>0.9</formula>
      <formula>1.05</formula>
    </cfRule>
    <cfRule type="cellIs" dxfId="127" priority="125" stopIfTrue="1" operator="between">
      <formula>0.7</formula>
      <formula>0.8999</formula>
    </cfRule>
    <cfRule type="cellIs" dxfId="126" priority="126" stopIfTrue="1" operator="between">
      <formula>0</formula>
      <formula>0.699</formula>
    </cfRule>
  </conditionalFormatting>
  <conditionalFormatting sqref="Q42">
    <cfRule type="cellIs" dxfId="125" priority="121" stopIfTrue="1" operator="between">
      <formula>0.9</formula>
      <formula>1.05</formula>
    </cfRule>
    <cfRule type="cellIs" dxfId="124" priority="122" stopIfTrue="1" operator="between">
      <formula>0.7</formula>
      <formula>0.8999</formula>
    </cfRule>
    <cfRule type="cellIs" dxfId="123" priority="123" stopIfTrue="1" operator="between">
      <formula>0</formula>
      <formula>0.699</formula>
    </cfRule>
  </conditionalFormatting>
  <conditionalFormatting sqref="Q44">
    <cfRule type="cellIs" dxfId="122" priority="118" stopIfTrue="1" operator="between">
      <formula>0.9</formula>
      <formula>1.05</formula>
    </cfRule>
    <cfRule type="cellIs" dxfId="121" priority="119" stopIfTrue="1" operator="between">
      <formula>0.7</formula>
      <formula>0.8999</formula>
    </cfRule>
    <cfRule type="cellIs" dxfId="120" priority="120" stopIfTrue="1" operator="between">
      <formula>0</formula>
      <formula>0.699</formula>
    </cfRule>
  </conditionalFormatting>
  <conditionalFormatting sqref="Q44">
    <cfRule type="cellIs" dxfId="119" priority="115" stopIfTrue="1" operator="between">
      <formula>0.9</formula>
      <formula>1.05</formula>
    </cfRule>
    <cfRule type="cellIs" dxfId="118" priority="116" stopIfTrue="1" operator="between">
      <formula>0.7</formula>
      <formula>0.8999</formula>
    </cfRule>
    <cfRule type="cellIs" dxfId="117" priority="117" stopIfTrue="1" operator="between">
      <formula>0</formula>
      <formula>0.699</formula>
    </cfRule>
  </conditionalFormatting>
  <conditionalFormatting sqref="Q45">
    <cfRule type="cellIs" dxfId="116" priority="112" stopIfTrue="1" operator="between">
      <formula>0.9</formula>
      <formula>1.05</formula>
    </cfRule>
    <cfRule type="cellIs" dxfId="115" priority="113" stopIfTrue="1" operator="between">
      <formula>0.7</formula>
      <formula>0.8999</formula>
    </cfRule>
    <cfRule type="cellIs" dxfId="114" priority="114" stopIfTrue="1" operator="between">
      <formula>0</formula>
      <formula>0.699</formula>
    </cfRule>
  </conditionalFormatting>
  <conditionalFormatting sqref="Q45">
    <cfRule type="cellIs" dxfId="113" priority="109" stopIfTrue="1" operator="between">
      <formula>0.9</formula>
      <formula>1.05</formula>
    </cfRule>
    <cfRule type="cellIs" dxfId="112" priority="110" stopIfTrue="1" operator="between">
      <formula>0.7</formula>
      <formula>0.8999</formula>
    </cfRule>
    <cfRule type="cellIs" dxfId="111" priority="111" stopIfTrue="1" operator="between">
      <formula>0</formula>
      <formula>0.699</formula>
    </cfRule>
  </conditionalFormatting>
  <conditionalFormatting sqref="Q46">
    <cfRule type="cellIs" dxfId="110" priority="106" stopIfTrue="1" operator="between">
      <formula>0.9</formula>
      <formula>1.05</formula>
    </cfRule>
    <cfRule type="cellIs" dxfId="109" priority="107" stopIfTrue="1" operator="between">
      <formula>0.7</formula>
      <formula>0.8999</formula>
    </cfRule>
    <cfRule type="cellIs" dxfId="108" priority="108" stopIfTrue="1" operator="between">
      <formula>0</formula>
      <formula>0.699</formula>
    </cfRule>
  </conditionalFormatting>
  <conditionalFormatting sqref="Q46">
    <cfRule type="cellIs" dxfId="107" priority="103" stopIfTrue="1" operator="between">
      <formula>0.9</formula>
      <formula>1.05</formula>
    </cfRule>
    <cfRule type="cellIs" dxfId="106" priority="104" stopIfTrue="1" operator="between">
      <formula>0.7</formula>
      <formula>0.8999</formula>
    </cfRule>
    <cfRule type="cellIs" dxfId="105" priority="105" stopIfTrue="1" operator="between">
      <formula>0</formula>
      <formula>0.699</formula>
    </cfRule>
  </conditionalFormatting>
  <conditionalFormatting sqref="Q47">
    <cfRule type="cellIs" dxfId="104" priority="100" stopIfTrue="1" operator="between">
      <formula>0.9</formula>
      <formula>1.05</formula>
    </cfRule>
    <cfRule type="cellIs" dxfId="103" priority="101" stopIfTrue="1" operator="between">
      <formula>0.7</formula>
      <formula>0.8999</formula>
    </cfRule>
    <cfRule type="cellIs" dxfId="102" priority="102" stopIfTrue="1" operator="between">
      <formula>0</formula>
      <formula>0.699</formula>
    </cfRule>
  </conditionalFormatting>
  <conditionalFormatting sqref="Q47">
    <cfRule type="cellIs" dxfId="101" priority="97" stopIfTrue="1" operator="between">
      <formula>0.9</formula>
      <formula>1.05</formula>
    </cfRule>
    <cfRule type="cellIs" dxfId="100" priority="98" stopIfTrue="1" operator="between">
      <formula>0.7</formula>
      <formula>0.8999</formula>
    </cfRule>
    <cfRule type="cellIs" dxfId="99" priority="99" stopIfTrue="1" operator="between">
      <formula>0</formula>
      <formula>0.699</formula>
    </cfRule>
  </conditionalFormatting>
  <conditionalFormatting sqref="Q48">
    <cfRule type="cellIs" dxfId="98" priority="94" stopIfTrue="1" operator="between">
      <formula>0.9</formula>
      <formula>1.05</formula>
    </cfRule>
    <cfRule type="cellIs" dxfId="97" priority="95" stopIfTrue="1" operator="between">
      <formula>0.7</formula>
      <formula>0.8999</formula>
    </cfRule>
    <cfRule type="cellIs" dxfId="96" priority="96" stopIfTrue="1" operator="between">
      <formula>0</formula>
      <formula>0.699</formula>
    </cfRule>
  </conditionalFormatting>
  <conditionalFormatting sqref="Q48">
    <cfRule type="cellIs" dxfId="95" priority="91" stopIfTrue="1" operator="between">
      <formula>0.9</formula>
      <formula>1.05</formula>
    </cfRule>
    <cfRule type="cellIs" dxfId="94" priority="92" stopIfTrue="1" operator="between">
      <formula>0.7</formula>
      <formula>0.8999</formula>
    </cfRule>
    <cfRule type="cellIs" dxfId="93" priority="93" stopIfTrue="1" operator="between">
      <formula>0</formula>
      <formula>0.699</formula>
    </cfRule>
  </conditionalFormatting>
  <conditionalFormatting sqref="Q49">
    <cfRule type="cellIs" dxfId="92" priority="88" stopIfTrue="1" operator="between">
      <formula>0.9</formula>
      <formula>1.05</formula>
    </cfRule>
    <cfRule type="cellIs" dxfId="91" priority="89" stopIfTrue="1" operator="between">
      <formula>0.7</formula>
      <formula>0.8999</formula>
    </cfRule>
    <cfRule type="cellIs" dxfId="90" priority="90" stopIfTrue="1" operator="between">
      <formula>0</formula>
      <formula>0.699</formula>
    </cfRule>
  </conditionalFormatting>
  <conditionalFormatting sqref="Q49">
    <cfRule type="cellIs" dxfId="89" priority="85" stopIfTrue="1" operator="between">
      <formula>0.9</formula>
      <formula>1.05</formula>
    </cfRule>
    <cfRule type="cellIs" dxfId="88" priority="86" stopIfTrue="1" operator="between">
      <formula>0.7</formula>
      <formula>0.8999</formula>
    </cfRule>
    <cfRule type="cellIs" dxfId="87" priority="87" stopIfTrue="1" operator="between">
      <formula>0</formula>
      <formula>0.699</formula>
    </cfRule>
  </conditionalFormatting>
  <conditionalFormatting sqref="Q50">
    <cfRule type="cellIs" dxfId="86" priority="82" stopIfTrue="1" operator="between">
      <formula>0.9</formula>
      <formula>1.05</formula>
    </cfRule>
    <cfRule type="cellIs" dxfId="85" priority="83" stopIfTrue="1" operator="between">
      <formula>0.7</formula>
      <formula>0.8999</formula>
    </cfRule>
    <cfRule type="cellIs" dxfId="84" priority="84" stopIfTrue="1" operator="between">
      <formula>0</formula>
      <formula>0.699</formula>
    </cfRule>
  </conditionalFormatting>
  <conditionalFormatting sqref="Q50">
    <cfRule type="cellIs" dxfId="83" priority="79" stopIfTrue="1" operator="between">
      <formula>0.9</formula>
      <formula>1.05</formula>
    </cfRule>
    <cfRule type="cellIs" dxfId="82" priority="80" stopIfTrue="1" operator="between">
      <formula>0.7</formula>
      <formula>0.8999</formula>
    </cfRule>
    <cfRule type="cellIs" dxfId="81" priority="81" stopIfTrue="1" operator="between">
      <formula>0</formula>
      <formula>0.699</formula>
    </cfRule>
  </conditionalFormatting>
  <conditionalFormatting sqref="Q51">
    <cfRule type="cellIs" dxfId="80" priority="76" stopIfTrue="1" operator="between">
      <formula>0.9</formula>
      <formula>1.05</formula>
    </cfRule>
    <cfRule type="cellIs" dxfId="79" priority="77" stopIfTrue="1" operator="between">
      <formula>0.7</formula>
      <formula>0.8999</formula>
    </cfRule>
    <cfRule type="cellIs" dxfId="78" priority="78" stopIfTrue="1" operator="between">
      <formula>0</formula>
      <formula>0.699</formula>
    </cfRule>
  </conditionalFormatting>
  <conditionalFormatting sqref="Q51">
    <cfRule type="cellIs" dxfId="77" priority="73" stopIfTrue="1" operator="between">
      <formula>0.9</formula>
      <formula>1.05</formula>
    </cfRule>
    <cfRule type="cellIs" dxfId="76" priority="74" stopIfTrue="1" operator="between">
      <formula>0.7</formula>
      <formula>0.8999</formula>
    </cfRule>
    <cfRule type="cellIs" dxfId="75" priority="75" stopIfTrue="1" operator="between">
      <formula>0</formula>
      <formula>0.699</formula>
    </cfRule>
  </conditionalFormatting>
  <conditionalFormatting sqref="Q52">
    <cfRule type="cellIs" dxfId="74" priority="70" stopIfTrue="1" operator="between">
      <formula>0.9</formula>
      <formula>1.05</formula>
    </cfRule>
    <cfRule type="cellIs" dxfId="73" priority="71" stopIfTrue="1" operator="between">
      <formula>0.7</formula>
      <formula>0.8999</formula>
    </cfRule>
    <cfRule type="cellIs" dxfId="72" priority="72" stopIfTrue="1" operator="between">
      <formula>0</formula>
      <formula>0.699</formula>
    </cfRule>
  </conditionalFormatting>
  <conditionalFormatting sqref="Q52">
    <cfRule type="cellIs" dxfId="71" priority="67" stopIfTrue="1" operator="between">
      <formula>0.9</formula>
      <formula>1.05</formula>
    </cfRule>
    <cfRule type="cellIs" dxfId="70" priority="68" stopIfTrue="1" operator="between">
      <formula>0.7</formula>
      <formula>0.8999</formula>
    </cfRule>
    <cfRule type="cellIs" dxfId="69" priority="69" stopIfTrue="1" operator="between">
      <formula>0</formula>
      <formula>0.699</formula>
    </cfRule>
  </conditionalFormatting>
  <conditionalFormatting sqref="Q53">
    <cfRule type="cellIs" dxfId="68" priority="64" stopIfTrue="1" operator="between">
      <formula>0.9</formula>
      <formula>1.05</formula>
    </cfRule>
    <cfRule type="cellIs" dxfId="67" priority="65" stopIfTrue="1" operator="between">
      <formula>0.7</formula>
      <formula>0.8999</formula>
    </cfRule>
    <cfRule type="cellIs" dxfId="66" priority="66" stopIfTrue="1" operator="between">
      <formula>0</formula>
      <formula>0.699</formula>
    </cfRule>
  </conditionalFormatting>
  <conditionalFormatting sqref="Q53">
    <cfRule type="cellIs" dxfId="65" priority="61" stopIfTrue="1" operator="between">
      <formula>0.9</formula>
      <formula>1.05</formula>
    </cfRule>
    <cfRule type="cellIs" dxfId="64" priority="62" stopIfTrue="1" operator="between">
      <formula>0.7</formula>
      <formula>0.8999</formula>
    </cfRule>
    <cfRule type="cellIs" dxfId="63" priority="63" stopIfTrue="1" operator="between">
      <formula>0</formula>
      <formula>0.699</formula>
    </cfRule>
  </conditionalFormatting>
  <conditionalFormatting sqref="Q55">
    <cfRule type="cellIs" dxfId="62" priority="58" stopIfTrue="1" operator="between">
      <formula>0.9</formula>
      <formula>1.05</formula>
    </cfRule>
    <cfRule type="cellIs" dxfId="61" priority="59" stopIfTrue="1" operator="between">
      <formula>0.7</formula>
      <formula>0.8999</formula>
    </cfRule>
    <cfRule type="cellIs" dxfId="60" priority="60" stopIfTrue="1" operator="between">
      <formula>0</formula>
      <formula>0.699</formula>
    </cfRule>
  </conditionalFormatting>
  <conditionalFormatting sqref="Q55">
    <cfRule type="cellIs" dxfId="59" priority="55" stopIfTrue="1" operator="between">
      <formula>0.9</formula>
      <formula>1.05</formula>
    </cfRule>
    <cfRule type="cellIs" dxfId="58" priority="56" stopIfTrue="1" operator="between">
      <formula>0.7</formula>
      <formula>0.8999</formula>
    </cfRule>
    <cfRule type="cellIs" dxfId="57" priority="57" stopIfTrue="1" operator="between">
      <formula>0</formula>
      <formula>0.699</formula>
    </cfRule>
  </conditionalFormatting>
  <conditionalFormatting sqref="Q56">
    <cfRule type="cellIs" dxfId="56" priority="52" stopIfTrue="1" operator="between">
      <formula>0.9</formula>
      <formula>1.05</formula>
    </cfRule>
    <cfRule type="cellIs" dxfId="55" priority="53" stopIfTrue="1" operator="between">
      <formula>0.7</formula>
      <formula>0.8999</formula>
    </cfRule>
    <cfRule type="cellIs" dxfId="54" priority="54" stopIfTrue="1" operator="between">
      <formula>0</formula>
      <formula>0.699</formula>
    </cfRule>
  </conditionalFormatting>
  <conditionalFormatting sqref="Q56">
    <cfRule type="cellIs" dxfId="53" priority="49" stopIfTrue="1" operator="between">
      <formula>0.9</formula>
      <formula>1.05</formula>
    </cfRule>
    <cfRule type="cellIs" dxfId="52" priority="50" stopIfTrue="1" operator="between">
      <formula>0.7</formula>
      <formula>0.8999</formula>
    </cfRule>
    <cfRule type="cellIs" dxfId="51" priority="51" stopIfTrue="1" operator="between">
      <formula>0</formula>
      <formula>0.699</formula>
    </cfRule>
  </conditionalFormatting>
  <conditionalFormatting sqref="Q57">
    <cfRule type="cellIs" dxfId="50" priority="46" stopIfTrue="1" operator="between">
      <formula>0.9</formula>
      <formula>1.05</formula>
    </cfRule>
    <cfRule type="cellIs" dxfId="49" priority="47" stopIfTrue="1" operator="between">
      <formula>0.7</formula>
      <formula>0.8999</formula>
    </cfRule>
    <cfRule type="cellIs" dxfId="48" priority="48" stopIfTrue="1" operator="between">
      <formula>0</formula>
      <formula>0.699</formula>
    </cfRule>
  </conditionalFormatting>
  <conditionalFormatting sqref="Q57">
    <cfRule type="cellIs" dxfId="47" priority="43" stopIfTrue="1" operator="between">
      <formula>0.9</formula>
      <formula>1.05</formula>
    </cfRule>
    <cfRule type="cellIs" dxfId="46" priority="44" stopIfTrue="1" operator="between">
      <formula>0.7</formula>
      <formula>0.8999</formula>
    </cfRule>
    <cfRule type="cellIs" dxfId="45" priority="45" stopIfTrue="1" operator="between">
      <formula>0</formula>
      <formula>0.699</formula>
    </cfRule>
  </conditionalFormatting>
  <conditionalFormatting sqref="T12:T14">
    <cfRule type="cellIs" dxfId="44" priority="40" stopIfTrue="1" operator="between">
      <formula>0.9</formula>
      <formula>1.05</formula>
    </cfRule>
    <cfRule type="cellIs" dxfId="43" priority="41" stopIfTrue="1" operator="between">
      <formula>0.7</formula>
      <formula>0.8999</formula>
    </cfRule>
    <cfRule type="cellIs" dxfId="42" priority="42" stopIfTrue="1" operator="between">
      <formula>0</formula>
      <formula>0.699</formula>
    </cfRule>
  </conditionalFormatting>
  <conditionalFormatting sqref="T12:T14">
    <cfRule type="cellIs" dxfId="41" priority="37" stopIfTrue="1" operator="between">
      <formula>0.9</formula>
      <formula>1.05</formula>
    </cfRule>
    <cfRule type="cellIs" dxfId="40" priority="38" stopIfTrue="1" operator="between">
      <formula>0.7</formula>
      <formula>0.8999</formula>
    </cfRule>
    <cfRule type="cellIs" dxfId="39" priority="39" stopIfTrue="1" operator="between">
      <formula>0</formula>
      <formula>0.699</formula>
    </cfRule>
  </conditionalFormatting>
  <conditionalFormatting sqref="T16:T25">
    <cfRule type="cellIs" dxfId="38" priority="34" stopIfTrue="1" operator="between">
      <formula>0.9</formula>
      <formula>1.05</formula>
    </cfRule>
    <cfRule type="cellIs" dxfId="37" priority="35" stopIfTrue="1" operator="between">
      <formula>0.7</formula>
      <formula>0.8999</formula>
    </cfRule>
    <cfRule type="cellIs" dxfId="36" priority="36" stopIfTrue="1" operator="between">
      <formula>0</formula>
      <formula>0.699</formula>
    </cfRule>
  </conditionalFormatting>
  <conditionalFormatting sqref="T16:T25">
    <cfRule type="cellIs" dxfId="35" priority="31" stopIfTrue="1" operator="between">
      <formula>0.9</formula>
      <formula>1.05</formula>
    </cfRule>
    <cfRule type="cellIs" dxfId="34" priority="32" stopIfTrue="1" operator="between">
      <formula>0.7</formula>
      <formula>0.8999</formula>
    </cfRule>
    <cfRule type="cellIs" dxfId="33" priority="33" stopIfTrue="1" operator="between">
      <formula>0</formula>
      <formula>0.699</formula>
    </cfRule>
  </conditionalFormatting>
  <conditionalFormatting sqref="T27:T42">
    <cfRule type="cellIs" dxfId="32" priority="28" stopIfTrue="1" operator="between">
      <formula>0.9</formula>
      <formula>1.05</formula>
    </cfRule>
    <cfRule type="cellIs" dxfId="31" priority="29" stopIfTrue="1" operator="between">
      <formula>0.7</formula>
      <formula>0.8999</formula>
    </cfRule>
    <cfRule type="cellIs" dxfId="30" priority="30" stopIfTrue="1" operator="between">
      <formula>0</formula>
      <formula>0.699</formula>
    </cfRule>
  </conditionalFormatting>
  <conditionalFormatting sqref="T27:T42">
    <cfRule type="cellIs" dxfId="29" priority="25" stopIfTrue="1" operator="between">
      <formula>0.9</formula>
      <formula>1.05</formula>
    </cfRule>
    <cfRule type="cellIs" dxfId="28" priority="26" stopIfTrue="1" operator="between">
      <formula>0.7</formula>
      <formula>0.8999</formula>
    </cfRule>
    <cfRule type="cellIs" dxfId="27" priority="27" stopIfTrue="1" operator="between">
      <formula>0</formula>
      <formula>0.699</formula>
    </cfRule>
  </conditionalFormatting>
  <conditionalFormatting sqref="T44:T53">
    <cfRule type="cellIs" dxfId="26" priority="22" stopIfTrue="1" operator="between">
      <formula>0.9</formula>
      <formula>1.05</formula>
    </cfRule>
    <cfRule type="cellIs" dxfId="25" priority="23" stopIfTrue="1" operator="between">
      <formula>0.7</formula>
      <formula>0.8999</formula>
    </cfRule>
    <cfRule type="cellIs" dxfId="24" priority="24" stopIfTrue="1" operator="between">
      <formula>0</formula>
      <formula>0.699</formula>
    </cfRule>
  </conditionalFormatting>
  <conditionalFormatting sqref="T44:T53">
    <cfRule type="cellIs" dxfId="23" priority="19" stopIfTrue="1" operator="between">
      <formula>0.9</formula>
      <formula>1.05</formula>
    </cfRule>
    <cfRule type="cellIs" dxfId="22" priority="20" stopIfTrue="1" operator="between">
      <formula>0.7</formula>
      <formula>0.8999</formula>
    </cfRule>
    <cfRule type="cellIs" dxfId="21" priority="21" stopIfTrue="1" operator="between">
      <formula>0</formula>
      <formula>0.699</formula>
    </cfRule>
  </conditionalFormatting>
  <conditionalFormatting sqref="T55">
    <cfRule type="cellIs" dxfId="20" priority="16" stopIfTrue="1" operator="between">
      <formula>0.9</formula>
      <formula>1.05</formula>
    </cfRule>
    <cfRule type="cellIs" dxfId="19" priority="17" stopIfTrue="1" operator="between">
      <formula>0.7</formula>
      <formula>0.8999</formula>
    </cfRule>
    <cfRule type="cellIs" dxfId="18" priority="18" stopIfTrue="1" operator="between">
      <formula>0</formula>
      <formula>0.699</formula>
    </cfRule>
  </conditionalFormatting>
  <conditionalFormatting sqref="T55">
    <cfRule type="cellIs" dxfId="17" priority="13" stopIfTrue="1" operator="between">
      <formula>0.9</formula>
      <formula>1.05</formula>
    </cfRule>
    <cfRule type="cellIs" dxfId="16" priority="14" stopIfTrue="1" operator="between">
      <formula>0.7</formula>
      <formula>0.8999</formula>
    </cfRule>
    <cfRule type="cellIs" dxfId="15" priority="15" stopIfTrue="1" operator="between">
      <formula>0</formula>
      <formula>0.699</formula>
    </cfRule>
  </conditionalFormatting>
  <conditionalFormatting sqref="T56:T57">
    <cfRule type="cellIs" dxfId="14" priority="10" stopIfTrue="1" operator="between">
      <formula>0.9</formula>
      <formula>1.05</formula>
    </cfRule>
    <cfRule type="cellIs" dxfId="13" priority="11" stopIfTrue="1" operator="between">
      <formula>0.7</formula>
      <formula>0.8999</formula>
    </cfRule>
    <cfRule type="cellIs" dxfId="12" priority="12" stopIfTrue="1" operator="between">
      <formula>0</formula>
      <formula>0.699</formula>
    </cfRule>
  </conditionalFormatting>
  <conditionalFormatting sqref="T56:T57">
    <cfRule type="cellIs" dxfId="11" priority="7" stopIfTrue="1" operator="between">
      <formula>0.9</formula>
      <formula>1.05</formula>
    </cfRule>
    <cfRule type="cellIs" dxfId="10" priority="8" stopIfTrue="1" operator="between">
      <formula>0.7</formula>
      <formula>0.8999</formula>
    </cfRule>
    <cfRule type="cellIs" dxfId="9" priority="9" stopIfTrue="1" operator="between">
      <formula>0</formula>
      <formula>0.699</formula>
    </cfRule>
  </conditionalFormatting>
  <conditionalFormatting sqref="T59:T61">
    <cfRule type="cellIs" dxfId="8" priority="4" stopIfTrue="1" operator="between">
      <formula>0.9</formula>
      <formula>1.05</formula>
    </cfRule>
    <cfRule type="cellIs" dxfId="7" priority="5" stopIfTrue="1" operator="between">
      <formula>0.7</formula>
      <formula>0.8999</formula>
    </cfRule>
    <cfRule type="cellIs" dxfId="6" priority="6" stopIfTrue="1" operator="between">
      <formula>0</formula>
      <formula>0.699</formula>
    </cfRule>
  </conditionalFormatting>
  <conditionalFormatting sqref="T59:T61">
    <cfRule type="cellIs" dxfId="5" priority="1" stopIfTrue="1" operator="between">
      <formula>0.9</formula>
      <formula>1.05</formula>
    </cfRule>
    <cfRule type="cellIs" dxfId="4" priority="2" stopIfTrue="1" operator="between">
      <formula>0.7</formula>
      <formula>0.8999</formula>
    </cfRule>
    <cfRule type="cellIs" dxfId="3" priority="3" stopIfTrue="1" operator="between">
      <formula>0</formula>
      <formula>0.699</formula>
    </cfRule>
  </conditionalFormatting>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5"/>
  <sheetViews>
    <sheetView topLeftCell="A60" zoomScale="70" zoomScaleNormal="70" workbookViewId="0">
      <selection activeCell="E66" sqref="E66"/>
    </sheetView>
  </sheetViews>
  <sheetFormatPr baseColWidth="10" defaultRowHeight="12.75"/>
  <cols>
    <col min="1" max="1" width="17.42578125" style="514" customWidth="1"/>
    <col min="2" max="3" width="18.7109375" style="514" customWidth="1"/>
    <col min="4" max="4" width="50.7109375" style="514" customWidth="1"/>
    <col min="5" max="5" width="11.42578125" style="514"/>
    <col min="6" max="7" width="13.42578125" style="514" customWidth="1"/>
    <col min="8" max="9" width="11.42578125" style="514"/>
    <col min="10" max="10" width="13.42578125" style="514" customWidth="1"/>
    <col min="11" max="18" width="11.42578125" style="514"/>
    <col min="19" max="19" width="12.85546875" style="514" customWidth="1"/>
    <col min="20" max="20" width="11.42578125" style="514"/>
    <col min="21" max="22" width="15.42578125" style="514" customWidth="1"/>
    <col min="23" max="23" width="11.42578125" style="514"/>
    <col min="24" max="24" width="22.140625" style="514" customWidth="1"/>
    <col min="25" max="25" width="21.85546875" style="514" customWidth="1"/>
    <col min="26" max="26" width="20.7109375" style="514" customWidth="1"/>
    <col min="27" max="27" width="14.28515625" style="514" customWidth="1"/>
    <col min="28" max="28" width="14.5703125" style="514" customWidth="1"/>
    <col min="29" max="29" width="12.140625" style="514" customWidth="1"/>
    <col min="30" max="30" width="36.5703125" style="514" customWidth="1"/>
    <col min="31" max="31" width="20.28515625" style="514" customWidth="1"/>
    <col min="32" max="32" width="14.5703125" style="514" customWidth="1"/>
    <col min="33" max="33" width="12.140625" style="514" customWidth="1"/>
    <col min="34" max="34" width="33.42578125" style="514" customWidth="1"/>
    <col min="35" max="35" width="16.85546875" style="514" customWidth="1"/>
    <col min="36" max="36" width="14.5703125" style="514" customWidth="1"/>
    <col min="37" max="37" width="12.140625" style="514" customWidth="1"/>
    <col min="38" max="38" width="29.7109375" style="514" customWidth="1"/>
    <col min="39" max="39" width="17.85546875" style="514" customWidth="1"/>
    <col min="40" max="40" width="14.7109375" style="514" customWidth="1"/>
    <col min="41" max="41" width="13.7109375" style="514" customWidth="1"/>
    <col min="42" max="42" width="34.7109375" style="514" customWidth="1"/>
    <col min="43" max="43" width="16.140625" style="514" customWidth="1"/>
    <col min="44" max="46" width="11.42578125" style="514"/>
    <col min="47" max="47" width="13.5703125" style="514" customWidth="1"/>
    <col min="48" max="16384" width="11.42578125" style="514"/>
  </cols>
  <sheetData>
    <row r="1" spans="1:43" ht="13.5" thickBot="1">
      <c r="A1" s="1616"/>
      <c r="B1" s="1616"/>
      <c r="C1" s="1616"/>
      <c r="D1" s="1616"/>
      <c r="E1" s="1617" t="s">
        <v>1262</v>
      </c>
      <c r="F1" s="1617"/>
      <c r="G1" s="1617"/>
      <c r="H1" s="1617"/>
      <c r="I1" s="1617"/>
      <c r="J1" s="1617"/>
      <c r="K1" s="1617"/>
      <c r="L1" s="1617"/>
      <c r="M1" s="1617"/>
      <c r="N1" s="1617"/>
      <c r="O1" s="1617"/>
      <c r="P1" s="1617"/>
      <c r="Q1" s="1617"/>
      <c r="R1" s="1617"/>
      <c r="S1" s="1617"/>
      <c r="T1" s="1617"/>
      <c r="U1" s="1617"/>
      <c r="V1" s="1617"/>
      <c r="W1" s="1617"/>
      <c r="X1" s="1617"/>
      <c r="Y1" s="1617"/>
      <c r="Z1" s="1617"/>
      <c r="AA1" s="1617"/>
    </row>
    <row r="2" spans="1:43" ht="13.5" thickBot="1">
      <c r="A2" s="1616"/>
      <c r="B2" s="1616"/>
      <c r="C2" s="1616"/>
      <c r="D2" s="1616"/>
      <c r="E2" s="1617" t="s">
        <v>1261</v>
      </c>
      <c r="F2" s="1617"/>
      <c r="G2" s="1617"/>
      <c r="H2" s="1617"/>
      <c r="I2" s="1617"/>
      <c r="J2" s="1617"/>
      <c r="K2" s="1617"/>
      <c r="L2" s="1617"/>
      <c r="M2" s="1617"/>
      <c r="N2" s="1617"/>
      <c r="O2" s="1617"/>
      <c r="P2" s="1617"/>
      <c r="Q2" s="1617"/>
      <c r="R2" s="1617"/>
      <c r="S2" s="1617"/>
      <c r="T2" s="1617"/>
      <c r="U2" s="1617"/>
      <c r="V2" s="1617"/>
      <c r="W2" s="1617"/>
      <c r="X2" s="1617"/>
      <c r="Y2" s="1617"/>
      <c r="Z2" s="1617"/>
      <c r="AA2" s="1617"/>
    </row>
    <row r="3" spans="1:43" ht="12.75" customHeight="1">
      <c r="A3" s="1616"/>
      <c r="B3" s="1616"/>
      <c r="C3" s="1616"/>
      <c r="D3" s="1616"/>
      <c r="E3" s="1618" t="s">
        <v>1263</v>
      </c>
      <c r="F3" s="1618"/>
      <c r="G3" s="1618"/>
      <c r="H3" s="1618"/>
      <c r="I3" s="1618"/>
      <c r="J3" s="1618"/>
      <c r="K3" s="1618"/>
      <c r="L3" s="1618"/>
      <c r="M3" s="1618"/>
      <c r="N3" s="1618"/>
      <c r="O3" s="1618"/>
      <c r="P3" s="1618"/>
      <c r="Q3" s="1618"/>
      <c r="R3" s="1618"/>
      <c r="S3" s="1618"/>
      <c r="T3" s="1618"/>
      <c r="U3" s="1618"/>
      <c r="V3" s="1618"/>
      <c r="W3" s="1618"/>
      <c r="X3" s="1618"/>
      <c r="Y3" s="1618"/>
      <c r="Z3" s="1618"/>
      <c r="AA3" s="1618"/>
    </row>
    <row r="4" spans="1:43" ht="40.5" customHeight="1">
      <c r="A4" s="1607" t="s">
        <v>1260</v>
      </c>
      <c r="B4" s="1607"/>
      <c r="C4" s="1607"/>
      <c r="D4" s="1607"/>
      <c r="E4" s="1619" t="s">
        <v>1264</v>
      </c>
      <c r="F4" s="1619"/>
      <c r="G4" s="1619"/>
      <c r="H4" s="1619"/>
      <c r="I4" s="1619"/>
      <c r="J4" s="1619"/>
      <c r="K4" s="1619"/>
      <c r="L4" s="1619"/>
      <c r="M4" s="1619"/>
      <c r="N4" s="1619"/>
      <c r="O4" s="1619"/>
      <c r="P4" s="1619"/>
      <c r="Q4" s="1619"/>
      <c r="R4" s="1619"/>
      <c r="S4" s="1619"/>
      <c r="T4" s="1619"/>
      <c r="U4" s="1619"/>
      <c r="V4" s="1619"/>
      <c r="W4" s="1619"/>
      <c r="X4" s="1619"/>
      <c r="Y4" s="1619"/>
      <c r="Z4" s="1619"/>
      <c r="AA4" s="1619"/>
    </row>
    <row r="5" spans="1:43" ht="12.75" customHeight="1">
      <c r="A5" s="1607" t="s">
        <v>598</v>
      </c>
      <c r="B5" s="1607"/>
      <c r="C5" s="1607"/>
      <c r="D5" s="1607"/>
      <c r="E5" s="1608" t="s">
        <v>1265</v>
      </c>
      <c r="F5" s="1608"/>
      <c r="G5" s="1608"/>
      <c r="H5" s="1608"/>
      <c r="I5" s="1608"/>
      <c r="J5" s="1608"/>
      <c r="K5" s="1608"/>
      <c r="L5" s="1608"/>
      <c r="M5" s="1608"/>
      <c r="N5" s="1608"/>
      <c r="O5" s="1608"/>
      <c r="P5" s="1608"/>
      <c r="Q5" s="1608"/>
      <c r="R5" s="1608"/>
      <c r="S5" s="1608"/>
      <c r="T5" s="1608"/>
      <c r="U5" s="1608"/>
      <c r="V5" s="1608"/>
      <c r="W5" s="1608"/>
      <c r="X5" s="1608"/>
      <c r="Y5" s="1608"/>
      <c r="Z5" s="1608"/>
      <c r="AA5" s="1608"/>
    </row>
    <row r="6" spans="1:43" ht="13.5" customHeight="1" thickBot="1">
      <c r="A6" s="1609" t="s">
        <v>1257</v>
      </c>
      <c r="B6" s="1609"/>
      <c r="C6" s="1609"/>
      <c r="D6" s="1609"/>
      <c r="E6" s="1610" t="s">
        <v>1266</v>
      </c>
      <c r="F6" s="1610"/>
      <c r="G6" s="1610"/>
      <c r="H6" s="1610"/>
      <c r="I6" s="1610"/>
      <c r="J6" s="1610"/>
      <c r="K6" s="1610"/>
      <c r="L6" s="1610"/>
      <c r="M6" s="1610"/>
      <c r="N6" s="1610"/>
      <c r="O6" s="1610"/>
      <c r="P6" s="1610"/>
      <c r="Q6" s="1610"/>
      <c r="R6" s="1610"/>
      <c r="S6" s="1610"/>
      <c r="T6" s="1610"/>
      <c r="U6" s="1610"/>
      <c r="V6" s="1610"/>
      <c r="W6" s="1610"/>
      <c r="X6" s="1610"/>
      <c r="Y6" s="1610"/>
      <c r="Z6" s="1610"/>
      <c r="AA6" s="1610"/>
    </row>
    <row r="7" spans="1:43" ht="12.75" customHeight="1" thickBot="1">
      <c r="A7" s="1611" t="s">
        <v>1255</v>
      </c>
      <c r="B7" s="1612" t="s">
        <v>256</v>
      </c>
      <c r="C7" s="515"/>
      <c r="D7" s="1613" t="s">
        <v>1253</v>
      </c>
      <c r="E7" s="1614" t="s">
        <v>1252</v>
      </c>
      <c r="F7" s="1613" t="s">
        <v>1251</v>
      </c>
      <c r="G7" s="1613" t="s">
        <v>1250</v>
      </c>
      <c r="H7" s="1615" t="s">
        <v>1249</v>
      </c>
      <c r="I7" s="1615"/>
      <c r="J7" s="1615"/>
      <c r="K7" s="1615"/>
      <c r="L7" s="1615"/>
      <c r="M7" s="1615"/>
      <c r="N7" s="1615"/>
      <c r="O7" s="1615"/>
      <c r="P7" s="1615"/>
      <c r="Q7" s="1615"/>
      <c r="R7" s="1615"/>
      <c r="S7" s="1615"/>
      <c r="T7" s="1615"/>
      <c r="U7" s="516"/>
      <c r="V7" s="516"/>
      <c r="W7" s="516"/>
      <c r="X7" s="1605" t="s">
        <v>544</v>
      </c>
      <c r="Y7" s="1605"/>
      <c r="Z7" s="1605"/>
      <c r="AA7" s="1605"/>
    </row>
    <row r="8" spans="1:43" ht="39" customHeight="1" thickBot="1">
      <c r="A8" s="1611"/>
      <c r="B8" s="1612"/>
      <c r="C8" s="517"/>
      <c r="D8" s="1613"/>
      <c r="E8" s="1614"/>
      <c r="F8" s="1613"/>
      <c r="G8" s="1613"/>
      <c r="H8" s="1605" t="s">
        <v>1267</v>
      </c>
      <c r="I8" s="1605"/>
      <c r="J8" s="1605"/>
      <c r="K8" s="1605" t="s">
        <v>1268</v>
      </c>
      <c r="L8" s="1605"/>
      <c r="M8" s="1605"/>
      <c r="N8" s="1605" t="s">
        <v>1269</v>
      </c>
      <c r="O8" s="1605"/>
      <c r="P8" s="1605"/>
      <c r="Q8" s="1605" t="s">
        <v>1270</v>
      </c>
      <c r="R8" s="1605"/>
      <c r="S8" s="1605"/>
      <c r="T8" s="1605" t="s">
        <v>1238</v>
      </c>
      <c r="U8" s="1605"/>
      <c r="V8" s="1605"/>
      <c r="W8" s="518" t="s">
        <v>1271</v>
      </c>
      <c r="X8" s="1606" t="s">
        <v>1237</v>
      </c>
      <c r="Y8" s="1605" t="s">
        <v>1236</v>
      </c>
      <c r="Z8" s="1605"/>
      <c r="AA8" s="1605" t="s">
        <v>1235</v>
      </c>
    </row>
    <row r="9" spans="1:43" ht="23.25" customHeight="1" thickTop="1" thickBot="1">
      <c r="A9" s="1611"/>
      <c r="B9" s="1612"/>
      <c r="C9" s="519"/>
      <c r="D9" s="1613"/>
      <c r="E9" s="1614"/>
      <c r="F9" s="1613"/>
      <c r="G9" s="1613"/>
      <c r="H9" s="518" t="s">
        <v>1232</v>
      </c>
      <c r="I9" s="518" t="s">
        <v>1272</v>
      </c>
      <c r="J9" s="518" t="s">
        <v>1273</v>
      </c>
      <c r="K9" s="518" t="s">
        <v>1232</v>
      </c>
      <c r="L9" s="518" t="s">
        <v>1272</v>
      </c>
      <c r="M9" s="518" t="s">
        <v>1273</v>
      </c>
      <c r="N9" s="518" t="s">
        <v>1232</v>
      </c>
      <c r="O9" s="518" t="s">
        <v>1272</v>
      </c>
      <c r="P9" s="518" t="s">
        <v>1273</v>
      </c>
      <c r="Q9" s="518" t="s">
        <v>1232</v>
      </c>
      <c r="R9" s="518" t="s">
        <v>1272</v>
      </c>
      <c r="S9" s="518" t="s">
        <v>1273</v>
      </c>
      <c r="T9" s="518" t="s">
        <v>1232</v>
      </c>
      <c r="U9" s="518" t="s">
        <v>1272</v>
      </c>
      <c r="V9" s="518" t="s">
        <v>1273</v>
      </c>
      <c r="W9" s="520">
        <f>SUM(W11:W65)</f>
        <v>0.8583828444444449</v>
      </c>
      <c r="X9" s="1606"/>
      <c r="Y9" s="521" t="s">
        <v>1227</v>
      </c>
      <c r="Z9" s="521" t="s">
        <v>1226</v>
      </c>
      <c r="AA9" s="1605"/>
      <c r="AB9" s="1554" t="s">
        <v>1274</v>
      </c>
      <c r="AC9" s="1554" t="s">
        <v>1274</v>
      </c>
      <c r="AD9" s="1554" t="s">
        <v>1274</v>
      </c>
      <c r="AE9" s="1554" t="s">
        <v>1274</v>
      </c>
      <c r="AF9" s="1555" t="s">
        <v>1275</v>
      </c>
      <c r="AG9" s="1555" t="s">
        <v>1274</v>
      </c>
      <c r="AH9" s="1555" t="s">
        <v>1274</v>
      </c>
      <c r="AI9" s="1555" t="s">
        <v>1274</v>
      </c>
      <c r="AJ9" s="1555" t="s">
        <v>1276</v>
      </c>
      <c r="AK9" s="1555" t="s">
        <v>1276</v>
      </c>
      <c r="AL9" s="1555" t="s">
        <v>1276</v>
      </c>
      <c r="AM9" s="1555" t="s">
        <v>1276</v>
      </c>
      <c r="AN9" s="1555" t="s">
        <v>1277</v>
      </c>
      <c r="AO9" s="1555" t="s">
        <v>1276</v>
      </c>
      <c r="AP9" s="1555" t="s">
        <v>1276</v>
      </c>
      <c r="AQ9" s="1555" t="s">
        <v>1276</v>
      </c>
    </row>
    <row r="10" spans="1:43" ht="27" thickTop="1" thickBot="1">
      <c r="A10" s="522"/>
      <c r="B10" s="523" t="s">
        <v>1278</v>
      </c>
      <c r="C10" s="524" t="s">
        <v>1279</v>
      </c>
      <c r="D10" s="525"/>
      <c r="E10" s="526"/>
      <c r="F10" s="527"/>
      <c r="G10" s="528"/>
      <c r="H10" s="529"/>
      <c r="I10" s="529"/>
      <c r="J10" s="529"/>
      <c r="K10" s="529"/>
      <c r="L10" s="529"/>
      <c r="M10" s="529"/>
      <c r="N10" s="529"/>
      <c r="O10" s="529"/>
      <c r="P10" s="529"/>
      <c r="Q10" s="529"/>
      <c r="R10" s="529"/>
      <c r="S10" s="529"/>
      <c r="T10" s="529"/>
      <c r="U10" s="529"/>
      <c r="V10" s="529"/>
      <c r="W10" s="530"/>
      <c r="X10" s="531"/>
      <c r="Y10" s="532"/>
      <c r="Z10" s="532"/>
      <c r="AA10" s="533"/>
      <c r="AB10" s="534" t="s">
        <v>1280</v>
      </c>
      <c r="AC10" s="535" t="s">
        <v>1281</v>
      </c>
      <c r="AD10" s="535" t="s">
        <v>1282</v>
      </c>
      <c r="AE10" s="536" t="s">
        <v>1283</v>
      </c>
      <c r="AF10" s="537" t="s">
        <v>1280</v>
      </c>
      <c r="AG10" s="537" t="s">
        <v>1281</v>
      </c>
      <c r="AH10" s="537" t="s">
        <v>1282</v>
      </c>
      <c r="AI10" s="537" t="s">
        <v>1283</v>
      </c>
      <c r="AJ10" s="537" t="s">
        <v>1280</v>
      </c>
      <c r="AK10" s="537" t="s">
        <v>1281</v>
      </c>
      <c r="AL10" s="537" t="s">
        <v>1282</v>
      </c>
      <c r="AM10" s="537" t="s">
        <v>1283</v>
      </c>
      <c r="AN10" s="537" t="s">
        <v>1280</v>
      </c>
      <c r="AO10" s="537" t="s">
        <v>1281</v>
      </c>
      <c r="AP10" s="537" t="s">
        <v>1282</v>
      </c>
      <c r="AQ10" s="537" t="s">
        <v>1283</v>
      </c>
    </row>
    <row r="11" spans="1:43" ht="76.5" customHeight="1" thickBot="1">
      <c r="A11" s="1603" t="s">
        <v>518</v>
      </c>
      <c r="B11" s="1604" t="s">
        <v>1284</v>
      </c>
      <c r="C11" s="538">
        <v>2.1</v>
      </c>
      <c r="D11" s="539" t="s">
        <v>1285</v>
      </c>
      <c r="E11" s="540">
        <v>2.5000000000000001E-2</v>
      </c>
      <c r="F11" s="541" t="s">
        <v>1286</v>
      </c>
      <c r="G11" s="542" t="s">
        <v>532</v>
      </c>
      <c r="H11" s="543">
        <v>1</v>
      </c>
      <c r="I11" s="544">
        <f>AC11</f>
        <v>1</v>
      </c>
      <c r="J11" s="545">
        <f>IF(ISERROR(I11/H11),0,(I11/H11))</f>
        <v>1</v>
      </c>
      <c r="K11" s="546">
        <v>0</v>
      </c>
      <c r="L11" s="547">
        <f>AG11</f>
        <v>1</v>
      </c>
      <c r="M11" s="548">
        <f>IF(ISERROR(L11/K11),0,(L11/K11))</f>
        <v>0</v>
      </c>
      <c r="N11" s="543">
        <v>0</v>
      </c>
      <c r="O11" s="544">
        <f>AK11</f>
        <v>0</v>
      </c>
      <c r="P11" s="545">
        <f>IF(ISERROR(O11/N11),0,(O11/N11))</f>
        <v>0</v>
      </c>
      <c r="Q11" s="546">
        <v>1</v>
      </c>
      <c r="R11" s="547">
        <f>AO11</f>
        <v>6</v>
      </c>
      <c r="S11" s="548">
        <f>IF(ISERROR(R11/Q11),0,(R11/Q11))</f>
        <v>6</v>
      </c>
      <c r="T11" s="549">
        <f>SUM(H11,K11,N11,Q11)</f>
        <v>2</v>
      </c>
      <c r="U11" s="550">
        <f>SUM(I11,L11,O11,R11)</f>
        <v>8</v>
      </c>
      <c r="V11" s="551">
        <f>IF((IF(ISERROR(U11/T11),0,(U11/T11)))&gt;1,1,(IF(ISERROR(U11/T11),0,(U11/T11))))</f>
        <v>1</v>
      </c>
      <c r="W11" s="551">
        <f>E11*V11</f>
        <v>2.5000000000000001E-2</v>
      </c>
      <c r="X11" s="552" t="s">
        <v>1287</v>
      </c>
      <c r="Y11" s="553" t="s">
        <v>1288</v>
      </c>
      <c r="Z11" s="554" t="s">
        <v>1289</v>
      </c>
      <c r="AA11" s="555" t="s">
        <v>542</v>
      </c>
      <c r="AB11" s="556">
        <f>H11</f>
        <v>1</v>
      </c>
      <c r="AC11" s="556">
        <v>1</v>
      </c>
      <c r="AD11" s="557" t="s">
        <v>1290</v>
      </c>
      <c r="AE11" s="557" t="s">
        <v>1291</v>
      </c>
      <c r="AF11" s="558">
        <f>K11</f>
        <v>0</v>
      </c>
      <c r="AG11" s="558">
        <v>1</v>
      </c>
      <c r="AH11" s="559" t="s">
        <v>1292</v>
      </c>
      <c r="AI11" s="560" t="s">
        <v>1293</v>
      </c>
      <c r="AJ11" s="556">
        <f>N11</f>
        <v>0</v>
      </c>
      <c r="AK11" s="556"/>
      <c r="AL11" s="557"/>
      <c r="AM11" s="557"/>
      <c r="AN11" s="558">
        <f>Q11</f>
        <v>1</v>
      </c>
      <c r="AO11" s="558">
        <v>6</v>
      </c>
      <c r="AP11" s="559" t="s">
        <v>1294</v>
      </c>
      <c r="AQ11" s="559" t="s">
        <v>1295</v>
      </c>
    </row>
    <row r="12" spans="1:43" ht="69.75" customHeight="1" thickBot="1">
      <c r="A12" s="1603"/>
      <c r="B12" s="1604"/>
      <c r="C12" s="561">
        <v>2.2000000000000002</v>
      </c>
      <c r="D12" s="562" t="s">
        <v>1296</v>
      </c>
      <c r="E12" s="563">
        <v>1.4999999999999999E-2</v>
      </c>
      <c r="F12" s="564" t="s">
        <v>1286</v>
      </c>
      <c r="G12" s="565" t="s">
        <v>532</v>
      </c>
      <c r="H12" s="566">
        <v>0</v>
      </c>
      <c r="I12" s="544">
        <f t="shared" ref="I12:I38" si="0">AC12</f>
        <v>0</v>
      </c>
      <c r="J12" s="545">
        <f t="shared" ref="J12:J65" si="1">IF(ISERROR(I12/H12),0,(I12/H12))</f>
        <v>0</v>
      </c>
      <c r="K12" s="567">
        <v>1</v>
      </c>
      <c r="L12" s="547">
        <f>AG12</f>
        <v>1</v>
      </c>
      <c r="M12" s="548">
        <f t="shared" ref="M12:M65" si="2">IF(ISERROR(L12/K12),0,(L12/K12))</f>
        <v>1</v>
      </c>
      <c r="N12" s="566">
        <v>0</v>
      </c>
      <c r="O12" s="544">
        <f t="shared" ref="O12:O20" si="3">AK12</f>
        <v>0</v>
      </c>
      <c r="P12" s="545">
        <f t="shared" ref="P12:P65" si="4">IF(ISERROR(O12/N12),0,(O12/N12))</f>
        <v>0</v>
      </c>
      <c r="Q12" s="567">
        <v>0</v>
      </c>
      <c r="R12" s="547">
        <f>AO12</f>
        <v>0</v>
      </c>
      <c r="S12" s="548">
        <f t="shared" ref="S12:S65" si="5">IF(ISERROR(R12/Q12),0,(R12/Q12))</f>
        <v>0</v>
      </c>
      <c r="T12" s="549">
        <f t="shared" ref="T12:U38" si="6">SUM(H12,K12,N12,Q12)</f>
        <v>1</v>
      </c>
      <c r="U12" s="550">
        <f>SUM(I12,L12,O12,R12)</f>
        <v>1</v>
      </c>
      <c r="V12" s="551">
        <f t="shared" ref="V12:V65" si="7">IF((IF(ISERROR(U12/T12),0,(U12/T12)))&gt;1,1,(IF(ISERROR(U12/T12),0,(U12/T12))))</f>
        <v>1</v>
      </c>
      <c r="W12" s="551">
        <f>E12*V12</f>
        <v>1.4999999999999999E-2</v>
      </c>
      <c r="X12" s="568" t="s">
        <v>1297</v>
      </c>
      <c r="Y12" s="569" t="s">
        <v>1298</v>
      </c>
      <c r="Z12" s="569" t="s">
        <v>1299</v>
      </c>
      <c r="AA12" s="570" t="s">
        <v>542</v>
      </c>
      <c r="AB12" s="556">
        <f>H12</f>
        <v>0</v>
      </c>
      <c r="AC12" s="556"/>
      <c r="AD12" s="557"/>
      <c r="AE12" s="557"/>
      <c r="AF12" s="558">
        <f>K12</f>
        <v>1</v>
      </c>
      <c r="AG12" s="558">
        <v>1</v>
      </c>
      <c r="AH12" s="559" t="s">
        <v>1300</v>
      </c>
      <c r="AI12" s="560" t="s">
        <v>1301</v>
      </c>
      <c r="AJ12" s="556">
        <f>N12</f>
        <v>0</v>
      </c>
      <c r="AK12" s="556"/>
      <c r="AL12" s="557"/>
      <c r="AM12" s="557"/>
      <c r="AN12" s="558">
        <f>Q12</f>
        <v>0</v>
      </c>
      <c r="AO12" s="558"/>
      <c r="AP12" s="559"/>
      <c r="AQ12" s="559"/>
    </row>
    <row r="13" spans="1:43" ht="72" customHeight="1" thickBot="1">
      <c r="A13" s="1603"/>
      <c r="B13" s="1604"/>
      <c r="C13" s="571">
        <v>2.2999999999999998</v>
      </c>
      <c r="D13" s="572" t="s">
        <v>1302</v>
      </c>
      <c r="E13" s="573">
        <v>0.02</v>
      </c>
      <c r="F13" s="574" t="s">
        <v>1286</v>
      </c>
      <c r="G13" s="575" t="s">
        <v>532</v>
      </c>
      <c r="H13" s="576">
        <v>0</v>
      </c>
      <c r="I13" s="544">
        <f t="shared" si="0"/>
        <v>0</v>
      </c>
      <c r="J13" s="545">
        <f t="shared" si="1"/>
        <v>0</v>
      </c>
      <c r="K13" s="577">
        <v>3</v>
      </c>
      <c r="L13" s="547">
        <f>AG13</f>
        <v>6</v>
      </c>
      <c r="M13" s="548">
        <f t="shared" si="2"/>
        <v>2</v>
      </c>
      <c r="N13" s="576">
        <v>0</v>
      </c>
      <c r="O13" s="544">
        <f t="shared" si="3"/>
        <v>0</v>
      </c>
      <c r="P13" s="545">
        <f t="shared" si="4"/>
        <v>0</v>
      </c>
      <c r="Q13" s="577">
        <v>3</v>
      </c>
      <c r="R13" s="547">
        <f>AO13</f>
        <v>4</v>
      </c>
      <c r="S13" s="548">
        <f t="shared" si="5"/>
        <v>1.3333333333333333</v>
      </c>
      <c r="T13" s="549">
        <f t="shared" si="6"/>
        <v>6</v>
      </c>
      <c r="U13" s="550">
        <f>SUM(I13,L13,O13,R13)</f>
        <v>10</v>
      </c>
      <c r="V13" s="551">
        <f t="shared" si="7"/>
        <v>1</v>
      </c>
      <c r="W13" s="551">
        <f>E13*V13</f>
        <v>0.02</v>
      </c>
      <c r="X13" s="578" t="s">
        <v>1303</v>
      </c>
      <c r="Y13" s="579" t="s">
        <v>1304</v>
      </c>
      <c r="Z13" s="579" t="s">
        <v>1305</v>
      </c>
      <c r="AA13" s="580" t="s">
        <v>542</v>
      </c>
      <c r="AB13" s="581">
        <f>H13</f>
        <v>0</v>
      </c>
      <c r="AC13" s="581"/>
      <c r="AD13" s="582"/>
      <c r="AE13" s="582"/>
      <c r="AF13" s="583">
        <f>K13</f>
        <v>3</v>
      </c>
      <c r="AG13" s="583">
        <v>6</v>
      </c>
      <c r="AH13" s="584" t="s">
        <v>1306</v>
      </c>
      <c r="AI13" s="585" t="s">
        <v>1307</v>
      </c>
      <c r="AJ13" s="581">
        <f>N13</f>
        <v>0</v>
      </c>
      <c r="AK13" s="581"/>
      <c r="AL13" s="582"/>
      <c r="AM13" s="582"/>
      <c r="AN13" s="583">
        <f>Q13</f>
        <v>3</v>
      </c>
      <c r="AO13" s="583">
        <v>4</v>
      </c>
      <c r="AP13" s="584" t="s">
        <v>1306</v>
      </c>
      <c r="AQ13" s="584" t="s">
        <v>1308</v>
      </c>
    </row>
    <row r="14" spans="1:43" ht="33" customHeight="1" thickBot="1">
      <c r="A14" s="586"/>
      <c r="B14" s="587" t="s">
        <v>1309</v>
      </c>
      <c r="C14" s="588"/>
      <c r="D14" s="589"/>
      <c r="E14" s="590"/>
      <c r="F14" s="591"/>
      <c r="G14" s="592"/>
      <c r="H14" s="592"/>
      <c r="I14" s="592"/>
      <c r="J14" s="593"/>
      <c r="K14" s="529"/>
      <c r="L14" s="529"/>
      <c r="M14" s="529"/>
      <c r="N14" s="529"/>
      <c r="O14" s="529"/>
      <c r="P14" s="529"/>
      <c r="Q14" s="594"/>
      <c r="R14" s="595"/>
      <c r="S14" s="595"/>
      <c r="T14" s="596"/>
      <c r="U14" s="597"/>
      <c r="V14" s="597"/>
      <c r="W14" s="597"/>
      <c r="X14" s="598"/>
      <c r="Y14" s="599"/>
      <c r="Z14" s="599"/>
      <c r="AA14" s="533"/>
      <c r="AB14" s="600"/>
      <c r="AC14" s="601"/>
      <c r="AD14" s="602"/>
      <c r="AE14" s="602"/>
      <c r="AF14" s="603"/>
      <c r="AG14" s="603"/>
      <c r="AH14" s="604"/>
      <c r="AI14" s="605"/>
      <c r="AJ14" s="600"/>
      <c r="AK14" s="601"/>
      <c r="AL14" s="602"/>
      <c r="AM14" s="602"/>
      <c r="AN14" s="603"/>
      <c r="AO14" s="603"/>
      <c r="AP14" s="604"/>
      <c r="AQ14" s="606"/>
    </row>
    <row r="15" spans="1:43" ht="99.95" customHeight="1" thickBot="1">
      <c r="A15" s="1599" t="s">
        <v>517</v>
      </c>
      <c r="B15" s="1600" t="s">
        <v>1310</v>
      </c>
      <c r="C15" s="538">
        <v>8.1</v>
      </c>
      <c r="D15" s="607" t="s">
        <v>1311</v>
      </c>
      <c r="E15" s="608">
        <v>2.5000000000000001E-2</v>
      </c>
      <c r="F15" s="541" t="s">
        <v>1286</v>
      </c>
      <c r="G15" s="542" t="s">
        <v>532</v>
      </c>
      <c r="H15" s="609">
        <v>1</v>
      </c>
      <c r="I15" s="544">
        <f t="shared" si="0"/>
        <v>1</v>
      </c>
      <c r="J15" s="545">
        <f t="shared" si="1"/>
        <v>1</v>
      </c>
      <c r="K15" s="610">
        <v>0</v>
      </c>
      <c r="L15" s="547">
        <f t="shared" ref="L15:L20" si="8">AG15</f>
        <v>0</v>
      </c>
      <c r="M15" s="548">
        <f t="shared" si="2"/>
        <v>0</v>
      </c>
      <c r="N15" s="609">
        <v>0</v>
      </c>
      <c r="O15" s="544">
        <f t="shared" si="3"/>
        <v>0</v>
      </c>
      <c r="P15" s="545">
        <f t="shared" si="4"/>
        <v>0</v>
      </c>
      <c r="Q15" s="610">
        <v>0</v>
      </c>
      <c r="R15" s="547">
        <f t="shared" ref="R15:R20" si="9">AO15</f>
        <v>0</v>
      </c>
      <c r="S15" s="548">
        <f t="shared" si="5"/>
        <v>0</v>
      </c>
      <c r="T15" s="549">
        <f t="shared" si="6"/>
        <v>1</v>
      </c>
      <c r="U15" s="550">
        <f t="shared" si="6"/>
        <v>1</v>
      </c>
      <c r="V15" s="551">
        <f t="shared" si="7"/>
        <v>1</v>
      </c>
      <c r="W15" s="551">
        <f t="shared" ref="W15:W20" si="10">E15*V15</f>
        <v>2.5000000000000001E-2</v>
      </c>
      <c r="X15" s="611" t="s">
        <v>1312</v>
      </c>
      <c r="Y15" s="612" t="s">
        <v>1313</v>
      </c>
      <c r="Z15" s="612" t="s">
        <v>1314</v>
      </c>
      <c r="AA15" s="613" t="s">
        <v>542</v>
      </c>
      <c r="AB15" s="614">
        <f t="shared" ref="AB15:AB38" si="11">H15</f>
        <v>1</v>
      </c>
      <c r="AC15" s="614">
        <v>1</v>
      </c>
      <c r="AD15" s="615"/>
      <c r="AE15" s="615" t="s">
        <v>1315</v>
      </c>
      <c r="AF15" s="616">
        <f t="shared" ref="AF15:AF38" si="12">K15</f>
        <v>0</v>
      </c>
      <c r="AG15" s="616"/>
      <c r="AH15" s="617"/>
      <c r="AI15" s="618"/>
      <c r="AJ15" s="614">
        <f t="shared" ref="AJ15:AJ38" si="13">N15</f>
        <v>0</v>
      </c>
      <c r="AK15" s="614"/>
      <c r="AL15" s="615"/>
      <c r="AM15" s="615"/>
      <c r="AN15" s="616">
        <f t="shared" ref="AN15:AN38" si="14">Q15</f>
        <v>0</v>
      </c>
      <c r="AO15" s="616"/>
      <c r="AP15" s="617"/>
      <c r="AQ15" s="617"/>
    </row>
    <row r="16" spans="1:43" ht="99.95" customHeight="1" thickBot="1">
      <c r="A16" s="1599"/>
      <c r="B16" s="1600"/>
      <c r="C16" s="561">
        <v>8.1999999999999993</v>
      </c>
      <c r="D16" s="562" t="s">
        <v>1316</v>
      </c>
      <c r="E16" s="619">
        <v>0.02</v>
      </c>
      <c r="F16" s="564" t="s">
        <v>537</v>
      </c>
      <c r="G16" s="565" t="s">
        <v>532</v>
      </c>
      <c r="H16" s="620">
        <v>0</v>
      </c>
      <c r="I16" s="545">
        <f t="shared" si="0"/>
        <v>0</v>
      </c>
      <c r="J16" s="545">
        <f t="shared" si="1"/>
        <v>0</v>
      </c>
      <c r="K16" s="621">
        <v>0</v>
      </c>
      <c r="L16" s="548">
        <f t="shared" si="8"/>
        <v>0</v>
      </c>
      <c r="M16" s="548">
        <f t="shared" si="2"/>
        <v>0</v>
      </c>
      <c r="N16" s="620">
        <v>0</v>
      </c>
      <c r="O16" s="545">
        <f t="shared" si="3"/>
        <v>0</v>
      </c>
      <c r="P16" s="545">
        <f t="shared" si="4"/>
        <v>0</v>
      </c>
      <c r="Q16" s="621">
        <v>1</v>
      </c>
      <c r="R16" s="548">
        <f t="shared" si="9"/>
        <v>1</v>
      </c>
      <c r="S16" s="548">
        <f t="shared" si="5"/>
        <v>1</v>
      </c>
      <c r="T16" s="622">
        <f t="shared" si="6"/>
        <v>1</v>
      </c>
      <c r="U16" s="551">
        <f t="shared" si="6"/>
        <v>1</v>
      </c>
      <c r="V16" s="551">
        <f t="shared" si="7"/>
        <v>1</v>
      </c>
      <c r="W16" s="551">
        <f t="shared" si="10"/>
        <v>0.02</v>
      </c>
      <c r="X16" s="623" t="s">
        <v>1317</v>
      </c>
      <c r="Y16" s="624" t="s">
        <v>1318</v>
      </c>
      <c r="Z16" s="625" t="s">
        <v>1319</v>
      </c>
      <c r="AA16" s="626" t="s">
        <v>542</v>
      </c>
      <c r="AB16" s="627">
        <f t="shared" si="11"/>
        <v>0</v>
      </c>
      <c r="AC16" s="628"/>
      <c r="AD16" s="557"/>
      <c r="AE16" s="557"/>
      <c r="AF16" s="629">
        <f t="shared" si="12"/>
        <v>0</v>
      </c>
      <c r="AG16" s="630"/>
      <c r="AH16" s="559"/>
      <c r="AI16" s="560"/>
      <c r="AJ16" s="627">
        <f t="shared" si="13"/>
        <v>0</v>
      </c>
      <c r="AK16" s="556"/>
      <c r="AL16" s="557"/>
      <c r="AM16" s="557"/>
      <c r="AN16" s="629">
        <f t="shared" si="14"/>
        <v>1</v>
      </c>
      <c r="AO16" s="630">
        <v>1</v>
      </c>
      <c r="AP16" s="559" t="s">
        <v>1320</v>
      </c>
      <c r="AQ16" s="559" t="s">
        <v>1321</v>
      </c>
    </row>
    <row r="17" spans="1:43" ht="99.95" customHeight="1" thickBot="1">
      <c r="A17" s="1599"/>
      <c r="B17" s="1600"/>
      <c r="C17" s="538">
        <v>8.3000000000000007</v>
      </c>
      <c r="D17" s="562" t="s">
        <v>1322</v>
      </c>
      <c r="E17" s="619">
        <v>1.4999999999999999E-2</v>
      </c>
      <c r="F17" s="564" t="s">
        <v>537</v>
      </c>
      <c r="G17" s="565" t="s">
        <v>532</v>
      </c>
      <c r="H17" s="620">
        <v>0</v>
      </c>
      <c r="I17" s="545">
        <f t="shared" si="0"/>
        <v>0</v>
      </c>
      <c r="J17" s="545">
        <f t="shared" si="1"/>
        <v>0</v>
      </c>
      <c r="K17" s="621">
        <v>0</v>
      </c>
      <c r="L17" s="548">
        <f t="shared" si="8"/>
        <v>0.20937</v>
      </c>
      <c r="M17" s="548">
        <f t="shared" si="2"/>
        <v>0</v>
      </c>
      <c r="N17" s="620">
        <v>0</v>
      </c>
      <c r="O17" s="545">
        <f t="shared" si="3"/>
        <v>0</v>
      </c>
      <c r="P17" s="545">
        <f t="shared" si="4"/>
        <v>0</v>
      </c>
      <c r="Q17" s="621">
        <v>1</v>
      </c>
      <c r="R17" s="548">
        <f t="shared" si="9"/>
        <v>0.52280000000000004</v>
      </c>
      <c r="S17" s="548">
        <f t="shared" si="5"/>
        <v>0.52280000000000004</v>
      </c>
      <c r="T17" s="622">
        <f t="shared" si="6"/>
        <v>1</v>
      </c>
      <c r="U17" s="551">
        <f t="shared" si="6"/>
        <v>0.73216999999999999</v>
      </c>
      <c r="V17" s="551">
        <f t="shared" si="7"/>
        <v>0.73216999999999999</v>
      </c>
      <c r="W17" s="551">
        <f t="shared" si="10"/>
        <v>1.0982549999999999E-2</v>
      </c>
      <c r="X17" s="623" t="s">
        <v>1323</v>
      </c>
      <c r="Y17" s="631" t="s">
        <v>1324</v>
      </c>
      <c r="Z17" s="631" t="s">
        <v>1325</v>
      </c>
      <c r="AA17" s="626" t="s">
        <v>542</v>
      </c>
      <c r="AB17" s="627">
        <f t="shared" si="11"/>
        <v>0</v>
      </c>
      <c r="AC17" s="628"/>
      <c r="AD17" s="557"/>
      <c r="AE17" s="557"/>
      <c r="AF17" s="629">
        <f t="shared" si="12"/>
        <v>0</v>
      </c>
      <c r="AG17" s="632">
        <v>0.20937</v>
      </c>
      <c r="AH17" s="559" t="s">
        <v>1326</v>
      </c>
      <c r="AI17" s="560" t="s">
        <v>1327</v>
      </c>
      <c r="AJ17" s="627">
        <f t="shared" si="13"/>
        <v>0</v>
      </c>
      <c r="AK17" s="556"/>
      <c r="AL17" s="557"/>
      <c r="AM17" s="557"/>
      <c r="AN17" s="629">
        <f t="shared" si="14"/>
        <v>1</v>
      </c>
      <c r="AO17" s="632">
        <v>0.52280000000000004</v>
      </c>
      <c r="AP17" s="559" t="s">
        <v>1328</v>
      </c>
      <c r="AQ17" s="559" t="s">
        <v>1329</v>
      </c>
    </row>
    <row r="18" spans="1:43" ht="99.95" customHeight="1" thickBot="1">
      <c r="A18" s="1599"/>
      <c r="B18" s="1600"/>
      <c r="C18" s="561">
        <v>8.4</v>
      </c>
      <c r="D18" s="562" t="s">
        <v>1330</v>
      </c>
      <c r="E18" s="619">
        <v>1.4999999999999999E-2</v>
      </c>
      <c r="F18" s="564" t="s">
        <v>537</v>
      </c>
      <c r="G18" s="565" t="s">
        <v>532</v>
      </c>
      <c r="H18" s="620">
        <v>0.2</v>
      </c>
      <c r="I18" s="545">
        <f t="shared" si="0"/>
        <v>5.6000000000000001E-2</v>
      </c>
      <c r="J18" s="545">
        <f t="shared" si="1"/>
        <v>0.27999999999999997</v>
      </c>
      <c r="K18" s="621">
        <v>0.2</v>
      </c>
      <c r="L18" s="548">
        <f t="shared" si="8"/>
        <v>4.9119999999999997E-2</v>
      </c>
      <c r="M18" s="548">
        <f t="shared" si="2"/>
        <v>0.24559999999999998</v>
      </c>
      <c r="N18" s="620">
        <v>0.2</v>
      </c>
      <c r="O18" s="545">
        <f t="shared" si="3"/>
        <v>4.7800000000000002E-2</v>
      </c>
      <c r="P18" s="545">
        <f t="shared" si="4"/>
        <v>0.23899999999999999</v>
      </c>
      <c r="Q18" s="621">
        <v>0.2</v>
      </c>
      <c r="R18" s="548">
        <f t="shared" si="9"/>
        <v>0.3</v>
      </c>
      <c r="S18" s="548">
        <f t="shared" si="5"/>
        <v>1.4999999999999998</v>
      </c>
      <c r="T18" s="622">
        <f t="shared" si="6"/>
        <v>0.8</v>
      </c>
      <c r="U18" s="551">
        <f t="shared" si="6"/>
        <v>0.45291999999999999</v>
      </c>
      <c r="V18" s="551">
        <f t="shared" si="7"/>
        <v>0.56614999999999993</v>
      </c>
      <c r="W18" s="551">
        <f t="shared" si="10"/>
        <v>8.4922499999999981E-3</v>
      </c>
      <c r="X18" s="623" t="s">
        <v>1134</v>
      </c>
      <c r="Y18" s="631" t="s">
        <v>1133</v>
      </c>
      <c r="Z18" s="631" t="s">
        <v>1132</v>
      </c>
      <c r="AA18" s="626" t="s">
        <v>542</v>
      </c>
      <c r="AB18" s="627">
        <f t="shared" si="11"/>
        <v>0.2</v>
      </c>
      <c r="AC18" s="628">
        <v>5.6000000000000001E-2</v>
      </c>
      <c r="AD18" s="557" t="s">
        <v>1331</v>
      </c>
      <c r="AE18" s="557" t="s">
        <v>1332</v>
      </c>
      <c r="AF18" s="629">
        <f t="shared" si="12"/>
        <v>0.2</v>
      </c>
      <c r="AG18" s="632">
        <v>4.9119999999999997E-2</v>
      </c>
      <c r="AH18" s="559" t="s">
        <v>1333</v>
      </c>
      <c r="AI18" s="560" t="s">
        <v>1332</v>
      </c>
      <c r="AJ18" s="633">
        <f t="shared" si="13"/>
        <v>0.2</v>
      </c>
      <c r="AK18" s="634">
        <v>4.7800000000000002E-2</v>
      </c>
      <c r="AL18" s="557" t="s">
        <v>1334</v>
      </c>
      <c r="AM18" s="557" t="s">
        <v>1335</v>
      </c>
      <c r="AN18" s="629">
        <f t="shared" si="14"/>
        <v>0.2</v>
      </c>
      <c r="AO18" s="630">
        <v>0.3</v>
      </c>
      <c r="AP18" s="559" t="s">
        <v>1336</v>
      </c>
      <c r="AQ18" s="559" t="s">
        <v>1332</v>
      </c>
    </row>
    <row r="19" spans="1:43" ht="99.95" customHeight="1" thickBot="1">
      <c r="A19" s="1599"/>
      <c r="B19" s="1600"/>
      <c r="C19" s="538">
        <v>8.5</v>
      </c>
      <c r="D19" s="572" t="s">
        <v>1337</v>
      </c>
      <c r="E19" s="619">
        <v>0.03</v>
      </c>
      <c r="F19" s="564" t="s">
        <v>537</v>
      </c>
      <c r="G19" s="565" t="s">
        <v>1338</v>
      </c>
      <c r="H19" s="620">
        <v>0.25</v>
      </c>
      <c r="I19" s="545">
        <f t="shared" si="0"/>
        <v>0.24440000000000001</v>
      </c>
      <c r="J19" s="545">
        <f t="shared" si="1"/>
        <v>0.97760000000000002</v>
      </c>
      <c r="K19" s="621">
        <v>0.25</v>
      </c>
      <c r="L19" s="548">
        <f t="shared" si="8"/>
        <v>0.375</v>
      </c>
      <c r="M19" s="548">
        <f t="shared" si="2"/>
        <v>1.5</v>
      </c>
      <c r="N19" s="620">
        <v>0.25</v>
      </c>
      <c r="O19" s="545">
        <f t="shared" si="3"/>
        <v>0.31</v>
      </c>
      <c r="P19" s="545">
        <f t="shared" si="4"/>
        <v>1.24</v>
      </c>
      <c r="Q19" s="621">
        <v>0.25</v>
      </c>
      <c r="R19" s="548">
        <f t="shared" si="9"/>
        <v>0.33</v>
      </c>
      <c r="S19" s="548">
        <f t="shared" si="5"/>
        <v>1.32</v>
      </c>
      <c r="T19" s="622">
        <f t="shared" si="6"/>
        <v>1</v>
      </c>
      <c r="U19" s="551">
        <f t="shared" si="6"/>
        <v>1.2594000000000001</v>
      </c>
      <c r="V19" s="551">
        <f t="shared" si="7"/>
        <v>1</v>
      </c>
      <c r="W19" s="551">
        <f t="shared" si="10"/>
        <v>0.03</v>
      </c>
      <c r="X19" s="623" t="s">
        <v>1339</v>
      </c>
      <c r="Y19" s="631" t="s">
        <v>1109</v>
      </c>
      <c r="Z19" s="631" t="s">
        <v>1340</v>
      </c>
      <c r="AA19" s="626" t="s">
        <v>542</v>
      </c>
      <c r="AB19" s="627">
        <f t="shared" si="11"/>
        <v>0.25</v>
      </c>
      <c r="AC19" s="635">
        <v>0.24440000000000001</v>
      </c>
      <c r="AD19" s="557" t="s">
        <v>1341</v>
      </c>
      <c r="AE19" s="557" t="s">
        <v>1342</v>
      </c>
      <c r="AF19" s="629">
        <f t="shared" si="12"/>
        <v>0.25</v>
      </c>
      <c r="AG19" s="632">
        <v>0.375</v>
      </c>
      <c r="AH19" s="559" t="s">
        <v>1343</v>
      </c>
      <c r="AI19" s="560" t="s">
        <v>1344</v>
      </c>
      <c r="AJ19" s="633">
        <f t="shared" si="13"/>
        <v>0.25</v>
      </c>
      <c r="AK19" s="636">
        <v>0.31</v>
      </c>
      <c r="AL19" s="557" t="s">
        <v>1345</v>
      </c>
      <c r="AM19" s="557" t="s">
        <v>1346</v>
      </c>
      <c r="AN19" s="629">
        <f t="shared" si="14"/>
        <v>0.25</v>
      </c>
      <c r="AO19" s="630">
        <v>0.33</v>
      </c>
      <c r="AP19" s="559" t="s">
        <v>1347</v>
      </c>
      <c r="AQ19" s="559" t="s">
        <v>1346</v>
      </c>
    </row>
    <row r="20" spans="1:43" ht="99.95" customHeight="1" thickBot="1">
      <c r="A20" s="1599"/>
      <c r="B20" s="1600"/>
      <c r="C20" s="561">
        <v>8.6</v>
      </c>
      <c r="D20" s="637" t="s">
        <v>1348</v>
      </c>
      <c r="E20" s="638">
        <v>0.01</v>
      </c>
      <c r="F20" s="639" t="s">
        <v>538</v>
      </c>
      <c r="G20" s="640" t="s">
        <v>532</v>
      </c>
      <c r="H20" s="641">
        <v>0</v>
      </c>
      <c r="I20" s="544">
        <f t="shared" si="0"/>
        <v>0</v>
      </c>
      <c r="J20" s="545">
        <f t="shared" si="1"/>
        <v>0</v>
      </c>
      <c r="K20" s="642">
        <v>1</v>
      </c>
      <c r="L20" s="547">
        <f t="shared" si="8"/>
        <v>1</v>
      </c>
      <c r="M20" s="548">
        <f t="shared" si="2"/>
        <v>1</v>
      </c>
      <c r="N20" s="641">
        <v>0</v>
      </c>
      <c r="O20" s="544">
        <f t="shared" si="3"/>
        <v>0</v>
      </c>
      <c r="P20" s="545">
        <f t="shared" si="4"/>
        <v>0</v>
      </c>
      <c r="Q20" s="642">
        <v>1</v>
      </c>
      <c r="R20" s="547">
        <f t="shared" si="9"/>
        <v>1</v>
      </c>
      <c r="S20" s="548">
        <f t="shared" si="5"/>
        <v>1</v>
      </c>
      <c r="T20" s="549">
        <f t="shared" si="6"/>
        <v>2</v>
      </c>
      <c r="U20" s="550">
        <f t="shared" si="6"/>
        <v>2</v>
      </c>
      <c r="V20" s="551">
        <f t="shared" si="7"/>
        <v>1</v>
      </c>
      <c r="W20" s="551">
        <f t="shared" si="10"/>
        <v>0.01</v>
      </c>
      <c r="X20" s="643" t="s">
        <v>1349</v>
      </c>
      <c r="Y20" s="644" t="s">
        <v>1350</v>
      </c>
      <c r="Z20" s="644" t="s">
        <v>1351</v>
      </c>
      <c r="AA20" s="645" t="s">
        <v>542</v>
      </c>
      <c r="AB20" s="581">
        <f t="shared" si="11"/>
        <v>0</v>
      </c>
      <c r="AC20" s="581"/>
      <c r="AD20" s="582"/>
      <c r="AE20" s="582"/>
      <c r="AF20" s="583">
        <f t="shared" si="12"/>
        <v>1</v>
      </c>
      <c r="AG20" s="583">
        <v>1</v>
      </c>
      <c r="AH20" s="584" t="s">
        <v>1352</v>
      </c>
      <c r="AI20" s="585" t="s">
        <v>1353</v>
      </c>
      <c r="AJ20" s="581">
        <f t="shared" si="13"/>
        <v>0</v>
      </c>
      <c r="AK20" s="581"/>
      <c r="AL20" s="582"/>
      <c r="AM20" s="582"/>
      <c r="AN20" s="583">
        <f t="shared" si="14"/>
        <v>1</v>
      </c>
      <c r="AO20" s="583">
        <v>1</v>
      </c>
      <c r="AP20" s="584" t="s">
        <v>1354</v>
      </c>
      <c r="AQ20" s="584" t="s">
        <v>1355</v>
      </c>
    </row>
    <row r="21" spans="1:43" ht="26.25" thickBot="1">
      <c r="A21" s="646"/>
      <c r="B21" s="647" t="s">
        <v>1075</v>
      </c>
      <c r="C21" s="648"/>
      <c r="D21" s="649"/>
      <c r="E21" s="590"/>
      <c r="F21" s="591"/>
      <c r="G21" s="592"/>
      <c r="H21" s="650"/>
      <c r="I21" s="650"/>
      <c r="J21" s="593"/>
      <c r="K21" s="529"/>
      <c r="L21" s="529"/>
      <c r="M21" s="529"/>
      <c r="N21" s="529"/>
      <c r="O21" s="529"/>
      <c r="P21" s="529"/>
      <c r="Q21" s="594"/>
      <c r="R21" s="595"/>
      <c r="S21" s="595"/>
      <c r="T21" s="651"/>
      <c r="U21" s="597"/>
      <c r="V21" s="597"/>
      <c r="W21" s="597"/>
      <c r="X21" s="652"/>
      <c r="Y21" s="653"/>
      <c r="Z21" s="654"/>
      <c r="AA21" s="655"/>
      <c r="AB21" s="600"/>
      <c r="AC21" s="601"/>
      <c r="AD21" s="602"/>
      <c r="AE21" s="602"/>
      <c r="AF21" s="603"/>
      <c r="AG21" s="603"/>
      <c r="AH21" s="604"/>
      <c r="AI21" s="605"/>
      <c r="AJ21" s="600"/>
      <c r="AK21" s="601"/>
      <c r="AL21" s="602"/>
      <c r="AM21" s="602"/>
      <c r="AN21" s="603"/>
      <c r="AO21" s="603"/>
      <c r="AP21" s="604"/>
      <c r="AQ21" s="606"/>
    </row>
    <row r="22" spans="1:43" ht="45.75" customHeight="1" thickBot="1">
      <c r="A22" s="1596" t="s">
        <v>1356</v>
      </c>
      <c r="B22" s="1597" t="s">
        <v>1357</v>
      </c>
      <c r="C22" s="656">
        <v>14.1</v>
      </c>
      <c r="D22" s="657" t="s">
        <v>1358</v>
      </c>
      <c r="E22" s="608">
        <v>0</v>
      </c>
      <c r="F22" s="541" t="s">
        <v>1286</v>
      </c>
      <c r="G22" s="542" t="s">
        <v>532</v>
      </c>
      <c r="H22" s="658">
        <v>0</v>
      </c>
      <c r="I22" s="544">
        <f t="shared" si="0"/>
        <v>0</v>
      </c>
      <c r="J22" s="545">
        <f t="shared" si="1"/>
        <v>0</v>
      </c>
      <c r="K22" s="659">
        <v>0</v>
      </c>
      <c r="L22" s="547">
        <f t="shared" ref="L22:L38" si="15">AG22</f>
        <v>0</v>
      </c>
      <c r="M22" s="548">
        <f t="shared" si="2"/>
        <v>0</v>
      </c>
      <c r="N22" s="658">
        <v>0</v>
      </c>
      <c r="O22" s="544">
        <f t="shared" ref="O22:O38" si="16">AK22</f>
        <v>0</v>
      </c>
      <c r="P22" s="545">
        <f t="shared" si="4"/>
        <v>0</v>
      </c>
      <c r="Q22" s="659">
        <v>0</v>
      </c>
      <c r="R22" s="547">
        <f t="shared" ref="R22:R38" si="17">AO22</f>
        <v>0</v>
      </c>
      <c r="S22" s="548">
        <f t="shared" si="5"/>
        <v>0</v>
      </c>
      <c r="T22" s="549">
        <f t="shared" si="6"/>
        <v>0</v>
      </c>
      <c r="U22" s="660">
        <f t="shared" si="6"/>
        <v>0</v>
      </c>
      <c r="V22" s="551">
        <f t="shared" si="7"/>
        <v>0</v>
      </c>
      <c r="W22" s="551">
        <f t="shared" ref="W22:W38" si="18">E22*V22</f>
        <v>0</v>
      </c>
      <c r="X22" s="661" t="s">
        <v>1359</v>
      </c>
      <c r="Y22" s="662" t="s">
        <v>1360</v>
      </c>
      <c r="Z22" s="662" t="s">
        <v>1361</v>
      </c>
      <c r="AA22" s="663" t="s">
        <v>542</v>
      </c>
      <c r="AB22" s="614">
        <f t="shared" si="11"/>
        <v>0</v>
      </c>
      <c r="AC22" s="614"/>
      <c r="AD22" s="615"/>
      <c r="AE22" s="615"/>
      <c r="AF22" s="616">
        <f t="shared" si="12"/>
        <v>0</v>
      </c>
      <c r="AG22" s="616"/>
      <c r="AH22" s="617"/>
      <c r="AI22" s="618"/>
      <c r="AJ22" s="614">
        <f t="shared" si="13"/>
        <v>0</v>
      </c>
      <c r="AK22" s="614"/>
      <c r="AL22" s="615"/>
      <c r="AM22" s="615"/>
      <c r="AN22" s="616">
        <f t="shared" si="14"/>
        <v>0</v>
      </c>
      <c r="AO22" s="616"/>
      <c r="AP22" s="617"/>
      <c r="AQ22" s="617"/>
    </row>
    <row r="23" spans="1:43" ht="45.75" thickBot="1">
      <c r="A23" s="1596"/>
      <c r="B23" s="1597"/>
      <c r="C23" s="664">
        <v>14.2</v>
      </c>
      <c r="D23" s="665" t="s">
        <v>1362</v>
      </c>
      <c r="E23" s="619">
        <v>0</v>
      </c>
      <c r="F23" s="564" t="s">
        <v>537</v>
      </c>
      <c r="G23" s="565" t="s">
        <v>532</v>
      </c>
      <c r="H23" s="620">
        <v>0</v>
      </c>
      <c r="I23" s="545">
        <f t="shared" si="0"/>
        <v>0</v>
      </c>
      <c r="J23" s="545">
        <f t="shared" si="1"/>
        <v>0</v>
      </c>
      <c r="K23" s="621">
        <v>0</v>
      </c>
      <c r="L23" s="548">
        <f t="shared" si="15"/>
        <v>0</v>
      </c>
      <c r="M23" s="548">
        <f t="shared" si="2"/>
        <v>0</v>
      </c>
      <c r="N23" s="620">
        <v>0</v>
      </c>
      <c r="O23" s="545">
        <f t="shared" si="16"/>
        <v>0</v>
      </c>
      <c r="P23" s="545">
        <f t="shared" si="4"/>
        <v>0</v>
      </c>
      <c r="Q23" s="621">
        <v>0</v>
      </c>
      <c r="R23" s="548">
        <f t="shared" si="17"/>
        <v>0</v>
      </c>
      <c r="S23" s="548">
        <f t="shared" si="5"/>
        <v>0</v>
      </c>
      <c r="T23" s="549">
        <f t="shared" si="6"/>
        <v>0</v>
      </c>
      <c r="U23" s="666">
        <f t="shared" si="6"/>
        <v>0</v>
      </c>
      <c r="V23" s="551">
        <f t="shared" si="7"/>
        <v>0</v>
      </c>
      <c r="W23" s="551">
        <f t="shared" si="18"/>
        <v>0</v>
      </c>
      <c r="X23" s="667" t="s">
        <v>1363</v>
      </c>
      <c r="Y23" s="668" t="s">
        <v>1364</v>
      </c>
      <c r="Z23" s="668" t="s">
        <v>1365</v>
      </c>
      <c r="AA23" s="669" t="s">
        <v>542</v>
      </c>
      <c r="AB23" s="627">
        <f t="shared" si="11"/>
        <v>0</v>
      </c>
      <c r="AC23" s="636"/>
      <c r="AD23" s="557"/>
      <c r="AE23" s="557"/>
      <c r="AF23" s="629">
        <f t="shared" si="12"/>
        <v>0</v>
      </c>
      <c r="AG23" s="630"/>
      <c r="AH23" s="559"/>
      <c r="AI23" s="560"/>
      <c r="AJ23" s="627">
        <f t="shared" si="13"/>
        <v>0</v>
      </c>
      <c r="AK23" s="670"/>
      <c r="AL23" s="671"/>
      <c r="AM23" s="557"/>
      <c r="AN23" s="629">
        <f t="shared" si="14"/>
        <v>0</v>
      </c>
      <c r="AO23" s="558"/>
      <c r="AP23" s="559"/>
      <c r="AQ23" s="672"/>
    </row>
    <row r="24" spans="1:43" ht="45.75" thickBot="1">
      <c r="A24" s="1596"/>
      <c r="B24" s="1597"/>
      <c r="C24" s="656">
        <v>14.3</v>
      </c>
      <c r="D24" s="665" t="s">
        <v>1366</v>
      </c>
      <c r="E24" s="619">
        <v>0.04</v>
      </c>
      <c r="F24" s="564" t="s">
        <v>1286</v>
      </c>
      <c r="G24" s="565" t="s">
        <v>532</v>
      </c>
      <c r="H24" s="673">
        <v>1</v>
      </c>
      <c r="I24" s="544">
        <f t="shared" si="0"/>
        <v>1</v>
      </c>
      <c r="J24" s="545">
        <f t="shared" si="1"/>
        <v>1</v>
      </c>
      <c r="K24" s="674">
        <v>0</v>
      </c>
      <c r="L24" s="547">
        <f t="shared" si="15"/>
        <v>0</v>
      </c>
      <c r="M24" s="548">
        <f t="shared" si="2"/>
        <v>0</v>
      </c>
      <c r="N24" s="673">
        <v>0</v>
      </c>
      <c r="O24" s="544">
        <f t="shared" si="16"/>
        <v>0</v>
      </c>
      <c r="P24" s="545">
        <f t="shared" si="4"/>
        <v>0</v>
      </c>
      <c r="Q24" s="674">
        <v>0</v>
      </c>
      <c r="R24" s="547">
        <f t="shared" si="17"/>
        <v>0</v>
      </c>
      <c r="S24" s="548">
        <f t="shared" si="5"/>
        <v>0</v>
      </c>
      <c r="T24" s="549">
        <f t="shared" si="6"/>
        <v>1</v>
      </c>
      <c r="U24" s="660">
        <f t="shared" si="6"/>
        <v>1</v>
      </c>
      <c r="V24" s="551">
        <f t="shared" si="7"/>
        <v>1</v>
      </c>
      <c r="W24" s="551">
        <f t="shared" si="18"/>
        <v>0.04</v>
      </c>
      <c r="X24" s="564" t="s">
        <v>1359</v>
      </c>
      <c r="Y24" s="565" t="s">
        <v>1360</v>
      </c>
      <c r="Z24" s="565" t="s">
        <v>1361</v>
      </c>
      <c r="AA24" s="669" t="s">
        <v>542</v>
      </c>
      <c r="AB24" s="556">
        <f t="shared" si="11"/>
        <v>1</v>
      </c>
      <c r="AC24" s="556">
        <v>1</v>
      </c>
      <c r="AD24" s="557" t="s">
        <v>1367</v>
      </c>
      <c r="AE24" s="557" t="s">
        <v>1368</v>
      </c>
      <c r="AF24" s="558">
        <f t="shared" si="12"/>
        <v>0</v>
      </c>
      <c r="AG24" s="558"/>
      <c r="AH24" s="559"/>
      <c r="AI24" s="560"/>
      <c r="AJ24" s="556">
        <f t="shared" si="13"/>
        <v>0</v>
      </c>
      <c r="AK24" s="556"/>
      <c r="AL24" s="557"/>
      <c r="AM24" s="557"/>
      <c r="AN24" s="558">
        <f t="shared" si="14"/>
        <v>0</v>
      </c>
      <c r="AO24" s="558"/>
      <c r="AP24" s="559"/>
      <c r="AQ24" s="559"/>
    </row>
    <row r="25" spans="1:43" ht="115.5" thickBot="1">
      <c r="A25" s="1596"/>
      <c r="B25" s="1597"/>
      <c r="C25" s="675">
        <v>14.4</v>
      </c>
      <c r="D25" s="676" t="s">
        <v>1369</v>
      </c>
      <c r="E25" s="619">
        <v>0.04</v>
      </c>
      <c r="F25" s="564" t="s">
        <v>537</v>
      </c>
      <c r="G25" s="565" t="s">
        <v>532</v>
      </c>
      <c r="H25" s="620">
        <v>0.25</v>
      </c>
      <c r="I25" s="545">
        <f t="shared" si="0"/>
        <v>0.21052999999999999</v>
      </c>
      <c r="J25" s="545">
        <f t="shared" si="1"/>
        <v>0.84211999999999998</v>
      </c>
      <c r="K25" s="621">
        <v>0.25</v>
      </c>
      <c r="L25" s="548">
        <f t="shared" si="15"/>
        <v>1.5</v>
      </c>
      <c r="M25" s="548">
        <f t="shared" si="2"/>
        <v>6</v>
      </c>
      <c r="N25" s="620">
        <v>0.25</v>
      </c>
      <c r="O25" s="545">
        <f t="shared" si="16"/>
        <v>0.125</v>
      </c>
      <c r="P25" s="545">
        <f t="shared" si="4"/>
        <v>0.5</v>
      </c>
      <c r="Q25" s="621">
        <v>0.25</v>
      </c>
      <c r="R25" s="548">
        <f t="shared" si="17"/>
        <v>0.25</v>
      </c>
      <c r="S25" s="548">
        <f t="shared" si="5"/>
        <v>1</v>
      </c>
      <c r="T25" s="549">
        <f t="shared" si="6"/>
        <v>1</v>
      </c>
      <c r="U25" s="666">
        <f t="shared" si="6"/>
        <v>2.0855299999999999</v>
      </c>
      <c r="V25" s="551">
        <f t="shared" si="7"/>
        <v>1</v>
      </c>
      <c r="W25" s="551">
        <f t="shared" si="18"/>
        <v>0.04</v>
      </c>
      <c r="X25" s="667" t="s">
        <v>1370</v>
      </c>
      <c r="Y25" s="668" t="s">
        <v>1364</v>
      </c>
      <c r="Z25" s="668" t="s">
        <v>1365</v>
      </c>
      <c r="AA25" s="669" t="s">
        <v>542</v>
      </c>
      <c r="AB25" s="627">
        <f t="shared" si="11"/>
        <v>0.25</v>
      </c>
      <c r="AC25" s="636">
        <v>0.21052999999999999</v>
      </c>
      <c r="AD25" s="557" t="s">
        <v>1371</v>
      </c>
      <c r="AE25" s="557" t="s">
        <v>1372</v>
      </c>
      <c r="AF25" s="629">
        <f t="shared" si="12"/>
        <v>0.25</v>
      </c>
      <c r="AG25" s="630">
        <v>1.5</v>
      </c>
      <c r="AH25" s="559" t="s">
        <v>1373</v>
      </c>
      <c r="AI25" s="560" t="s">
        <v>1374</v>
      </c>
      <c r="AJ25" s="627">
        <f t="shared" si="13"/>
        <v>0.25</v>
      </c>
      <c r="AK25" s="677">
        <v>0.125</v>
      </c>
      <c r="AL25" s="678" t="s">
        <v>1375</v>
      </c>
      <c r="AM25" s="557" t="s">
        <v>1376</v>
      </c>
      <c r="AN25" s="629">
        <f t="shared" si="14"/>
        <v>0.25</v>
      </c>
      <c r="AO25" s="629">
        <v>0.25</v>
      </c>
      <c r="AP25" s="559" t="s">
        <v>1377</v>
      </c>
      <c r="AQ25" s="559" t="s">
        <v>1378</v>
      </c>
    </row>
    <row r="26" spans="1:43" ht="243" thickBot="1">
      <c r="A26" s="1596"/>
      <c r="B26" s="1597"/>
      <c r="C26" s="656">
        <v>14.5</v>
      </c>
      <c r="D26" s="676" t="s">
        <v>1379</v>
      </c>
      <c r="E26" s="619">
        <v>2.5000000000000001E-2</v>
      </c>
      <c r="F26" s="564" t="s">
        <v>537</v>
      </c>
      <c r="G26" s="565" t="s">
        <v>532</v>
      </c>
      <c r="H26" s="679">
        <v>0.05</v>
      </c>
      <c r="I26" s="545">
        <f t="shared" si="0"/>
        <v>3.7039999999999997E-2</v>
      </c>
      <c r="J26" s="545">
        <f t="shared" si="1"/>
        <v>0.7407999999999999</v>
      </c>
      <c r="K26" s="680">
        <v>0.1</v>
      </c>
      <c r="L26" s="548">
        <f t="shared" si="15"/>
        <v>0.18518999999999999</v>
      </c>
      <c r="M26" s="548">
        <f t="shared" si="2"/>
        <v>1.8518999999999999</v>
      </c>
      <c r="N26" s="679">
        <v>0.1</v>
      </c>
      <c r="O26" s="545">
        <f t="shared" si="16"/>
        <v>0.33299999999999996</v>
      </c>
      <c r="P26" s="545">
        <f t="shared" si="4"/>
        <v>3.3299999999999996</v>
      </c>
      <c r="Q26" s="680">
        <v>0.25</v>
      </c>
      <c r="R26" s="548">
        <f t="shared" si="17"/>
        <v>0.55330000000000001</v>
      </c>
      <c r="S26" s="548">
        <f t="shared" si="5"/>
        <v>2.2132000000000001</v>
      </c>
      <c r="T26" s="549">
        <f t="shared" si="6"/>
        <v>0.5</v>
      </c>
      <c r="U26" s="666">
        <f t="shared" si="6"/>
        <v>1.10853</v>
      </c>
      <c r="V26" s="551">
        <f t="shared" si="7"/>
        <v>1</v>
      </c>
      <c r="W26" s="551">
        <f t="shared" si="18"/>
        <v>2.5000000000000001E-2</v>
      </c>
      <c r="X26" s="667" t="s">
        <v>1380</v>
      </c>
      <c r="Y26" s="668" t="s">
        <v>1381</v>
      </c>
      <c r="Z26" s="668" t="s">
        <v>1382</v>
      </c>
      <c r="AA26" s="669" t="s">
        <v>542</v>
      </c>
      <c r="AB26" s="627">
        <f t="shared" si="11"/>
        <v>0.05</v>
      </c>
      <c r="AC26" s="634">
        <v>3.7039999999999997E-2</v>
      </c>
      <c r="AD26" s="557" t="s">
        <v>1383</v>
      </c>
      <c r="AE26" s="557" t="s">
        <v>1384</v>
      </c>
      <c r="AF26" s="629">
        <f t="shared" si="12"/>
        <v>0.1</v>
      </c>
      <c r="AG26" s="632">
        <v>0.18518999999999999</v>
      </c>
      <c r="AH26" s="559" t="s">
        <v>1385</v>
      </c>
      <c r="AI26" s="560" t="s">
        <v>1384</v>
      </c>
      <c r="AJ26" s="627">
        <f t="shared" si="13"/>
        <v>0.1</v>
      </c>
      <c r="AK26" s="681">
        <v>0.33299999999999996</v>
      </c>
      <c r="AL26" s="682" t="s">
        <v>1386</v>
      </c>
      <c r="AM26" s="557" t="s">
        <v>1387</v>
      </c>
      <c r="AN26" s="629">
        <f t="shared" si="14"/>
        <v>0.25</v>
      </c>
      <c r="AO26" s="683">
        <v>0.55330000000000001</v>
      </c>
      <c r="AP26" s="684" t="s">
        <v>1388</v>
      </c>
      <c r="AQ26" s="559" t="s">
        <v>1389</v>
      </c>
    </row>
    <row r="27" spans="1:43" ht="192.75" thickBot="1">
      <c r="A27" s="1596"/>
      <c r="B27" s="1597"/>
      <c r="C27" s="664">
        <v>14.6</v>
      </c>
      <c r="D27" s="685" t="s">
        <v>1390</v>
      </c>
      <c r="E27" s="619">
        <v>0.03</v>
      </c>
      <c r="F27" s="564" t="s">
        <v>537</v>
      </c>
      <c r="G27" s="565" t="s">
        <v>532</v>
      </c>
      <c r="H27" s="679">
        <v>0.15</v>
      </c>
      <c r="I27" s="545">
        <f t="shared" si="0"/>
        <v>3.7039999999999997E-2</v>
      </c>
      <c r="J27" s="545">
        <f t="shared" si="1"/>
        <v>0.24693333333333331</v>
      </c>
      <c r="K27" s="680">
        <v>0.15</v>
      </c>
      <c r="L27" s="548">
        <f t="shared" si="15"/>
        <v>0.16197</v>
      </c>
      <c r="M27" s="548">
        <f t="shared" si="2"/>
        <v>1.0798000000000001</v>
      </c>
      <c r="N27" s="679">
        <v>0.2</v>
      </c>
      <c r="O27" s="545">
        <f t="shared" si="16"/>
        <v>0.27</v>
      </c>
      <c r="P27" s="545">
        <f t="shared" si="4"/>
        <v>1.35</v>
      </c>
      <c r="Q27" s="680">
        <v>0.2</v>
      </c>
      <c r="R27" s="548">
        <f t="shared" si="17"/>
        <v>0.55000000000000004</v>
      </c>
      <c r="S27" s="548">
        <f t="shared" si="5"/>
        <v>2.75</v>
      </c>
      <c r="T27" s="549">
        <f t="shared" si="6"/>
        <v>0.7</v>
      </c>
      <c r="U27" s="666">
        <f t="shared" si="6"/>
        <v>1.0190100000000002</v>
      </c>
      <c r="V27" s="551">
        <f t="shared" si="7"/>
        <v>1</v>
      </c>
      <c r="W27" s="551">
        <f t="shared" si="18"/>
        <v>0.03</v>
      </c>
      <c r="X27" s="667" t="s">
        <v>1380</v>
      </c>
      <c r="Y27" s="668" t="s">
        <v>1381</v>
      </c>
      <c r="Z27" s="668" t="s">
        <v>1382</v>
      </c>
      <c r="AA27" s="669" t="s">
        <v>542</v>
      </c>
      <c r="AB27" s="627">
        <f t="shared" si="11"/>
        <v>0.15</v>
      </c>
      <c r="AC27" s="634">
        <v>3.7039999999999997E-2</v>
      </c>
      <c r="AD27" s="557" t="s">
        <v>1383</v>
      </c>
      <c r="AE27" s="557" t="s">
        <v>1391</v>
      </c>
      <c r="AF27" s="629">
        <f t="shared" si="12"/>
        <v>0.15</v>
      </c>
      <c r="AG27" s="629">
        <v>0.16197</v>
      </c>
      <c r="AH27" s="559" t="s">
        <v>1392</v>
      </c>
      <c r="AI27" s="560" t="s">
        <v>1393</v>
      </c>
      <c r="AJ27" s="633">
        <f t="shared" si="13"/>
        <v>0.2</v>
      </c>
      <c r="AK27" s="634">
        <v>0.27</v>
      </c>
      <c r="AL27" s="557" t="s">
        <v>1394</v>
      </c>
      <c r="AM27" s="557" t="s">
        <v>1395</v>
      </c>
      <c r="AN27" s="629">
        <f t="shared" si="14"/>
        <v>0.2</v>
      </c>
      <c r="AO27" s="630">
        <v>0.55000000000000004</v>
      </c>
      <c r="AP27" s="672" t="s">
        <v>1396</v>
      </c>
      <c r="AQ27" s="672" t="s">
        <v>1395</v>
      </c>
    </row>
    <row r="28" spans="1:43" ht="409.6" thickBot="1">
      <c r="A28" s="1596"/>
      <c r="B28" s="1597"/>
      <c r="C28" s="656">
        <v>14.7</v>
      </c>
      <c r="D28" s="685" t="s">
        <v>1397</v>
      </c>
      <c r="E28" s="619">
        <v>2.5000000000000001E-2</v>
      </c>
      <c r="F28" s="564" t="s">
        <v>537</v>
      </c>
      <c r="G28" s="565" t="s">
        <v>532</v>
      </c>
      <c r="H28" s="686">
        <v>0.05</v>
      </c>
      <c r="I28" s="545">
        <f t="shared" si="0"/>
        <v>0.05</v>
      </c>
      <c r="J28" s="545">
        <f t="shared" si="1"/>
        <v>1</v>
      </c>
      <c r="K28" s="687">
        <v>0.15</v>
      </c>
      <c r="L28" s="548">
        <f t="shared" si="15"/>
        <v>0.13392999999999999</v>
      </c>
      <c r="M28" s="548">
        <f t="shared" si="2"/>
        <v>0.8928666666666667</v>
      </c>
      <c r="N28" s="686">
        <v>0.2</v>
      </c>
      <c r="O28" s="545">
        <f t="shared" si="16"/>
        <v>2.5999999999999999E-2</v>
      </c>
      <c r="P28" s="545">
        <f t="shared" si="4"/>
        <v>0.12999999999999998</v>
      </c>
      <c r="Q28" s="687">
        <v>0.1</v>
      </c>
      <c r="R28" s="548">
        <f t="shared" si="17"/>
        <v>4.4600000000000001E-2</v>
      </c>
      <c r="S28" s="548">
        <f t="shared" si="5"/>
        <v>0.44600000000000001</v>
      </c>
      <c r="T28" s="549">
        <f t="shared" si="6"/>
        <v>0.5</v>
      </c>
      <c r="U28" s="666">
        <f t="shared" si="6"/>
        <v>0.25452999999999998</v>
      </c>
      <c r="V28" s="551">
        <f t="shared" si="7"/>
        <v>0.50905999999999996</v>
      </c>
      <c r="W28" s="551">
        <f t="shared" si="18"/>
        <v>1.27265E-2</v>
      </c>
      <c r="X28" s="667" t="s">
        <v>1398</v>
      </c>
      <c r="Y28" s="668" t="s">
        <v>1381</v>
      </c>
      <c r="Z28" s="668" t="s">
        <v>1382</v>
      </c>
      <c r="AA28" s="669" t="s">
        <v>542</v>
      </c>
      <c r="AB28" s="627">
        <f t="shared" si="11"/>
        <v>0.05</v>
      </c>
      <c r="AC28" s="688">
        <v>0.05</v>
      </c>
      <c r="AD28" s="557" t="s">
        <v>1399</v>
      </c>
      <c r="AE28" s="557" t="s">
        <v>1400</v>
      </c>
      <c r="AF28" s="629">
        <f t="shared" si="12"/>
        <v>0.15</v>
      </c>
      <c r="AG28" s="629">
        <v>0.13392999999999999</v>
      </c>
      <c r="AH28" s="559" t="s">
        <v>1401</v>
      </c>
      <c r="AI28" s="560" t="s">
        <v>1402</v>
      </c>
      <c r="AJ28" s="633">
        <f t="shared" si="13"/>
        <v>0.2</v>
      </c>
      <c r="AK28" s="677">
        <v>2.5999999999999999E-2</v>
      </c>
      <c r="AL28" s="689" t="s">
        <v>1403</v>
      </c>
      <c r="AM28" s="557" t="s">
        <v>1387</v>
      </c>
      <c r="AN28" s="629">
        <f t="shared" si="14"/>
        <v>0.1</v>
      </c>
      <c r="AO28" s="690">
        <v>4.4600000000000001E-2</v>
      </c>
      <c r="AP28" s="559" t="s">
        <v>1404</v>
      </c>
      <c r="AQ28" s="559" t="s">
        <v>1405</v>
      </c>
    </row>
    <row r="29" spans="1:43" ht="90.75" thickBot="1">
      <c r="A29" s="1596"/>
      <c r="B29" s="1597"/>
      <c r="C29" s="664">
        <v>14.8</v>
      </c>
      <c r="D29" s="685" t="s">
        <v>1406</v>
      </c>
      <c r="E29" s="619">
        <v>2.5000000000000001E-2</v>
      </c>
      <c r="F29" s="564" t="s">
        <v>537</v>
      </c>
      <c r="G29" s="565" t="s">
        <v>532</v>
      </c>
      <c r="H29" s="679">
        <v>0</v>
      </c>
      <c r="I29" s="545">
        <f t="shared" si="0"/>
        <v>0</v>
      </c>
      <c r="J29" s="545">
        <f t="shared" si="1"/>
        <v>0</v>
      </c>
      <c r="K29" s="680">
        <v>0</v>
      </c>
      <c r="L29" s="548">
        <f t="shared" si="15"/>
        <v>0</v>
      </c>
      <c r="M29" s="548">
        <f t="shared" si="2"/>
        <v>0</v>
      </c>
      <c r="N29" s="679">
        <v>0</v>
      </c>
      <c r="O29" s="545">
        <f t="shared" si="16"/>
        <v>0</v>
      </c>
      <c r="P29" s="545">
        <f t="shared" si="4"/>
        <v>0</v>
      </c>
      <c r="Q29" s="680">
        <v>0.5</v>
      </c>
      <c r="R29" s="548">
        <f t="shared" si="17"/>
        <v>1.24</v>
      </c>
      <c r="S29" s="548">
        <f t="shared" si="5"/>
        <v>2.48</v>
      </c>
      <c r="T29" s="549">
        <f t="shared" si="6"/>
        <v>0.5</v>
      </c>
      <c r="U29" s="666">
        <f t="shared" si="6"/>
        <v>1.24</v>
      </c>
      <c r="V29" s="551">
        <f t="shared" si="7"/>
        <v>1</v>
      </c>
      <c r="W29" s="551">
        <f t="shared" si="18"/>
        <v>2.5000000000000001E-2</v>
      </c>
      <c r="X29" s="667" t="s">
        <v>1407</v>
      </c>
      <c r="Y29" s="668" t="s">
        <v>1381</v>
      </c>
      <c r="Z29" s="668" t="s">
        <v>1408</v>
      </c>
      <c r="AA29" s="669" t="s">
        <v>542</v>
      </c>
      <c r="AB29" s="691">
        <f t="shared" si="11"/>
        <v>0</v>
      </c>
      <c r="AC29" s="692"/>
      <c r="AD29" s="671"/>
      <c r="AE29" s="557"/>
      <c r="AF29" s="629">
        <f t="shared" si="12"/>
        <v>0</v>
      </c>
      <c r="AG29" s="632"/>
      <c r="AH29" s="559" t="s">
        <v>1409</v>
      </c>
      <c r="AI29" s="560" t="s">
        <v>1409</v>
      </c>
      <c r="AJ29" s="627">
        <f t="shared" si="13"/>
        <v>0</v>
      </c>
      <c r="AK29" s="556"/>
      <c r="AL29" s="557"/>
      <c r="AM29" s="557"/>
      <c r="AN29" s="629">
        <f t="shared" si="14"/>
        <v>0.5</v>
      </c>
      <c r="AO29" s="693">
        <v>1.24</v>
      </c>
      <c r="AP29" s="559" t="s">
        <v>1410</v>
      </c>
      <c r="AQ29" s="559" t="s">
        <v>1411</v>
      </c>
    </row>
    <row r="30" spans="1:43" ht="132.75" thickBot="1">
      <c r="A30" s="1596"/>
      <c r="B30" s="1597"/>
      <c r="C30" s="656">
        <v>14.9</v>
      </c>
      <c r="D30" s="685" t="s">
        <v>1412</v>
      </c>
      <c r="E30" s="619">
        <v>0.03</v>
      </c>
      <c r="F30" s="564" t="s">
        <v>537</v>
      </c>
      <c r="G30" s="565" t="s">
        <v>532</v>
      </c>
      <c r="H30" s="679">
        <v>0</v>
      </c>
      <c r="I30" s="545">
        <f t="shared" si="0"/>
        <v>0</v>
      </c>
      <c r="J30" s="545">
        <f t="shared" si="1"/>
        <v>0</v>
      </c>
      <c r="K30" s="680">
        <v>0</v>
      </c>
      <c r="L30" s="548">
        <f t="shared" si="15"/>
        <v>0</v>
      </c>
      <c r="M30" s="548">
        <f t="shared" si="2"/>
        <v>0</v>
      </c>
      <c r="N30" s="679">
        <v>0</v>
      </c>
      <c r="O30" s="545">
        <f t="shared" si="16"/>
        <v>0</v>
      </c>
      <c r="P30" s="545">
        <f t="shared" si="4"/>
        <v>0</v>
      </c>
      <c r="Q30" s="680">
        <v>0.4</v>
      </c>
      <c r="R30" s="548">
        <f t="shared" si="17"/>
        <v>0.6</v>
      </c>
      <c r="S30" s="548">
        <f t="shared" si="5"/>
        <v>1.4999999999999998</v>
      </c>
      <c r="T30" s="549">
        <f t="shared" si="6"/>
        <v>0.4</v>
      </c>
      <c r="U30" s="666">
        <f t="shared" si="6"/>
        <v>0.6</v>
      </c>
      <c r="V30" s="551">
        <f t="shared" si="7"/>
        <v>1</v>
      </c>
      <c r="W30" s="551">
        <f t="shared" si="18"/>
        <v>0.03</v>
      </c>
      <c r="X30" s="667" t="s">
        <v>1407</v>
      </c>
      <c r="Y30" s="668" t="s">
        <v>1381</v>
      </c>
      <c r="Z30" s="668" t="s">
        <v>1408</v>
      </c>
      <c r="AA30" s="669" t="s">
        <v>542</v>
      </c>
      <c r="AB30" s="691">
        <f t="shared" si="11"/>
        <v>0</v>
      </c>
      <c r="AC30" s="692"/>
      <c r="AD30" s="671"/>
      <c r="AE30" s="557"/>
      <c r="AF30" s="629">
        <f t="shared" si="12"/>
        <v>0</v>
      </c>
      <c r="AG30" s="558"/>
      <c r="AH30" s="559" t="s">
        <v>1409</v>
      </c>
      <c r="AI30" s="560" t="s">
        <v>1409</v>
      </c>
      <c r="AJ30" s="627">
        <f t="shared" si="13"/>
        <v>0</v>
      </c>
      <c r="AK30" s="556"/>
      <c r="AL30" s="557"/>
      <c r="AM30" s="557"/>
      <c r="AN30" s="629">
        <f t="shared" si="14"/>
        <v>0.4</v>
      </c>
      <c r="AO30" s="630">
        <v>0.6</v>
      </c>
      <c r="AP30" s="672" t="s">
        <v>1413</v>
      </c>
      <c r="AQ30" s="672" t="s">
        <v>1395</v>
      </c>
    </row>
    <row r="31" spans="1:43" ht="144.75" thickBot="1">
      <c r="A31" s="1596"/>
      <c r="B31" s="1597"/>
      <c r="C31" s="694">
        <v>14.1</v>
      </c>
      <c r="D31" s="685" t="s">
        <v>1414</v>
      </c>
      <c r="E31" s="619">
        <v>0.03</v>
      </c>
      <c r="F31" s="564" t="s">
        <v>537</v>
      </c>
      <c r="G31" s="565" t="s">
        <v>532</v>
      </c>
      <c r="H31" s="679">
        <v>0</v>
      </c>
      <c r="I31" s="545">
        <f t="shared" si="0"/>
        <v>0</v>
      </c>
      <c r="J31" s="545">
        <f t="shared" si="1"/>
        <v>0</v>
      </c>
      <c r="K31" s="680">
        <v>0</v>
      </c>
      <c r="L31" s="548">
        <f t="shared" si="15"/>
        <v>0</v>
      </c>
      <c r="M31" s="548">
        <f t="shared" si="2"/>
        <v>0</v>
      </c>
      <c r="N31" s="679">
        <v>0</v>
      </c>
      <c r="O31" s="545">
        <f t="shared" si="16"/>
        <v>0</v>
      </c>
      <c r="P31" s="545">
        <f t="shared" si="4"/>
        <v>0</v>
      </c>
      <c r="Q31" s="680">
        <v>0.8</v>
      </c>
      <c r="R31" s="548">
        <f t="shared" si="17"/>
        <v>0.22220000000000001</v>
      </c>
      <c r="S31" s="548">
        <f t="shared" si="5"/>
        <v>0.27775</v>
      </c>
      <c r="T31" s="549">
        <f t="shared" si="6"/>
        <v>0.8</v>
      </c>
      <c r="U31" s="666">
        <f t="shared" si="6"/>
        <v>0.22220000000000001</v>
      </c>
      <c r="V31" s="551">
        <f t="shared" si="7"/>
        <v>0.27775</v>
      </c>
      <c r="W31" s="551">
        <f t="shared" si="18"/>
        <v>8.3324999999999996E-3</v>
      </c>
      <c r="X31" s="667" t="s">
        <v>1407</v>
      </c>
      <c r="Y31" s="668" t="s">
        <v>1381</v>
      </c>
      <c r="Z31" s="668" t="s">
        <v>1408</v>
      </c>
      <c r="AA31" s="669" t="s">
        <v>542</v>
      </c>
      <c r="AB31" s="627">
        <f t="shared" si="11"/>
        <v>0</v>
      </c>
      <c r="AC31" s="614"/>
      <c r="AD31" s="557"/>
      <c r="AE31" s="557"/>
      <c r="AF31" s="629">
        <f t="shared" si="12"/>
        <v>0</v>
      </c>
      <c r="AG31" s="558"/>
      <c r="AH31" s="559" t="s">
        <v>1409</v>
      </c>
      <c r="AI31" s="560" t="s">
        <v>1409</v>
      </c>
      <c r="AJ31" s="627">
        <f t="shared" si="13"/>
        <v>0</v>
      </c>
      <c r="AK31" s="556"/>
      <c r="AL31" s="557"/>
      <c r="AM31" s="557"/>
      <c r="AN31" s="629">
        <f t="shared" si="14"/>
        <v>0.8</v>
      </c>
      <c r="AO31" s="695">
        <v>0.22220000000000001</v>
      </c>
      <c r="AP31" s="559" t="s">
        <v>1415</v>
      </c>
      <c r="AQ31" s="559"/>
    </row>
    <row r="32" spans="1:43" ht="168.75" thickBot="1">
      <c r="A32" s="1596"/>
      <c r="B32" s="1597"/>
      <c r="C32" s="696">
        <v>14.11</v>
      </c>
      <c r="D32" s="697" t="s">
        <v>1416</v>
      </c>
      <c r="E32" s="619">
        <v>0.03</v>
      </c>
      <c r="F32" s="564" t="s">
        <v>537</v>
      </c>
      <c r="G32" s="565" t="s">
        <v>532</v>
      </c>
      <c r="H32" s="620">
        <v>0.08</v>
      </c>
      <c r="I32" s="545">
        <f t="shared" si="0"/>
        <v>7.9890000000000003E-2</v>
      </c>
      <c r="J32" s="545">
        <f t="shared" si="1"/>
        <v>0.99862499999999998</v>
      </c>
      <c r="K32" s="621">
        <v>0.17</v>
      </c>
      <c r="L32" s="548">
        <f t="shared" si="15"/>
        <v>1</v>
      </c>
      <c r="M32" s="548">
        <f t="shared" si="2"/>
        <v>5.8823529411764701</v>
      </c>
      <c r="N32" s="620">
        <v>0.18</v>
      </c>
      <c r="O32" s="545">
        <f t="shared" si="16"/>
        <v>0.6</v>
      </c>
      <c r="P32" s="545">
        <f t="shared" si="4"/>
        <v>3.3333333333333335</v>
      </c>
      <c r="Q32" s="621">
        <v>0.17</v>
      </c>
      <c r="R32" s="548">
        <f t="shared" si="17"/>
        <v>1</v>
      </c>
      <c r="S32" s="548">
        <f t="shared" si="5"/>
        <v>5.8823529411764701</v>
      </c>
      <c r="T32" s="549">
        <f t="shared" si="6"/>
        <v>0.6</v>
      </c>
      <c r="U32" s="666">
        <f t="shared" si="6"/>
        <v>2.6798899999999999</v>
      </c>
      <c r="V32" s="551">
        <f t="shared" si="7"/>
        <v>1</v>
      </c>
      <c r="W32" s="551">
        <f t="shared" si="18"/>
        <v>0.03</v>
      </c>
      <c r="X32" s="667" t="s">
        <v>1417</v>
      </c>
      <c r="Y32" s="668" t="s">
        <v>1418</v>
      </c>
      <c r="Z32" s="668" t="s">
        <v>1419</v>
      </c>
      <c r="AA32" s="669" t="s">
        <v>542</v>
      </c>
      <c r="AB32" s="627">
        <f t="shared" si="11"/>
        <v>0.08</v>
      </c>
      <c r="AC32" s="634">
        <v>7.9890000000000003E-2</v>
      </c>
      <c r="AD32" s="557" t="s">
        <v>1420</v>
      </c>
      <c r="AE32" s="557" t="s">
        <v>1421</v>
      </c>
      <c r="AF32" s="629">
        <f t="shared" si="12"/>
        <v>0.17</v>
      </c>
      <c r="AG32" s="632">
        <v>1</v>
      </c>
      <c r="AH32" s="559" t="s">
        <v>1422</v>
      </c>
      <c r="AI32" s="560" t="s">
        <v>1423</v>
      </c>
      <c r="AJ32" s="627">
        <f t="shared" si="13"/>
        <v>0.18</v>
      </c>
      <c r="AK32" s="636">
        <v>0.6</v>
      </c>
      <c r="AL32" s="557" t="s">
        <v>1424</v>
      </c>
      <c r="AM32" s="557" t="s">
        <v>1425</v>
      </c>
      <c r="AN32" s="629">
        <f t="shared" si="14"/>
        <v>0.17</v>
      </c>
      <c r="AO32" s="630">
        <v>1</v>
      </c>
      <c r="AP32" s="557" t="s">
        <v>1426</v>
      </c>
      <c r="AQ32" s="672" t="s">
        <v>1427</v>
      </c>
    </row>
    <row r="33" spans="1:47" ht="144.75" thickBot="1">
      <c r="A33" s="1596"/>
      <c r="B33" s="1597"/>
      <c r="C33" s="698">
        <v>14.12</v>
      </c>
      <c r="D33" s="676" t="s">
        <v>1428</v>
      </c>
      <c r="E33" s="619">
        <v>0.03</v>
      </c>
      <c r="F33" s="564" t="s">
        <v>537</v>
      </c>
      <c r="G33" s="565" t="s">
        <v>531</v>
      </c>
      <c r="H33" s="679">
        <v>0.6</v>
      </c>
      <c r="I33" s="545">
        <f t="shared" si="0"/>
        <v>0.28037000000000001</v>
      </c>
      <c r="J33" s="545">
        <f t="shared" si="1"/>
        <v>0.46728333333333338</v>
      </c>
      <c r="K33" s="680">
        <v>0.6</v>
      </c>
      <c r="L33" s="548">
        <f t="shared" si="15"/>
        <v>1</v>
      </c>
      <c r="M33" s="548">
        <f t="shared" si="2"/>
        <v>1.6666666666666667</v>
      </c>
      <c r="N33" s="679">
        <v>0.6</v>
      </c>
      <c r="O33" s="545">
        <f t="shared" si="16"/>
        <v>0.6</v>
      </c>
      <c r="P33" s="545">
        <f t="shared" si="4"/>
        <v>1</v>
      </c>
      <c r="Q33" s="680">
        <v>0.6</v>
      </c>
      <c r="R33" s="548">
        <f t="shared" si="17"/>
        <v>1</v>
      </c>
      <c r="S33" s="548">
        <f t="shared" si="5"/>
        <v>1.6666666666666667</v>
      </c>
      <c r="T33" s="622">
        <f>AVERAGE(H33,K33,N33,Q33)</f>
        <v>0.6</v>
      </c>
      <c r="U33" s="666">
        <f>SUM(I33,L33,O33,R33)/4</f>
        <v>0.72009250000000002</v>
      </c>
      <c r="V33" s="551">
        <f t="shared" si="7"/>
        <v>1</v>
      </c>
      <c r="W33" s="551">
        <f t="shared" si="18"/>
        <v>0.03</v>
      </c>
      <c r="X33" s="667" t="s">
        <v>1429</v>
      </c>
      <c r="Y33" s="668" t="s">
        <v>1430</v>
      </c>
      <c r="Z33" s="668" t="s">
        <v>1431</v>
      </c>
      <c r="AA33" s="669" t="s">
        <v>542</v>
      </c>
      <c r="AB33" s="627">
        <f t="shared" si="11"/>
        <v>0.6</v>
      </c>
      <c r="AC33" s="634">
        <v>0.28037000000000001</v>
      </c>
      <c r="AD33" s="557" t="s">
        <v>1432</v>
      </c>
      <c r="AE33" s="557" t="s">
        <v>1433</v>
      </c>
      <c r="AF33" s="629">
        <f t="shared" si="12"/>
        <v>0.6</v>
      </c>
      <c r="AG33" s="632">
        <v>1</v>
      </c>
      <c r="AH33" s="559" t="s">
        <v>1434</v>
      </c>
      <c r="AI33" s="560" t="s">
        <v>1435</v>
      </c>
      <c r="AJ33" s="627">
        <f t="shared" si="13"/>
        <v>0.6</v>
      </c>
      <c r="AK33" s="636">
        <v>0.6</v>
      </c>
      <c r="AL33" s="557" t="s">
        <v>1436</v>
      </c>
      <c r="AM33" s="557" t="s">
        <v>1425</v>
      </c>
      <c r="AN33" s="629">
        <f t="shared" si="14"/>
        <v>0.6</v>
      </c>
      <c r="AO33" s="630">
        <v>1</v>
      </c>
      <c r="AP33" s="557" t="s">
        <v>1437</v>
      </c>
      <c r="AQ33" s="672" t="s">
        <v>1438</v>
      </c>
    </row>
    <row r="34" spans="1:47" ht="168.75" thickBot="1">
      <c r="A34" s="1596"/>
      <c r="B34" s="1597"/>
      <c r="C34" s="696">
        <v>14.13</v>
      </c>
      <c r="D34" s="699" t="s">
        <v>1439</v>
      </c>
      <c r="E34" s="619">
        <v>2.5000000000000001E-2</v>
      </c>
      <c r="F34" s="564" t="s">
        <v>538</v>
      </c>
      <c r="G34" s="565" t="s">
        <v>1440</v>
      </c>
      <c r="H34" s="700">
        <v>15</v>
      </c>
      <c r="I34" s="544">
        <f t="shared" si="0"/>
        <v>15</v>
      </c>
      <c r="J34" s="545">
        <f>IF(ISERROR(H34/I34),0,(H34/I34))</f>
        <v>1</v>
      </c>
      <c r="K34" s="701">
        <v>15</v>
      </c>
      <c r="L34" s="547">
        <f t="shared" si="15"/>
        <v>35</v>
      </c>
      <c r="M34" s="548">
        <f>IF(ISERROR(K34/L34),0,(K34/L34))</f>
        <v>0.42857142857142855</v>
      </c>
      <c r="N34" s="700">
        <v>15</v>
      </c>
      <c r="O34" s="544">
        <f t="shared" si="16"/>
        <v>6</v>
      </c>
      <c r="P34" s="545">
        <f>IF(ISERROR(N34/O34),0,(N34/O34))</f>
        <v>2.5</v>
      </c>
      <c r="Q34" s="701">
        <v>15</v>
      </c>
      <c r="R34" s="547">
        <f t="shared" si="17"/>
        <v>1</v>
      </c>
      <c r="S34" s="548">
        <f>IF(ISERROR(Q34/R34),0,(Q34/R34))</f>
        <v>15</v>
      </c>
      <c r="T34" s="549">
        <f>AVERAGE(H34,K34,N34,Q34)</f>
        <v>15</v>
      </c>
      <c r="U34" s="660">
        <f>SUM(I34,L34,O34,R34)/4</f>
        <v>14.25</v>
      </c>
      <c r="V34" s="551">
        <f>IF(SUM(J34,M34,P34,S34)/4&gt;1,1,SUM(J34,M34,P34,S34)/4)</f>
        <v>1</v>
      </c>
      <c r="W34" s="551">
        <f t="shared" si="18"/>
        <v>2.5000000000000001E-2</v>
      </c>
      <c r="X34" s="702" t="s">
        <v>1441</v>
      </c>
      <c r="Y34" s="703" t="s">
        <v>1442</v>
      </c>
      <c r="Z34" s="703" t="s">
        <v>1443</v>
      </c>
      <c r="AA34" s="704" t="s">
        <v>541</v>
      </c>
      <c r="AB34" s="556">
        <f t="shared" si="11"/>
        <v>15</v>
      </c>
      <c r="AC34" s="556">
        <v>15</v>
      </c>
      <c r="AD34" s="557" t="s">
        <v>1444</v>
      </c>
      <c r="AE34" s="557" t="s">
        <v>1445</v>
      </c>
      <c r="AF34" s="558">
        <f t="shared" si="12"/>
        <v>15</v>
      </c>
      <c r="AG34" s="558">
        <v>35</v>
      </c>
      <c r="AH34" s="559" t="s">
        <v>1446</v>
      </c>
      <c r="AI34" s="560" t="s">
        <v>1447</v>
      </c>
      <c r="AJ34" s="556">
        <f t="shared" si="13"/>
        <v>15</v>
      </c>
      <c r="AK34" s="556">
        <v>6</v>
      </c>
      <c r="AL34" s="557" t="s">
        <v>1448</v>
      </c>
      <c r="AM34" s="557" t="s">
        <v>1449</v>
      </c>
      <c r="AN34" s="558">
        <f t="shared" si="14"/>
        <v>15</v>
      </c>
      <c r="AO34" s="630">
        <v>1</v>
      </c>
      <c r="AP34" s="557" t="s">
        <v>1450</v>
      </c>
      <c r="AQ34" s="557" t="s">
        <v>1449</v>
      </c>
    </row>
    <row r="35" spans="1:47" ht="89.25" customHeight="1" thickBot="1">
      <c r="A35" s="1596"/>
      <c r="B35" s="1597"/>
      <c r="C35" s="698">
        <v>14.14</v>
      </c>
      <c r="D35" s="705" t="s">
        <v>1451</v>
      </c>
      <c r="E35" s="619">
        <v>0.03</v>
      </c>
      <c r="F35" s="564" t="s">
        <v>1286</v>
      </c>
      <c r="G35" s="565" t="s">
        <v>532</v>
      </c>
      <c r="H35" s="673">
        <v>1</v>
      </c>
      <c r="I35" s="544">
        <f t="shared" si="0"/>
        <v>1</v>
      </c>
      <c r="J35" s="545">
        <f t="shared" si="1"/>
        <v>1</v>
      </c>
      <c r="K35" s="674">
        <v>1</v>
      </c>
      <c r="L35" s="547">
        <f t="shared" si="15"/>
        <v>0</v>
      </c>
      <c r="M35" s="548">
        <f t="shared" si="2"/>
        <v>0</v>
      </c>
      <c r="N35" s="673">
        <v>1</v>
      </c>
      <c r="O35" s="544">
        <f t="shared" si="16"/>
        <v>2</v>
      </c>
      <c r="P35" s="545">
        <f t="shared" si="4"/>
        <v>2</v>
      </c>
      <c r="Q35" s="674">
        <v>1</v>
      </c>
      <c r="R35" s="547">
        <f t="shared" si="17"/>
        <v>0</v>
      </c>
      <c r="S35" s="548">
        <f t="shared" si="5"/>
        <v>0</v>
      </c>
      <c r="T35" s="549">
        <f t="shared" si="6"/>
        <v>4</v>
      </c>
      <c r="U35" s="660">
        <f t="shared" si="6"/>
        <v>3</v>
      </c>
      <c r="V35" s="551">
        <f t="shared" si="7"/>
        <v>0.75</v>
      </c>
      <c r="W35" s="551">
        <f t="shared" si="18"/>
        <v>2.2499999999999999E-2</v>
      </c>
      <c r="X35" s="706" t="s">
        <v>1452</v>
      </c>
      <c r="Y35" s="668" t="s">
        <v>1453</v>
      </c>
      <c r="Z35" s="668" t="s">
        <v>1454</v>
      </c>
      <c r="AA35" s="669" t="s">
        <v>542</v>
      </c>
      <c r="AB35" s="556">
        <f t="shared" si="11"/>
        <v>1</v>
      </c>
      <c r="AC35" s="556">
        <v>1</v>
      </c>
      <c r="AD35" s="557" t="s">
        <v>1455</v>
      </c>
      <c r="AE35" s="557" t="s">
        <v>1456</v>
      </c>
      <c r="AF35" s="558">
        <f t="shared" si="12"/>
        <v>1</v>
      </c>
      <c r="AG35" s="558"/>
      <c r="AH35" s="559"/>
      <c r="AI35" s="560"/>
      <c r="AJ35" s="707">
        <f t="shared" si="13"/>
        <v>1</v>
      </c>
      <c r="AK35" s="708">
        <v>2</v>
      </c>
      <c r="AL35" s="709" t="s">
        <v>1457</v>
      </c>
      <c r="AM35" s="709" t="s">
        <v>1458</v>
      </c>
      <c r="AN35" s="558">
        <f t="shared" si="14"/>
        <v>1</v>
      </c>
      <c r="AO35" s="558"/>
      <c r="AP35" s="559" t="s">
        <v>1459</v>
      </c>
      <c r="AQ35" s="559"/>
    </row>
    <row r="36" spans="1:47" ht="96.75" thickBot="1">
      <c r="A36" s="1596"/>
      <c r="B36" s="1597"/>
      <c r="C36" s="656">
        <v>14.15</v>
      </c>
      <c r="D36" s="705" t="s">
        <v>1460</v>
      </c>
      <c r="E36" s="619">
        <v>1.4999999999999999E-2</v>
      </c>
      <c r="F36" s="564" t="s">
        <v>1286</v>
      </c>
      <c r="G36" s="565" t="s">
        <v>532</v>
      </c>
      <c r="H36" s="673">
        <v>1</v>
      </c>
      <c r="I36" s="544">
        <f t="shared" si="0"/>
        <v>0</v>
      </c>
      <c r="J36" s="545">
        <f t="shared" si="1"/>
        <v>0</v>
      </c>
      <c r="K36" s="674">
        <v>1</v>
      </c>
      <c r="L36" s="547">
        <f t="shared" si="15"/>
        <v>0</v>
      </c>
      <c r="M36" s="548">
        <f t="shared" si="2"/>
        <v>0</v>
      </c>
      <c r="N36" s="673">
        <v>1</v>
      </c>
      <c r="O36" s="544">
        <f t="shared" si="16"/>
        <v>0</v>
      </c>
      <c r="P36" s="545">
        <f t="shared" si="4"/>
        <v>0</v>
      </c>
      <c r="Q36" s="674">
        <v>1</v>
      </c>
      <c r="R36" s="547">
        <f t="shared" si="17"/>
        <v>14</v>
      </c>
      <c r="S36" s="548">
        <f t="shared" si="5"/>
        <v>14</v>
      </c>
      <c r="T36" s="549">
        <f t="shared" si="6"/>
        <v>4</v>
      </c>
      <c r="U36" s="660">
        <f t="shared" si="6"/>
        <v>14</v>
      </c>
      <c r="V36" s="551">
        <f t="shared" si="7"/>
        <v>1</v>
      </c>
      <c r="W36" s="551">
        <f t="shared" si="18"/>
        <v>1.4999999999999999E-2</v>
      </c>
      <c r="X36" s="706" t="s">
        <v>1461</v>
      </c>
      <c r="Y36" s="668" t="s">
        <v>1462</v>
      </c>
      <c r="Z36" s="668" t="s">
        <v>1463</v>
      </c>
      <c r="AA36" s="669" t="s">
        <v>542</v>
      </c>
      <c r="AB36" s="556">
        <f t="shared" si="11"/>
        <v>1</v>
      </c>
      <c r="AC36" s="556"/>
      <c r="AD36" s="557"/>
      <c r="AE36" s="557"/>
      <c r="AF36" s="558">
        <f t="shared" si="12"/>
        <v>1</v>
      </c>
      <c r="AG36" s="558"/>
      <c r="AH36" s="559"/>
      <c r="AI36" s="560"/>
      <c r="AJ36" s="707">
        <f t="shared" si="13"/>
        <v>1</v>
      </c>
      <c r="AK36" s="556">
        <v>0</v>
      </c>
      <c r="AL36" s="557" t="s">
        <v>1464</v>
      </c>
      <c r="AM36" s="671"/>
      <c r="AN36" s="558">
        <f t="shared" si="14"/>
        <v>1</v>
      </c>
      <c r="AO36" s="558">
        <v>14</v>
      </c>
      <c r="AP36" s="672" t="s">
        <v>1465</v>
      </c>
      <c r="AQ36" s="710" t="s">
        <v>1466</v>
      </c>
    </row>
    <row r="37" spans="1:47" ht="105.75" thickBot="1">
      <c r="A37" s="1596"/>
      <c r="B37" s="1597"/>
      <c r="C37" s="694">
        <v>14.16</v>
      </c>
      <c r="D37" s="705" t="s">
        <v>1467</v>
      </c>
      <c r="E37" s="619">
        <v>1.4999999999999999E-2</v>
      </c>
      <c r="F37" s="564" t="s">
        <v>1286</v>
      </c>
      <c r="G37" s="565" t="s">
        <v>532</v>
      </c>
      <c r="H37" s="673">
        <v>1</v>
      </c>
      <c r="I37" s="544">
        <f t="shared" si="0"/>
        <v>1</v>
      </c>
      <c r="J37" s="545">
        <f t="shared" si="1"/>
        <v>1</v>
      </c>
      <c r="K37" s="674">
        <v>1</v>
      </c>
      <c r="L37" s="547">
        <f t="shared" si="15"/>
        <v>2</v>
      </c>
      <c r="M37" s="548">
        <f t="shared" si="2"/>
        <v>2</v>
      </c>
      <c r="N37" s="673">
        <v>1</v>
      </c>
      <c r="O37" s="544">
        <f t="shared" si="16"/>
        <v>1</v>
      </c>
      <c r="P37" s="545">
        <f t="shared" si="4"/>
        <v>1</v>
      </c>
      <c r="Q37" s="674">
        <v>1</v>
      </c>
      <c r="R37" s="547">
        <f t="shared" si="17"/>
        <v>1</v>
      </c>
      <c r="S37" s="548">
        <f t="shared" si="5"/>
        <v>1</v>
      </c>
      <c r="T37" s="549">
        <f t="shared" si="6"/>
        <v>4</v>
      </c>
      <c r="U37" s="660">
        <f t="shared" si="6"/>
        <v>5</v>
      </c>
      <c r="V37" s="551">
        <f t="shared" si="7"/>
        <v>1</v>
      </c>
      <c r="W37" s="551">
        <f t="shared" si="18"/>
        <v>1.4999999999999999E-2</v>
      </c>
      <c r="X37" s="711" t="s">
        <v>1468</v>
      </c>
      <c r="Y37" s="712" t="s">
        <v>1462</v>
      </c>
      <c r="Z37" s="712" t="s">
        <v>1463</v>
      </c>
      <c r="AA37" s="713" t="s">
        <v>542</v>
      </c>
      <c r="AB37" s="556">
        <f t="shared" si="11"/>
        <v>1</v>
      </c>
      <c r="AC37" s="556">
        <v>1</v>
      </c>
      <c r="AD37" s="557" t="s">
        <v>1469</v>
      </c>
      <c r="AE37" s="557" t="s">
        <v>1470</v>
      </c>
      <c r="AF37" s="558">
        <f t="shared" si="12"/>
        <v>1</v>
      </c>
      <c r="AG37" s="558">
        <v>2</v>
      </c>
      <c r="AH37" s="559" t="s">
        <v>1471</v>
      </c>
      <c r="AI37" s="560" t="s">
        <v>1470</v>
      </c>
      <c r="AJ37" s="556">
        <f t="shared" si="13"/>
        <v>1</v>
      </c>
      <c r="AK37" s="556">
        <v>1</v>
      </c>
      <c r="AL37" s="714" t="s">
        <v>1472</v>
      </c>
      <c r="AM37" s="557" t="s">
        <v>1376</v>
      </c>
      <c r="AN37" s="558">
        <f t="shared" si="14"/>
        <v>1</v>
      </c>
      <c r="AO37" s="558">
        <v>1</v>
      </c>
      <c r="AP37" s="559" t="s">
        <v>1473</v>
      </c>
      <c r="AQ37" s="672" t="s">
        <v>1376</v>
      </c>
    </row>
    <row r="38" spans="1:47" ht="85.5" customHeight="1" thickBot="1">
      <c r="A38" s="1596"/>
      <c r="B38" s="1597"/>
      <c r="C38" s="656">
        <v>14.17</v>
      </c>
      <c r="D38" s="637" t="s">
        <v>1348</v>
      </c>
      <c r="E38" s="638">
        <v>0.01</v>
      </c>
      <c r="F38" s="639" t="s">
        <v>538</v>
      </c>
      <c r="G38" s="640" t="s">
        <v>532</v>
      </c>
      <c r="H38" s="641">
        <v>0</v>
      </c>
      <c r="I38" s="544">
        <f t="shared" si="0"/>
        <v>0</v>
      </c>
      <c r="J38" s="545">
        <f t="shared" si="1"/>
        <v>0</v>
      </c>
      <c r="K38" s="642">
        <v>1</v>
      </c>
      <c r="L38" s="547">
        <f t="shared" si="15"/>
        <v>1</v>
      </c>
      <c r="M38" s="548">
        <f t="shared" si="2"/>
        <v>1</v>
      </c>
      <c r="N38" s="641">
        <v>0</v>
      </c>
      <c r="O38" s="544">
        <f t="shared" si="16"/>
        <v>0</v>
      </c>
      <c r="P38" s="545">
        <f t="shared" si="4"/>
        <v>0</v>
      </c>
      <c r="Q38" s="642">
        <v>1</v>
      </c>
      <c r="R38" s="547">
        <f t="shared" si="17"/>
        <v>1</v>
      </c>
      <c r="S38" s="548">
        <f t="shared" si="5"/>
        <v>1</v>
      </c>
      <c r="T38" s="549">
        <f t="shared" si="6"/>
        <v>2</v>
      </c>
      <c r="U38" s="660">
        <f t="shared" si="6"/>
        <v>2</v>
      </c>
      <c r="V38" s="551">
        <f t="shared" si="7"/>
        <v>1</v>
      </c>
      <c r="W38" s="551">
        <f t="shared" si="18"/>
        <v>0.01</v>
      </c>
      <c r="X38" s="715" t="s">
        <v>1349</v>
      </c>
      <c r="Y38" s="716" t="s">
        <v>1350</v>
      </c>
      <c r="Z38" s="717" t="s">
        <v>1351</v>
      </c>
      <c r="AA38" s="718" t="s">
        <v>542</v>
      </c>
      <c r="AB38" s="581">
        <f t="shared" si="11"/>
        <v>0</v>
      </c>
      <c r="AC38" s="581"/>
      <c r="AD38" s="582"/>
      <c r="AE38" s="582"/>
      <c r="AF38" s="583">
        <f t="shared" si="12"/>
        <v>1</v>
      </c>
      <c r="AG38" s="583">
        <v>1</v>
      </c>
      <c r="AH38" s="559" t="s">
        <v>1474</v>
      </c>
      <c r="AI38" s="560" t="s">
        <v>1353</v>
      </c>
      <c r="AJ38" s="581">
        <f t="shared" si="13"/>
        <v>0</v>
      </c>
      <c r="AK38" s="581"/>
      <c r="AL38" s="582"/>
      <c r="AM38" s="582"/>
      <c r="AN38" s="583">
        <f t="shared" si="14"/>
        <v>1</v>
      </c>
      <c r="AO38" s="583">
        <v>1</v>
      </c>
      <c r="AP38" s="584" t="s">
        <v>1354</v>
      </c>
      <c r="AQ38" s="584" t="s">
        <v>1355</v>
      </c>
    </row>
    <row r="39" spans="1:47" ht="26.25" thickBot="1">
      <c r="A39" s="719"/>
      <c r="B39" s="720" t="s">
        <v>1075</v>
      </c>
      <c r="C39" s="648"/>
      <c r="D39" s="721"/>
      <c r="E39" s="722"/>
      <c r="F39" s="723"/>
      <c r="G39" s="724"/>
      <c r="H39" s="725"/>
      <c r="I39" s="725"/>
      <c r="J39" s="593"/>
      <c r="K39" s="726"/>
      <c r="L39" s="726"/>
      <c r="M39" s="726"/>
      <c r="N39" s="726"/>
      <c r="O39" s="726"/>
      <c r="P39" s="726"/>
      <c r="Q39" s="727"/>
      <c r="R39" s="728"/>
      <c r="S39" s="728"/>
      <c r="T39" s="729"/>
      <c r="U39" s="597"/>
      <c r="V39" s="597"/>
      <c r="W39" s="597"/>
      <c r="X39" s="730"/>
      <c r="Y39" s="731"/>
      <c r="Z39" s="732"/>
      <c r="AA39" s="733"/>
      <c r="AB39" s="600"/>
      <c r="AC39" s="601"/>
      <c r="AD39" s="602"/>
      <c r="AE39" s="602"/>
      <c r="AF39" s="603"/>
      <c r="AG39" s="603"/>
      <c r="AH39" s="604"/>
      <c r="AI39" s="605"/>
      <c r="AJ39" s="600"/>
      <c r="AK39" s="601"/>
      <c r="AL39" s="602"/>
      <c r="AM39" s="602"/>
      <c r="AN39" s="603"/>
      <c r="AO39" s="603"/>
      <c r="AP39" s="604"/>
      <c r="AQ39" s="606"/>
    </row>
    <row r="40" spans="1:47" ht="144.75" customHeight="1" thickBot="1">
      <c r="A40" s="1601"/>
      <c r="B40" s="1602" t="s">
        <v>1475</v>
      </c>
      <c r="C40" s="656">
        <v>15.1</v>
      </c>
      <c r="D40" s="734" t="s">
        <v>1476</v>
      </c>
      <c r="E40" s="735">
        <v>0.03</v>
      </c>
      <c r="F40" s="661" t="s">
        <v>1477</v>
      </c>
      <c r="G40" s="662" t="s">
        <v>531</v>
      </c>
      <c r="H40" s="736">
        <v>0.8</v>
      </c>
      <c r="I40" s="545">
        <f t="shared" ref="I40:I54" si="19">AC40</f>
        <v>0.8</v>
      </c>
      <c r="J40" s="545">
        <f t="shared" si="1"/>
        <v>1</v>
      </c>
      <c r="K40" s="737">
        <v>0.8</v>
      </c>
      <c r="L40" s="548">
        <f t="shared" ref="L40:L54" si="20">AG40</f>
        <v>1</v>
      </c>
      <c r="M40" s="548">
        <f t="shared" si="2"/>
        <v>1.25</v>
      </c>
      <c r="N40" s="736">
        <v>0.8</v>
      </c>
      <c r="O40" s="545">
        <f t="shared" ref="O40:O54" si="21">AK40</f>
        <v>1</v>
      </c>
      <c r="P40" s="545">
        <f t="shared" si="4"/>
        <v>1.25</v>
      </c>
      <c r="Q40" s="737">
        <v>0.8</v>
      </c>
      <c r="R40" s="548">
        <f t="shared" ref="R40:R54" si="22">AO40</f>
        <v>1</v>
      </c>
      <c r="S40" s="548">
        <f t="shared" si="5"/>
        <v>1.25</v>
      </c>
      <c r="T40" s="622">
        <f>AVERAGE(H40,K40,N40,Q40)</f>
        <v>0.8</v>
      </c>
      <c r="U40" s="666">
        <f>SUM(I40,L40,O40,R40)/4</f>
        <v>0.95</v>
      </c>
      <c r="V40" s="551">
        <f t="shared" si="7"/>
        <v>1</v>
      </c>
      <c r="W40" s="551">
        <f t="shared" ref="W40:W54" si="23">E40*V40</f>
        <v>0.03</v>
      </c>
      <c r="X40" s="661" t="s">
        <v>1478</v>
      </c>
      <c r="Y40" s="662" t="s">
        <v>1479</v>
      </c>
      <c r="Z40" s="662" t="s">
        <v>1480</v>
      </c>
      <c r="AA40" s="738" t="s">
        <v>542</v>
      </c>
      <c r="AB40" s="739">
        <f t="shared" ref="AB40:AB65" si="24">H40</f>
        <v>0.8</v>
      </c>
      <c r="AC40" s="740">
        <v>0.8</v>
      </c>
      <c r="AD40" s="615" t="s">
        <v>1481</v>
      </c>
      <c r="AE40" s="615" t="s">
        <v>1482</v>
      </c>
      <c r="AF40" s="741">
        <f t="shared" ref="AF40:AF65" si="25">K40</f>
        <v>0.8</v>
      </c>
      <c r="AG40" s="742">
        <v>1</v>
      </c>
      <c r="AH40" s="559" t="s">
        <v>1483</v>
      </c>
      <c r="AI40" s="560" t="s">
        <v>1484</v>
      </c>
      <c r="AJ40" s="743">
        <f t="shared" ref="AJ40:AJ65" si="26">N40</f>
        <v>0.8</v>
      </c>
      <c r="AK40" s="744">
        <v>1</v>
      </c>
      <c r="AL40" s="615" t="s">
        <v>1485</v>
      </c>
      <c r="AM40" s="615" t="s">
        <v>1482</v>
      </c>
      <c r="AN40" s="741">
        <f t="shared" ref="AN40:AN65" si="27">Q40</f>
        <v>0.8</v>
      </c>
      <c r="AO40" s="742">
        <v>1</v>
      </c>
      <c r="AP40" s="745" t="s">
        <v>1486</v>
      </c>
      <c r="AQ40" s="745" t="s">
        <v>1487</v>
      </c>
    </row>
    <row r="41" spans="1:47" ht="51" customHeight="1" thickBot="1">
      <c r="A41" s="1601"/>
      <c r="B41" s="1602"/>
      <c r="C41" s="664">
        <v>15.2</v>
      </c>
      <c r="D41" s="697" t="s">
        <v>1488</v>
      </c>
      <c r="E41" s="619">
        <v>0.03</v>
      </c>
      <c r="F41" s="564" t="s">
        <v>1477</v>
      </c>
      <c r="G41" s="565" t="s">
        <v>531</v>
      </c>
      <c r="H41" s="746">
        <v>0.8</v>
      </c>
      <c r="I41" s="545">
        <f t="shared" si="19"/>
        <v>0.8</v>
      </c>
      <c r="J41" s="545">
        <f t="shared" si="1"/>
        <v>1</v>
      </c>
      <c r="K41" s="747">
        <v>0.8</v>
      </c>
      <c r="L41" s="548">
        <f t="shared" si="20"/>
        <v>1.0714300000000001</v>
      </c>
      <c r="M41" s="548">
        <f t="shared" si="2"/>
        <v>1.3392875</v>
      </c>
      <c r="N41" s="746">
        <v>0.8</v>
      </c>
      <c r="O41" s="545">
        <f t="shared" si="21"/>
        <v>0.95</v>
      </c>
      <c r="P41" s="545">
        <f t="shared" si="4"/>
        <v>1.1874999999999998</v>
      </c>
      <c r="Q41" s="747">
        <v>0.8</v>
      </c>
      <c r="R41" s="548">
        <f t="shared" si="22"/>
        <v>1</v>
      </c>
      <c r="S41" s="548">
        <f t="shared" si="5"/>
        <v>1.25</v>
      </c>
      <c r="T41" s="622">
        <f>AVERAGE(H41,K41,N41,Q41)</f>
        <v>0.8</v>
      </c>
      <c r="U41" s="666">
        <f>SUM(I41,L41,O41,R41)/4</f>
        <v>0.95535750000000008</v>
      </c>
      <c r="V41" s="551">
        <f t="shared" si="7"/>
        <v>1</v>
      </c>
      <c r="W41" s="551">
        <f t="shared" si="23"/>
        <v>0.03</v>
      </c>
      <c r="X41" s="564" t="s">
        <v>1489</v>
      </c>
      <c r="Y41" s="565" t="s">
        <v>1490</v>
      </c>
      <c r="Z41" s="565" t="s">
        <v>1491</v>
      </c>
      <c r="AA41" s="748" t="s">
        <v>540</v>
      </c>
      <c r="AB41" s="627">
        <f t="shared" si="24"/>
        <v>0.8</v>
      </c>
      <c r="AC41" s="636">
        <v>0.8</v>
      </c>
      <c r="AD41" s="557" t="s">
        <v>1492</v>
      </c>
      <c r="AE41" s="557" t="s">
        <v>1493</v>
      </c>
      <c r="AF41" s="629">
        <f t="shared" si="25"/>
        <v>0.8</v>
      </c>
      <c r="AG41" s="630">
        <v>1.0714300000000001</v>
      </c>
      <c r="AH41" s="559" t="s">
        <v>1494</v>
      </c>
      <c r="AI41" s="560" t="s">
        <v>1495</v>
      </c>
      <c r="AJ41" s="633">
        <f t="shared" si="26"/>
        <v>0.8</v>
      </c>
      <c r="AK41" s="744">
        <v>0.95</v>
      </c>
      <c r="AL41" s="557" t="s">
        <v>1496</v>
      </c>
      <c r="AM41" s="557" t="s">
        <v>1493</v>
      </c>
      <c r="AN41" s="629">
        <f t="shared" si="27"/>
        <v>0.8</v>
      </c>
      <c r="AO41" s="630">
        <v>1</v>
      </c>
      <c r="AP41" s="749" t="s">
        <v>1497</v>
      </c>
      <c r="AQ41" s="749" t="s">
        <v>1498</v>
      </c>
    </row>
    <row r="42" spans="1:47" s="758" customFormat="1" ht="143.25" thickBot="1">
      <c r="A42" s="1601"/>
      <c r="B42" s="1602"/>
      <c r="C42" s="656">
        <v>15.3</v>
      </c>
      <c r="D42" s="750" t="s">
        <v>1499</v>
      </c>
      <c r="E42" s="751">
        <v>2.5000000000000001E-2</v>
      </c>
      <c r="F42" s="752" t="s">
        <v>538</v>
      </c>
      <c r="G42" s="753" t="s">
        <v>532</v>
      </c>
      <c r="H42" s="754">
        <v>40</v>
      </c>
      <c r="I42" s="544">
        <f t="shared" si="19"/>
        <v>15</v>
      </c>
      <c r="J42" s="545">
        <f t="shared" si="1"/>
        <v>0.375</v>
      </c>
      <c r="K42" s="755">
        <v>60</v>
      </c>
      <c r="L42" s="547">
        <f t="shared" si="20"/>
        <v>41</v>
      </c>
      <c r="M42" s="548">
        <f t="shared" si="2"/>
        <v>0.68333333333333335</v>
      </c>
      <c r="N42" s="754">
        <v>60</v>
      </c>
      <c r="O42" s="544">
        <f t="shared" si="21"/>
        <v>78</v>
      </c>
      <c r="P42" s="545">
        <f t="shared" si="4"/>
        <v>1.3</v>
      </c>
      <c r="Q42" s="755">
        <v>40</v>
      </c>
      <c r="R42" s="547">
        <f t="shared" si="22"/>
        <v>110</v>
      </c>
      <c r="S42" s="548">
        <f t="shared" si="5"/>
        <v>2.75</v>
      </c>
      <c r="T42" s="549">
        <f t="shared" ref="T42:U60" si="28">SUM(H42,K42,N42,Q42)</f>
        <v>200</v>
      </c>
      <c r="U42" s="660">
        <f t="shared" si="28"/>
        <v>244</v>
      </c>
      <c r="V42" s="551">
        <f t="shared" si="7"/>
        <v>1</v>
      </c>
      <c r="W42" s="551">
        <f t="shared" si="23"/>
        <v>2.5000000000000001E-2</v>
      </c>
      <c r="X42" s="752" t="s">
        <v>1500</v>
      </c>
      <c r="Y42" s="753" t="s">
        <v>1501</v>
      </c>
      <c r="Z42" s="753" t="s">
        <v>926</v>
      </c>
      <c r="AA42" s="756" t="s">
        <v>542</v>
      </c>
      <c r="AB42" s="556">
        <f t="shared" si="24"/>
        <v>40</v>
      </c>
      <c r="AC42" s="556">
        <v>15</v>
      </c>
      <c r="AD42" s="557" t="s">
        <v>1502</v>
      </c>
      <c r="AE42" s="557" t="s">
        <v>1503</v>
      </c>
      <c r="AF42" s="558">
        <f t="shared" si="25"/>
        <v>60</v>
      </c>
      <c r="AG42" s="558">
        <v>41</v>
      </c>
      <c r="AH42" s="559" t="s">
        <v>1504</v>
      </c>
      <c r="AI42" s="560" t="s">
        <v>1503</v>
      </c>
      <c r="AJ42" s="707">
        <f t="shared" si="26"/>
        <v>60</v>
      </c>
      <c r="AK42" s="757">
        <v>78</v>
      </c>
      <c r="AL42" s="557" t="s">
        <v>1505</v>
      </c>
      <c r="AM42" s="557" t="s">
        <v>1503</v>
      </c>
      <c r="AN42" s="558">
        <f t="shared" si="27"/>
        <v>40</v>
      </c>
      <c r="AO42" s="558">
        <v>110</v>
      </c>
      <c r="AP42" s="749" t="s">
        <v>1506</v>
      </c>
      <c r="AQ42" s="749" t="s">
        <v>1507</v>
      </c>
    </row>
    <row r="43" spans="1:47" s="758" customFormat="1" ht="129" thickBot="1">
      <c r="A43" s="1601"/>
      <c r="B43" s="1602"/>
      <c r="C43" s="664">
        <v>15.4</v>
      </c>
      <c r="D43" s="750" t="s">
        <v>1508</v>
      </c>
      <c r="E43" s="751">
        <v>0.02</v>
      </c>
      <c r="F43" s="752" t="s">
        <v>538</v>
      </c>
      <c r="G43" s="753" t="s">
        <v>532</v>
      </c>
      <c r="H43" s="754">
        <v>2</v>
      </c>
      <c r="I43" s="544">
        <f t="shared" si="19"/>
        <v>2</v>
      </c>
      <c r="J43" s="545">
        <f t="shared" si="1"/>
        <v>1</v>
      </c>
      <c r="K43" s="755">
        <v>3</v>
      </c>
      <c r="L43" s="547">
        <f t="shared" si="20"/>
        <v>2</v>
      </c>
      <c r="M43" s="548">
        <f t="shared" si="2"/>
        <v>0.66666666666666663</v>
      </c>
      <c r="N43" s="754">
        <v>2</v>
      </c>
      <c r="O43" s="544">
        <f t="shared" si="21"/>
        <v>3</v>
      </c>
      <c r="P43" s="545">
        <f t="shared" si="4"/>
        <v>1.5</v>
      </c>
      <c r="Q43" s="755">
        <v>2</v>
      </c>
      <c r="R43" s="547">
        <f t="shared" si="22"/>
        <v>1</v>
      </c>
      <c r="S43" s="548">
        <f t="shared" si="5"/>
        <v>0.5</v>
      </c>
      <c r="T43" s="549">
        <f t="shared" si="28"/>
        <v>9</v>
      </c>
      <c r="U43" s="660">
        <f t="shared" si="28"/>
        <v>8</v>
      </c>
      <c r="V43" s="551">
        <f t="shared" si="7"/>
        <v>0.88888888888888884</v>
      </c>
      <c r="W43" s="551">
        <f t="shared" si="23"/>
        <v>1.7777777777777778E-2</v>
      </c>
      <c r="X43" s="752" t="s">
        <v>1509</v>
      </c>
      <c r="Y43" s="753" t="s">
        <v>1510</v>
      </c>
      <c r="Z43" s="753" t="s">
        <v>1511</v>
      </c>
      <c r="AA43" s="756" t="s">
        <v>542</v>
      </c>
      <c r="AB43" s="556">
        <f t="shared" si="24"/>
        <v>2</v>
      </c>
      <c r="AC43" s="556">
        <v>2</v>
      </c>
      <c r="AD43" s="557" t="s">
        <v>1512</v>
      </c>
      <c r="AE43" s="557" t="s">
        <v>1513</v>
      </c>
      <c r="AF43" s="558">
        <f t="shared" si="25"/>
        <v>3</v>
      </c>
      <c r="AG43" s="558">
        <v>2</v>
      </c>
      <c r="AH43" s="559" t="s">
        <v>1514</v>
      </c>
      <c r="AI43" s="560" t="s">
        <v>1513</v>
      </c>
      <c r="AJ43" s="707">
        <f t="shared" si="26"/>
        <v>2</v>
      </c>
      <c r="AK43" s="757">
        <v>3</v>
      </c>
      <c r="AL43" s="557" t="s">
        <v>1515</v>
      </c>
      <c r="AM43" s="557" t="s">
        <v>1513</v>
      </c>
      <c r="AN43" s="558">
        <f t="shared" si="27"/>
        <v>2</v>
      </c>
      <c r="AO43" s="558">
        <v>1</v>
      </c>
      <c r="AP43" s="749" t="s">
        <v>1516</v>
      </c>
      <c r="AQ43" s="749" t="s">
        <v>1517</v>
      </c>
    </row>
    <row r="44" spans="1:47" s="758" customFormat="1" ht="84.75" thickBot="1">
      <c r="A44" s="1601"/>
      <c r="B44" s="1602"/>
      <c r="C44" s="656">
        <v>15.5</v>
      </c>
      <c r="D44" s="750" t="s">
        <v>1518</v>
      </c>
      <c r="E44" s="751">
        <v>0</v>
      </c>
      <c r="F44" s="752" t="s">
        <v>538</v>
      </c>
      <c r="G44" s="753" t="s">
        <v>532</v>
      </c>
      <c r="H44" s="754">
        <v>0</v>
      </c>
      <c r="I44" s="544">
        <f t="shared" si="19"/>
        <v>0</v>
      </c>
      <c r="J44" s="545">
        <f t="shared" si="1"/>
        <v>0</v>
      </c>
      <c r="K44" s="755">
        <v>0</v>
      </c>
      <c r="L44" s="547">
        <f t="shared" si="20"/>
        <v>0</v>
      </c>
      <c r="M44" s="548">
        <f t="shared" si="2"/>
        <v>0</v>
      </c>
      <c r="N44" s="754">
        <v>0</v>
      </c>
      <c r="O44" s="544">
        <f t="shared" si="21"/>
        <v>0</v>
      </c>
      <c r="P44" s="545">
        <f t="shared" si="4"/>
        <v>0</v>
      </c>
      <c r="Q44" s="755">
        <v>0</v>
      </c>
      <c r="R44" s="547">
        <f t="shared" si="22"/>
        <v>0</v>
      </c>
      <c r="S44" s="548">
        <f t="shared" si="5"/>
        <v>0</v>
      </c>
      <c r="T44" s="549">
        <f t="shared" si="28"/>
        <v>0</v>
      </c>
      <c r="U44" s="660">
        <f t="shared" si="28"/>
        <v>0</v>
      </c>
      <c r="V44" s="551">
        <f t="shared" si="7"/>
        <v>0</v>
      </c>
      <c r="W44" s="551">
        <f t="shared" si="23"/>
        <v>0</v>
      </c>
      <c r="X44" s="759" t="s">
        <v>1519</v>
      </c>
      <c r="Y44" s="753" t="s">
        <v>1520</v>
      </c>
      <c r="Z44" s="753" t="s">
        <v>1521</v>
      </c>
      <c r="AA44" s="756" t="s">
        <v>542</v>
      </c>
      <c r="AB44" s="556">
        <f t="shared" si="24"/>
        <v>0</v>
      </c>
      <c r="AC44" s="556"/>
      <c r="AD44" s="557"/>
      <c r="AE44" s="557"/>
      <c r="AF44" s="558">
        <f t="shared" si="25"/>
        <v>0</v>
      </c>
      <c r="AG44" s="558"/>
      <c r="AH44" s="559"/>
      <c r="AI44" s="560"/>
      <c r="AJ44" s="556">
        <f t="shared" si="26"/>
        <v>0</v>
      </c>
      <c r="AK44" s="757">
        <f>BG44</f>
        <v>0</v>
      </c>
      <c r="AL44" s="557" t="s">
        <v>1522</v>
      </c>
      <c r="AM44" s="557"/>
      <c r="AN44" s="558">
        <f t="shared" si="27"/>
        <v>0</v>
      </c>
      <c r="AO44" s="558"/>
      <c r="AP44" s="749" t="s">
        <v>1523</v>
      </c>
      <c r="AQ44" s="749"/>
    </row>
    <row r="45" spans="1:47" s="758" customFormat="1" ht="99" customHeight="1" thickBot="1">
      <c r="A45" s="1601"/>
      <c r="B45" s="1602"/>
      <c r="C45" s="664">
        <v>15.6</v>
      </c>
      <c r="D45" s="750" t="s">
        <v>1524</v>
      </c>
      <c r="E45" s="751">
        <v>0</v>
      </c>
      <c r="F45" s="752" t="s">
        <v>538</v>
      </c>
      <c r="G45" s="753" t="s">
        <v>532</v>
      </c>
      <c r="H45" s="754">
        <v>0</v>
      </c>
      <c r="I45" s="544">
        <f t="shared" si="19"/>
        <v>0</v>
      </c>
      <c r="J45" s="545">
        <f t="shared" si="1"/>
        <v>0</v>
      </c>
      <c r="K45" s="755">
        <v>0</v>
      </c>
      <c r="L45" s="547">
        <f t="shared" si="20"/>
        <v>0</v>
      </c>
      <c r="M45" s="548">
        <f t="shared" si="2"/>
        <v>0</v>
      </c>
      <c r="N45" s="754">
        <v>0</v>
      </c>
      <c r="O45" s="544">
        <f t="shared" si="21"/>
        <v>0</v>
      </c>
      <c r="P45" s="545">
        <f t="shared" si="4"/>
        <v>0</v>
      </c>
      <c r="Q45" s="755">
        <v>0</v>
      </c>
      <c r="R45" s="547">
        <f t="shared" si="22"/>
        <v>0</v>
      </c>
      <c r="S45" s="548">
        <f t="shared" si="5"/>
        <v>0</v>
      </c>
      <c r="T45" s="549">
        <f t="shared" si="28"/>
        <v>0</v>
      </c>
      <c r="U45" s="660">
        <f t="shared" si="28"/>
        <v>0</v>
      </c>
      <c r="V45" s="551">
        <f t="shared" si="7"/>
        <v>0</v>
      </c>
      <c r="W45" s="551">
        <f t="shared" si="23"/>
        <v>0</v>
      </c>
      <c r="X45" s="759" t="s">
        <v>1525</v>
      </c>
      <c r="Y45" s="753" t="s">
        <v>1526</v>
      </c>
      <c r="Z45" s="753" t="s">
        <v>1527</v>
      </c>
      <c r="AA45" s="756" t="s">
        <v>542</v>
      </c>
      <c r="AB45" s="556">
        <f t="shared" si="24"/>
        <v>0</v>
      </c>
      <c r="AC45" s="556"/>
      <c r="AD45" s="557"/>
      <c r="AE45" s="557"/>
      <c r="AF45" s="558">
        <f t="shared" si="25"/>
        <v>0</v>
      </c>
      <c r="AG45" s="558"/>
      <c r="AH45" s="559"/>
      <c r="AI45" s="560"/>
      <c r="AJ45" s="556">
        <f t="shared" si="26"/>
        <v>0</v>
      </c>
      <c r="AK45" s="556"/>
      <c r="AL45" s="557"/>
      <c r="AM45" s="557"/>
      <c r="AN45" s="558">
        <f t="shared" si="27"/>
        <v>0</v>
      </c>
      <c r="AO45" s="558"/>
      <c r="AP45" s="559"/>
      <c r="AQ45" s="559"/>
      <c r="AS45" s="758">
        <v>2</v>
      </c>
      <c r="AT45" s="758">
        <v>1</v>
      </c>
      <c r="AU45" s="758">
        <f>IF((IF(ISERROR(AS45/AT45),0,(AS45/AT45)))&gt;1,1,(IF(ISERROR(AS45/AT45),0,(AS45/AT45))))</f>
        <v>1</v>
      </c>
    </row>
    <row r="46" spans="1:47" s="758" customFormat="1" ht="60.75" thickBot="1">
      <c r="A46" s="1601"/>
      <c r="B46" s="1602"/>
      <c r="C46" s="656">
        <v>15.7</v>
      </c>
      <c r="D46" s="750" t="s">
        <v>1528</v>
      </c>
      <c r="E46" s="751">
        <v>0</v>
      </c>
      <c r="F46" s="752" t="s">
        <v>538</v>
      </c>
      <c r="G46" s="753" t="s">
        <v>532</v>
      </c>
      <c r="H46" s="754">
        <v>0</v>
      </c>
      <c r="I46" s="544">
        <f t="shared" si="19"/>
        <v>0</v>
      </c>
      <c r="J46" s="545">
        <f t="shared" si="1"/>
        <v>0</v>
      </c>
      <c r="K46" s="755">
        <v>0</v>
      </c>
      <c r="L46" s="547">
        <f t="shared" si="20"/>
        <v>0</v>
      </c>
      <c r="M46" s="548">
        <f t="shared" si="2"/>
        <v>0</v>
      </c>
      <c r="N46" s="754">
        <v>0</v>
      </c>
      <c r="O46" s="544">
        <f t="shared" si="21"/>
        <v>0</v>
      </c>
      <c r="P46" s="545">
        <f t="shared" si="4"/>
        <v>0</v>
      </c>
      <c r="Q46" s="755">
        <v>0</v>
      </c>
      <c r="R46" s="547">
        <f t="shared" si="22"/>
        <v>0</v>
      </c>
      <c r="S46" s="548">
        <f t="shared" si="5"/>
        <v>0</v>
      </c>
      <c r="T46" s="549">
        <f t="shared" si="28"/>
        <v>0</v>
      </c>
      <c r="U46" s="660">
        <f t="shared" si="28"/>
        <v>0</v>
      </c>
      <c r="V46" s="551">
        <f t="shared" si="7"/>
        <v>0</v>
      </c>
      <c r="W46" s="551">
        <f t="shared" si="23"/>
        <v>0</v>
      </c>
      <c r="X46" s="759" t="s">
        <v>1529</v>
      </c>
      <c r="Y46" s="753" t="s">
        <v>1530</v>
      </c>
      <c r="Z46" s="753" t="s">
        <v>1531</v>
      </c>
      <c r="AA46" s="756" t="s">
        <v>542</v>
      </c>
      <c r="AB46" s="556">
        <f t="shared" si="24"/>
        <v>0</v>
      </c>
      <c r="AC46" s="556"/>
      <c r="AD46" s="557"/>
      <c r="AE46" s="557"/>
      <c r="AF46" s="558">
        <f t="shared" si="25"/>
        <v>0</v>
      </c>
      <c r="AG46" s="558"/>
      <c r="AH46" s="559"/>
      <c r="AI46" s="560"/>
      <c r="AJ46" s="556">
        <f t="shared" si="26"/>
        <v>0</v>
      </c>
      <c r="AK46" s="556"/>
      <c r="AL46" s="557"/>
      <c r="AM46" s="557"/>
      <c r="AN46" s="558">
        <f t="shared" si="27"/>
        <v>0</v>
      </c>
      <c r="AO46" s="558"/>
      <c r="AP46" s="559"/>
      <c r="AQ46" s="559"/>
    </row>
    <row r="47" spans="1:47" s="758" customFormat="1" ht="60.75" thickBot="1">
      <c r="A47" s="1601"/>
      <c r="B47" s="1602"/>
      <c r="C47" s="664">
        <v>15.8</v>
      </c>
      <c r="D47" s="750" t="s">
        <v>1532</v>
      </c>
      <c r="E47" s="751">
        <v>0</v>
      </c>
      <c r="F47" s="752" t="s">
        <v>538</v>
      </c>
      <c r="G47" s="753" t="s">
        <v>532</v>
      </c>
      <c r="H47" s="754">
        <v>0</v>
      </c>
      <c r="I47" s="544">
        <f t="shared" si="19"/>
        <v>0</v>
      </c>
      <c r="J47" s="545">
        <f t="shared" si="1"/>
        <v>0</v>
      </c>
      <c r="K47" s="755">
        <v>0</v>
      </c>
      <c r="L47" s="547">
        <f t="shared" si="20"/>
        <v>0</v>
      </c>
      <c r="M47" s="548">
        <f t="shared" si="2"/>
        <v>0</v>
      </c>
      <c r="N47" s="754">
        <v>0</v>
      </c>
      <c r="O47" s="544">
        <f t="shared" si="21"/>
        <v>0</v>
      </c>
      <c r="P47" s="545">
        <f t="shared" si="4"/>
        <v>0</v>
      </c>
      <c r="Q47" s="755">
        <v>0</v>
      </c>
      <c r="R47" s="547">
        <f t="shared" si="22"/>
        <v>0</v>
      </c>
      <c r="S47" s="548">
        <f t="shared" si="5"/>
        <v>0</v>
      </c>
      <c r="T47" s="549">
        <f t="shared" si="28"/>
        <v>0</v>
      </c>
      <c r="U47" s="660">
        <f t="shared" si="28"/>
        <v>0</v>
      </c>
      <c r="V47" s="551">
        <f t="shared" si="7"/>
        <v>0</v>
      </c>
      <c r="W47" s="551">
        <f t="shared" si="23"/>
        <v>0</v>
      </c>
      <c r="X47" s="759" t="s">
        <v>1533</v>
      </c>
      <c r="Y47" s="753" t="s">
        <v>1534</v>
      </c>
      <c r="Z47" s="753" t="s">
        <v>1535</v>
      </c>
      <c r="AA47" s="756" t="s">
        <v>542</v>
      </c>
      <c r="AB47" s="556">
        <f t="shared" si="24"/>
        <v>0</v>
      </c>
      <c r="AC47" s="556"/>
      <c r="AD47" s="557"/>
      <c r="AE47" s="557"/>
      <c r="AF47" s="558">
        <f t="shared" si="25"/>
        <v>0</v>
      </c>
      <c r="AG47" s="558"/>
      <c r="AH47" s="559"/>
      <c r="AI47" s="560"/>
      <c r="AJ47" s="556">
        <f t="shared" si="26"/>
        <v>0</v>
      </c>
      <c r="AK47" s="556"/>
      <c r="AL47" s="557"/>
      <c r="AM47" s="557"/>
      <c r="AN47" s="558">
        <f t="shared" si="27"/>
        <v>0</v>
      </c>
      <c r="AO47" s="558"/>
      <c r="AP47" s="559"/>
      <c r="AQ47" s="559"/>
    </row>
    <row r="48" spans="1:47" s="758" customFormat="1" ht="180.75" thickBot="1">
      <c r="A48" s="1601"/>
      <c r="B48" s="1602"/>
      <c r="C48" s="696">
        <v>15.9</v>
      </c>
      <c r="D48" s="750" t="s">
        <v>1536</v>
      </c>
      <c r="E48" s="751">
        <v>0.02</v>
      </c>
      <c r="F48" s="752" t="s">
        <v>538</v>
      </c>
      <c r="G48" s="753" t="s">
        <v>532</v>
      </c>
      <c r="H48" s="754">
        <v>3</v>
      </c>
      <c r="I48" s="544">
        <f t="shared" si="19"/>
        <v>2</v>
      </c>
      <c r="J48" s="545">
        <f t="shared" si="1"/>
        <v>0.66666666666666663</v>
      </c>
      <c r="K48" s="755">
        <v>5</v>
      </c>
      <c r="L48" s="547">
        <f t="shared" si="20"/>
        <v>5</v>
      </c>
      <c r="M48" s="548">
        <f t="shared" si="2"/>
        <v>1</v>
      </c>
      <c r="N48" s="754">
        <v>5</v>
      </c>
      <c r="O48" s="544">
        <f t="shared" si="21"/>
        <v>5</v>
      </c>
      <c r="P48" s="545">
        <f t="shared" si="4"/>
        <v>1</v>
      </c>
      <c r="Q48" s="755">
        <v>2</v>
      </c>
      <c r="R48" s="547">
        <f t="shared" si="22"/>
        <v>3</v>
      </c>
      <c r="S48" s="548">
        <f t="shared" si="5"/>
        <v>1.5</v>
      </c>
      <c r="T48" s="549">
        <f t="shared" si="28"/>
        <v>15</v>
      </c>
      <c r="U48" s="660">
        <f t="shared" si="28"/>
        <v>15</v>
      </c>
      <c r="V48" s="551">
        <f t="shared" si="7"/>
        <v>1</v>
      </c>
      <c r="W48" s="551">
        <f t="shared" si="23"/>
        <v>0.02</v>
      </c>
      <c r="X48" s="759" t="s">
        <v>1537</v>
      </c>
      <c r="Y48" s="753" t="s">
        <v>1538</v>
      </c>
      <c r="Z48" s="753" t="s">
        <v>1539</v>
      </c>
      <c r="AA48" s="756" t="s">
        <v>542</v>
      </c>
      <c r="AB48" s="556">
        <f t="shared" si="24"/>
        <v>3</v>
      </c>
      <c r="AC48" s="556">
        <v>2</v>
      </c>
      <c r="AD48" s="557" t="s">
        <v>1540</v>
      </c>
      <c r="AE48" s="557" t="s">
        <v>1541</v>
      </c>
      <c r="AF48" s="558">
        <f t="shared" si="25"/>
        <v>5</v>
      </c>
      <c r="AG48" s="558">
        <v>5</v>
      </c>
      <c r="AH48" s="559" t="s">
        <v>1542</v>
      </c>
      <c r="AI48" s="560" t="s">
        <v>1543</v>
      </c>
      <c r="AJ48" s="556">
        <f t="shared" si="26"/>
        <v>5</v>
      </c>
      <c r="AK48" s="556">
        <v>5</v>
      </c>
      <c r="AL48" s="557" t="s">
        <v>1544</v>
      </c>
      <c r="AM48" s="557" t="s">
        <v>1545</v>
      </c>
      <c r="AN48" s="558">
        <f t="shared" si="27"/>
        <v>2</v>
      </c>
      <c r="AO48" s="558">
        <v>3</v>
      </c>
      <c r="AP48" s="557" t="s">
        <v>1546</v>
      </c>
      <c r="AQ48" s="557" t="s">
        <v>1545</v>
      </c>
    </row>
    <row r="49" spans="1:43" ht="75.75" thickBot="1">
      <c r="A49" s="1601"/>
      <c r="B49" s="1602"/>
      <c r="C49" s="694">
        <v>15.1</v>
      </c>
      <c r="D49" s="760" t="s">
        <v>1547</v>
      </c>
      <c r="E49" s="619">
        <v>0.02</v>
      </c>
      <c r="F49" s="564" t="s">
        <v>538</v>
      </c>
      <c r="G49" s="565" t="s">
        <v>532</v>
      </c>
      <c r="H49" s="754">
        <v>0</v>
      </c>
      <c r="I49" s="544">
        <f t="shared" si="19"/>
        <v>0</v>
      </c>
      <c r="J49" s="545">
        <f t="shared" si="1"/>
        <v>0</v>
      </c>
      <c r="K49" s="761">
        <v>1</v>
      </c>
      <c r="L49" s="547">
        <f t="shared" si="20"/>
        <v>0</v>
      </c>
      <c r="M49" s="548">
        <f t="shared" si="2"/>
        <v>0</v>
      </c>
      <c r="N49" s="754">
        <v>0</v>
      </c>
      <c r="O49" s="544">
        <f t="shared" si="21"/>
        <v>0</v>
      </c>
      <c r="P49" s="545">
        <f t="shared" si="4"/>
        <v>0</v>
      </c>
      <c r="Q49" s="761">
        <v>0</v>
      </c>
      <c r="R49" s="547">
        <f t="shared" si="22"/>
        <v>0</v>
      </c>
      <c r="S49" s="548">
        <f t="shared" si="5"/>
        <v>0</v>
      </c>
      <c r="T49" s="549">
        <f t="shared" si="28"/>
        <v>1</v>
      </c>
      <c r="U49" s="660">
        <f t="shared" si="28"/>
        <v>0</v>
      </c>
      <c r="V49" s="551">
        <f t="shared" si="7"/>
        <v>0</v>
      </c>
      <c r="W49" s="551">
        <f t="shared" si="23"/>
        <v>0</v>
      </c>
      <c r="X49" s="762" t="s">
        <v>1548</v>
      </c>
      <c r="Y49" s="565" t="s">
        <v>1549</v>
      </c>
      <c r="Z49" s="565" t="s">
        <v>1550</v>
      </c>
      <c r="AA49" s="763" t="s">
        <v>542</v>
      </c>
      <c r="AB49" s="556">
        <f t="shared" si="24"/>
        <v>0</v>
      </c>
      <c r="AC49" s="556"/>
      <c r="AD49" s="557"/>
      <c r="AE49" s="557"/>
      <c r="AF49" s="558">
        <f t="shared" si="25"/>
        <v>1</v>
      </c>
      <c r="AG49" s="558"/>
      <c r="AH49" s="559"/>
      <c r="AI49" s="560"/>
      <c r="AJ49" s="556">
        <f t="shared" si="26"/>
        <v>0</v>
      </c>
      <c r="AK49" s="556"/>
      <c r="AL49" s="557"/>
      <c r="AM49" s="557"/>
      <c r="AN49" s="558">
        <f t="shared" si="27"/>
        <v>0</v>
      </c>
      <c r="AO49" s="558"/>
      <c r="AP49" s="559"/>
      <c r="AQ49" s="559"/>
    </row>
    <row r="50" spans="1:43" ht="60.75" thickBot="1">
      <c r="A50" s="1601"/>
      <c r="B50" s="1602"/>
      <c r="C50" s="764">
        <v>15.11</v>
      </c>
      <c r="D50" s="760" t="s">
        <v>1551</v>
      </c>
      <c r="E50" s="619">
        <v>1.4999999999999999E-2</v>
      </c>
      <c r="F50" s="564" t="s">
        <v>538</v>
      </c>
      <c r="G50" s="565" t="s">
        <v>532</v>
      </c>
      <c r="H50" s="754">
        <v>0</v>
      </c>
      <c r="I50" s="544">
        <f t="shared" si="19"/>
        <v>0</v>
      </c>
      <c r="J50" s="545">
        <f t="shared" si="1"/>
        <v>0</v>
      </c>
      <c r="K50" s="761">
        <v>0</v>
      </c>
      <c r="L50" s="547">
        <f t="shared" si="20"/>
        <v>0</v>
      </c>
      <c r="M50" s="548">
        <f t="shared" si="2"/>
        <v>0</v>
      </c>
      <c r="N50" s="754">
        <v>0</v>
      </c>
      <c r="O50" s="544">
        <f t="shared" si="21"/>
        <v>0</v>
      </c>
      <c r="P50" s="545">
        <f t="shared" si="4"/>
        <v>0</v>
      </c>
      <c r="Q50" s="761">
        <v>1</v>
      </c>
      <c r="R50" s="547">
        <f t="shared" si="22"/>
        <v>0</v>
      </c>
      <c r="S50" s="548">
        <f t="shared" si="5"/>
        <v>0</v>
      </c>
      <c r="T50" s="549">
        <f t="shared" si="28"/>
        <v>1</v>
      </c>
      <c r="U50" s="660">
        <f t="shared" si="28"/>
        <v>0</v>
      </c>
      <c r="V50" s="551">
        <f t="shared" si="7"/>
        <v>0</v>
      </c>
      <c r="W50" s="551">
        <f t="shared" si="23"/>
        <v>0</v>
      </c>
      <c r="X50" s="762" t="s">
        <v>1552</v>
      </c>
      <c r="Y50" s="565" t="s">
        <v>1553</v>
      </c>
      <c r="Z50" s="565" t="s">
        <v>1554</v>
      </c>
      <c r="AA50" s="763" t="s">
        <v>542</v>
      </c>
      <c r="AB50" s="556">
        <f t="shared" si="24"/>
        <v>0</v>
      </c>
      <c r="AC50" s="556"/>
      <c r="AD50" s="557"/>
      <c r="AE50" s="557"/>
      <c r="AF50" s="558">
        <f t="shared" si="25"/>
        <v>0</v>
      </c>
      <c r="AG50" s="558"/>
      <c r="AH50" s="559"/>
      <c r="AI50" s="560"/>
      <c r="AJ50" s="556">
        <f t="shared" si="26"/>
        <v>0</v>
      </c>
      <c r="AK50" s="556"/>
      <c r="AL50" s="557"/>
      <c r="AM50" s="557"/>
      <c r="AN50" s="558">
        <f t="shared" si="27"/>
        <v>1</v>
      </c>
      <c r="AO50" s="558"/>
      <c r="AP50" s="559" t="s">
        <v>1459</v>
      </c>
      <c r="AQ50" s="559"/>
    </row>
    <row r="51" spans="1:43" ht="132.75" thickBot="1">
      <c r="A51" s="1601"/>
      <c r="B51" s="1602"/>
      <c r="C51" s="694">
        <v>15.12</v>
      </c>
      <c r="D51" s="760" t="s">
        <v>1555</v>
      </c>
      <c r="E51" s="619">
        <v>0.02</v>
      </c>
      <c r="F51" s="564" t="s">
        <v>538</v>
      </c>
      <c r="G51" s="565" t="s">
        <v>532</v>
      </c>
      <c r="H51" s="754">
        <v>2</v>
      </c>
      <c r="I51" s="544">
        <f t="shared" si="19"/>
        <v>2</v>
      </c>
      <c r="J51" s="545">
        <f t="shared" si="1"/>
        <v>1</v>
      </c>
      <c r="K51" s="761">
        <v>2</v>
      </c>
      <c r="L51" s="547">
        <f t="shared" si="20"/>
        <v>8</v>
      </c>
      <c r="M51" s="548">
        <f t="shared" si="2"/>
        <v>4</v>
      </c>
      <c r="N51" s="754">
        <v>2</v>
      </c>
      <c r="O51" s="544">
        <f t="shared" si="21"/>
        <v>2</v>
      </c>
      <c r="P51" s="545">
        <f t="shared" si="4"/>
        <v>1</v>
      </c>
      <c r="Q51" s="761">
        <v>2</v>
      </c>
      <c r="R51" s="547">
        <f t="shared" si="22"/>
        <v>3</v>
      </c>
      <c r="S51" s="548">
        <f t="shared" si="5"/>
        <v>1.5</v>
      </c>
      <c r="T51" s="549">
        <f t="shared" si="28"/>
        <v>8</v>
      </c>
      <c r="U51" s="660">
        <f t="shared" si="28"/>
        <v>15</v>
      </c>
      <c r="V51" s="551">
        <f t="shared" si="7"/>
        <v>1</v>
      </c>
      <c r="W51" s="551">
        <f t="shared" si="23"/>
        <v>0.02</v>
      </c>
      <c r="X51" s="762" t="s">
        <v>1556</v>
      </c>
      <c r="Y51" s="565" t="s">
        <v>1557</v>
      </c>
      <c r="Z51" s="565" t="s">
        <v>1558</v>
      </c>
      <c r="AA51" s="763" t="s">
        <v>542</v>
      </c>
      <c r="AB51" s="556">
        <f t="shared" si="24"/>
        <v>2</v>
      </c>
      <c r="AC51" s="556">
        <v>2</v>
      </c>
      <c r="AD51" s="557" t="s">
        <v>1559</v>
      </c>
      <c r="AE51" s="557" t="s">
        <v>1560</v>
      </c>
      <c r="AF51" s="558">
        <f t="shared" si="25"/>
        <v>2</v>
      </c>
      <c r="AG51" s="558">
        <v>8</v>
      </c>
      <c r="AH51" s="559" t="s">
        <v>1561</v>
      </c>
      <c r="AI51" s="560" t="s">
        <v>1562</v>
      </c>
      <c r="AJ51" s="707">
        <f t="shared" si="26"/>
        <v>2</v>
      </c>
      <c r="AK51" s="556">
        <v>2</v>
      </c>
      <c r="AL51" s="557" t="s">
        <v>1563</v>
      </c>
      <c r="AM51" s="557" t="s">
        <v>1564</v>
      </c>
      <c r="AN51" s="558">
        <f t="shared" si="27"/>
        <v>2</v>
      </c>
      <c r="AO51" s="558">
        <v>3</v>
      </c>
      <c r="AP51" s="559" t="s">
        <v>1563</v>
      </c>
      <c r="AQ51" s="559" t="s">
        <v>1564</v>
      </c>
    </row>
    <row r="52" spans="1:43" ht="168.75" thickBot="1">
      <c r="A52" s="1601"/>
      <c r="B52" s="1602"/>
      <c r="C52" s="764">
        <v>15.13</v>
      </c>
      <c r="D52" s="760" t="s">
        <v>1565</v>
      </c>
      <c r="E52" s="619">
        <v>0.02</v>
      </c>
      <c r="F52" s="564" t="s">
        <v>538</v>
      </c>
      <c r="G52" s="565" t="s">
        <v>532</v>
      </c>
      <c r="H52" s="754">
        <v>3</v>
      </c>
      <c r="I52" s="544">
        <f t="shared" si="19"/>
        <v>2</v>
      </c>
      <c r="J52" s="545">
        <f t="shared" si="1"/>
        <v>0.66666666666666663</v>
      </c>
      <c r="K52" s="761">
        <v>5</v>
      </c>
      <c r="L52" s="547">
        <f t="shared" si="20"/>
        <v>5</v>
      </c>
      <c r="M52" s="548">
        <f t="shared" si="2"/>
        <v>1</v>
      </c>
      <c r="N52" s="754">
        <v>5</v>
      </c>
      <c r="O52" s="544">
        <f t="shared" si="21"/>
        <v>5</v>
      </c>
      <c r="P52" s="545">
        <f t="shared" si="4"/>
        <v>1</v>
      </c>
      <c r="Q52" s="761">
        <v>2</v>
      </c>
      <c r="R52" s="547">
        <f t="shared" si="22"/>
        <v>2</v>
      </c>
      <c r="S52" s="548">
        <f t="shared" si="5"/>
        <v>1</v>
      </c>
      <c r="T52" s="549">
        <f t="shared" si="28"/>
        <v>15</v>
      </c>
      <c r="U52" s="660">
        <f t="shared" si="28"/>
        <v>14</v>
      </c>
      <c r="V52" s="551">
        <f t="shared" si="7"/>
        <v>0.93333333333333335</v>
      </c>
      <c r="W52" s="551">
        <f t="shared" si="23"/>
        <v>1.8666666666666668E-2</v>
      </c>
      <c r="X52" s="762" t="s">
        <v>1566</v>
      </c>
      <c r="Y52" s="565" t="s">
        <v>1567</v>
      </c>
      <c r="Z52" s="765" t="s">
        <v>1568</v>
      </c>
      <c r="AA52" s="763" t="s">
        <v>542</v>
      </c>
      <c r="AB52" s="556">
        <f t="shared" si="24"/>
        <v>3</v>
      </c>
      <c r="AC52" s="556">
        <v>2</v>
      </c>
      <c r="AD52" s="557" t="s">
        <v>1569</v>
      </c>
      <c r="AE52" s="557" t="s">
        <v>1541</v>
      </c>
      <c r="AF52" s="558">
        <f t="shared" si="25"/>
        <v>5</v>
      </c>
      <c r="AG52" s="558">
        <v>5</v>
      </c>
      <c r="AH52" s="559" t="s">
        <v>1542</v>
      </c>
      <c r="AI52" s="560" t="s">
        <v>1543</v>
      </c>
      <c r="AJ52" s="556">
        <f t="shared" si="26"/>
        <v>5</v>
      </c>
      <c r="AK52" s="556">
        <v>5</v>
      </c>
      <c r="AL52" s="557" t="s">
        <v>1570</v>
      </c>
      <c r="AM52" s="557" t="s">
        <v>1545</v>
      </c>
      <c r="AN52" s="558">
        <f t="shared" si="27"/>
        <v>2</v>
      </c>
      <c r="AO52" s="558">
        <v>2</v>
      </c>
      <c r="AP52" s="557" t="s">
        <v>1571</v>
      </c>
      <c r="AQ52" s="557" t="s">
        <v>1545</v>
      </c>
    </row>
    <row r="53" spans="1:43" ht="75.75" thickBot="1">
      <c r="A53" s="1601"/>
      <c r="B53" s="1602"/>
      <c r="C53" s="694">
        <v>15.14</v>
      </c>
      <c r="D53" s="766" t="s">
        <v>1572</v>
      </c>
      <c r="E53" s="619">
        <v>0.02</v>
      </c>
      <c r="F53" s="564" t="s">
        <v>538</v>
      </c>
      <c r="G53" s="565" t="s">
        <v>532</v>
      </c>
      <c r="H53" s="754">
        <v>1</v>
      </c>
      <c r="I53" s="544">
        <f t="shared" si="19"/>
        <v>1</v>
      </c>
      <c r="J53" s="545">
        <f t="shared" si="1"/>
        <v>1</v>
      </c>
      <c r="K53" s="761">
        <v>0</v>
      </c>
      <c r="L53" s="547">
        <f t="shared" si="20"/>
        <v>0</v>
      </c>
      <c r="M53" s="548">
        <f t="shared" si="2"/>
        <v>0</v>
      </c>
      <c r="N53" s="754">
        <v>0</v>
      </c>
      <c r="O53" s="544">
        <f t="shared" si="21"/>
        <v>0</v>
      </c>
      <c r="P53" s="545">
        <f t="shared" si="4"/>
        <v>0</v>
      </c>
      <c r="Q53" s="761">
        <v>0</v>
      </c>
      <c r="R53" s="547">
        <f t="shared" si="22"/>
        <v>0</v>
      </c>
      <c r="S53" s="548">
        <f t="shared" si="5"/>
        <v>0</v>
      </c>
      <c r="T53" s="549">
        <f t="shared" si="28"/>
        <v>1</v>
      </c>
      <c r="U53" s="660">
        <f t="shared" si="28"/>
        <v>1</v>
      </c>
      <c r="V53" s="551">
        <f t="shared" si="7"/>
        <v>1</v>
      </c>
      <c r="W53" s="551">
        <f t="shared" si="23"/>
        <v>0.02</v>
      </c>
      <c r="X53" s="762" t="s">
        <v>1573</v>
      </c>
      <c r="Y53" s="565" t="s">
        <v>1574</v>
      </c>
      <c r="Z53" s="765" t="s">
        <v>1575</v>
      </c>
      <c r="AA53" s="763" t="s">
        <v>542</v>
      </c>
      <c r="AB53" s="556">
        <f t="shared" si="24"/>
        <v>1</v>
      </c>
      <c r="AC53" s="556">
        <v>1</v>
      </c>
      <c r="AD53" s="557" t="s">
        <v>1569</v>
      </c>
      <c r="AE53" s="557" t="s">
        <v>1541</v>
      </c>
      <c r="AF53" s="558">
        <f t="shared" si="25"/>
        <v>0</v>
      </c>
      <c r="AG53" s="558"/>
      <c r="AH53" s="559"/>
      <c r="AI53" s="560"/>
      <c r="AJ53" s="556">
        <f t="shared" si="26"/>
        <v>0</v>
      </c>
      <c r="AK53" s="556"/>
      <c r="AL53" s="557"/>
      <c r="AM53" s="557"/>
      <c r="AN53" s="558">
        <f t="shared" si="27"/>
        <v>0</v>
      </c>
      <c r="AO53" s="558"/>
      <c r="AP53" s="559"/>
      <c r="AQ53" s="559"/>
    </row>
    <row r="54" spans="1:43" ht="102" customHeight="1" thickBot="1">
      <c r="A54" s="1601"/>
      <c r="B54" s="1602"/>
      <c r="C54" s="664">
        <v>15.15</v>
      </c>
      <c r="D54" s="637" t="s">
        <v>1348</v>
      </c>
      <c r="E54" s="638">
        <v>0.01</v>
      </c>
      <c r="F54" s="639" t="s">
        <v>538</v>
      </c>
      <c r="G54" s="640" t="s">
        <v>532</v>
      </c>
      <c r="H54" s="641">
        <v>0</v>
      </c>
      <c r="I54" s="544">
        <f t="shared" si="19"/>
        <v>0</v>
      </c>
      <c r="J54" s="545">
        <f t="shared" si="1"/>
        <v>0</v>
      </c>
      <c r="K54" s="642">
        <v>1</v>
      </c>
      <c r="L54" s="547">
        <f t="shared" si="20"/>
        <v>1</v>
      </c>
      <c r="M54" s="548">
        <f t="shared" si="2"/>
        <v>1</v>
      </c>
      <c r="N54" s="641">
        <v>0</v>
      </c>
      <c r="O54" s="544">
        <f t="shared" si="21"/>
        <v>0</v>
      </c>
      <c r="P54" s="545">
        <f t="shared" si="4"/>
        <v>0</v>
      </c>
      <c r="Q54" s="642">
        <v>1</v>
      </c>
      <c r="R54" s="547">
        <f t="shared" si="22"/>
        <v>1</v>
      </c>
      <c r="S54" s="548">
        <f t="shared" si="5"/>
        <v>1</v>
      </c>
      <c r="T54" s="549">
        <f t="shared" si="28"/>
        <v>2</v>
      </c>
      <c r="U54" s="660">
        <f t="shared" si="28"/>
        <v>2</v>
      </c>
      <c r="V54" s="551">
        <f t="shared" si="7"/>
        <v>1</v>
      </c>
      <c r="W54" s="551">
        <f t="shared" si="23"/>
        <v>0.01</v>
      </c>
      <c r="X54" s="643" t="s">
        <v>1349</v>
      </c>
      <c r="Y54" s="644" t="s">
        <v>1350</v>
      </c>
      <c r="Z54" s="644" t="s">
        <v>1351</v>
      </c>
      <c r="AA54" s="645" t="s">
        <v>542</v>
      </c>
      <c r="AB54" s="581">
        <f t="shared" si="24"/>
        <v>0</v>
      </c>
      <c r="AC54" s="581"/>
      <c r="AD54" s="582"/>
      <c r="AE54" s="582"/>
      <c r="AF54" s="583">
        <f t="shared" si="25"/>
        <v>1</v>
      </c>
      <c r="AG54" s="583">
        <v>1</v>
      </c>
      <c r="AH54" s="559" t="s">
        <v>1474</v>
      </c>
      <c r="AI54" s="560" t="s">
        <v>1353</v>
      </c>
      <c r="AJ54" s="581">
        <f t="shared" si="26"/>
        <v>0</v>
      </c>
      <c r="AK54" s="581"/>
      <c r="AL54" s="582"/>
      <c r="AM54" s="582"/>
      <c r="AN54" s="583">
        <f t="shared" si="27"/>
        <v>1</v>
      </c>
      <c r="AO54" s="583">
        <v>1</v>
      </c>
      <c r="AP54" s="584" t="s">
        <v>1354</v>
      </c>
      <c r="AQ54" s="584" t="s">
        <v>1355</v>
      </c>
    </row>
    <row r="55" spans="1:43" ht="26.25" thickBot="1">
      <c r="A55" s="719"/>
      <c r="B55" s="767" t="s">
        <v>1075</v>
      </c>
      <c r="C55" s="648"/>
      <c r="D55" s="768"/>
      <c r="E55" s="590"/>
      <c r="F55" s="591"/>
      <c r="G55" s="592"/>
      <c r="H55" s="650"/>
      <c r="I55" s="650"/>
      <c r="J55" s="593"/>
      <c r="K55" s="529"/>
      <c r="L55" s="529"/>
      <c r="M55" s="529"/>
      <c r="N55" s="529"/>
      <c r="O55" s="529"/>
      <c r="P55" s="529"/>
      <c r="Q55" s="594"/>
      <c r="R55" s="595"/>
      <c r="S55" s="595"/>
      <c r="T55" s="651"/>
      <c r="U55" s="597"/>
      <c r="V55" s="597"/>
      <c r="W55" s="597"/>
      <c r="X55" s="769"/>
      <c r="Y55" s="770"/>
      <c r="Z55" s="771"/>
      <c r="AA55" s="772"/>
      <c r="AB55" s="600"/>
      <c r="AC55" s="601"/>
      <c r="AD55" s="602"/>
      <c r="AE55" s="602"/>
      <c r="AF55" s="603"/>
      <c r="AG55" s="603"/>
      <c r="AH55" s="604"/>
      <c r="AI55" s="605"/>
      <c r="AJ55" s="600"/>
      <c r="AK55" s="601"/>
      <c r="AL55" s="602"/>
      <c r="AM55" s="602"/>
      <c r="AN55" s="603"/>
      <c r="AO55" s="603"/>
      <c r="AP55" s="604"/>
      <c r="AQ55" s="606"/>
    </row>
    <row r="56" spans="1:43" ht="67.5" customHeight="1" thickBot="1">
      <c r="A56" s="1596" t="s">
        <v>1576</v>
      </c>
      <c r="B56" s="1597" t="s">
        <v>1577</v>
      </c>
      <c r="C56" s="656">
        <v>16.100000000000001</v>
      </c>
      <c r="D56" s="773" t="s">
        <v>1578</v>
      </c>
      <c r="E56" s="608">
        <v>0.03</v>
      </c>
      <c r="F56" s="541" t="s">
        <v>537</v>
      </c>
      <c r="G56" s="542" t="s">
        <v>1338</v>
      </c>
      <c r="H56" s="774">
        <v>0.25</v>
      </c>
      <c r="I56" s="545">
        <f>AC56</f>
        <v>0.16527</v>
      </c>
      <c r="J56" s="545">
        <f t="shared" si="1"/>
        <v>0.66108</v>
      </c>
      <c r="K56" s="775">
        <v>0.25</v>
      </c>
      <c r="L56" s="548">
        <f>AG56</f>
        <v>0.15154999999999999</v>
      </c>
      <c r="M56" s="548">
        <f t="shared" si="2"/>
        <v>0.60619999999999996</v>
      </c>
      <c r="N56" s="774">
        <v>0.25</v>
      </c>
      <c r="O56" s="545">
        <f>AK56</f>
        <v>0.18</v>
      </c>
      <c r="P56" s="545">
        <f t="shared" si="4"/>
        <v>0.72</v>
      </c>
      <c r="Q56" s="775">
        <v>0.25</v>
      </c>
      <c r="R56" s="548">
        <f>AO56</f>
        <v>0.2</v>
      </c>
      <c r="S56" s="548">
        <f t="shared" si="5"/>
        <v>0.8</v>
      </c>
      <c r="T56" s="622">
        <f t="shared" si="28"/>
        <v>1</v>
      </c>
      <c r="U56" s="666">
        <f>SUM(I56,L56,O56,R56)</f>
        <v>0.69681999999999999</v>
      </c>
      <c r="V56" s="551">
        <f t="shared" si="7"/>
        <v>0.69681999999999999</v>
      </c>
      <c r="W56" s="551">
        <f>E56*V56</f>
        <v>2.0904599999999999E-2</v>
      </c>
      <c r="X56" s="776" t="s">
        <v>1579</v>
      </c>
      <c r="Y56" s="777" t="s">
        <v>1580</v>
      </c>
      <c r="Z56" s="778" t="s">
        <v>1581</v>
      </c>
      <c r="AA56" s="779" t="s">
        <v>542</v>
      </c>
      <c r="AB56" s="739">
        <f t="shared" si="24"/>
        <v>0.25</v>
      </c>
      <c r="AC56" s="740">
        <v>0.16527</v>
      </c>
      <c r="AD56" s="615" t="s">
        <v>1582</v>
      </c>
      <c r="AE56" s="615" t="s">
        <v>1583</v>
      </c>
      <c r="AF56" s="741">
        <f t="shared" si="25"/>
        <v>0.25</v>
      </c>
      <c r="AG56" s="780">
        <v>0.15154999999999999</v>
      </c>
      <c r="AH56" s="559" t="s">
        <v>1584</v>
      </c>
      <c r="AI56" s="560" t="s">
        <v>1585</v>
      </c>
      <c r="AJ56" s="743">
        <f t="shared" si="26"/>
        <v>0.25</v>
      </c>
      <c r="AK56" s="781">
        <v>0.18</v>
      </c>
      <c r="AL56" s="615" t="s">
        <v>1586</v>
      </c>
      <c r="AM56" s="615" t="s">
        <v>1587</v>
      </c>
      <c r="AN56" s="741">
        <f t="shared" si="27"/>
        <v>0.25</v>
      </c>
      <c r="AO56" s="742">
        <v>0.2</v>
      </c>
      <c r="AP56" s="617" t="s">
        <v>1588</v>
      </c>
      <c r="AQ56" s="617" t="s">
        <v>1589</v>
      </c>
    </row>
    <row r="57" spans="1:43" ht="108" customHeight="1" thickBot="1">
      <c r="A57" s="1596"/>
      <c r="B57" s="1597"/>
      <c r="C57" s="664">
        <v>16.2</v>
      </c>
      <c r="D57" s="685" t="s">
        <v>1590</v>
      </c>
      <c r="E57" s="619">
        <v>0.03</v>
      </c>
      <c r="F57" s="564" t="s">
        <v>537</v>
      </c>
      <c r="G57" s="565" t="s">
        <v>1338</v>
      </c>
      <c r="H57" s="746">
        <v>0</v>
      </c>
      <c r="I57" s="545">
        <f>AC57</f>
        <v>0</v>
      </c>
      <c r="J57" s="545">
        <f t="shared" si="1"/>
        <v>0</v>
      </c>
      <c r="K57" s="747">
        <v>0.1</v>
      </c>
      <c r="L57" s="548">
        <f>AG57</f>
        <v>0</v>
      </c>
      <c r="M57" s="548">
        <f t="shared" si="2"/>
        <v>0</v>
      </c>
      <c r="N57" s="746">
        <v>0.1</v>
      </c>
      <c r="O57" s="545">
        <f>AK57</f>
        <v>0.1</v>
      </c>
      <c r="P57" s="545">
        <f t="shared" si="4"/>
        <v>1</v>
      </c>
      <c r="Q57" s="747">
        <v>0.05</v>
      </c>
      <c r="R57" s="548">
        <f>AO57</f>
        <v>0.05</v>
      </c>
      <c r="S57" s="548">
        <f t="shared" si="5"/>
        <v>1</v>
      </c>
      <c r="T57" s="622">
        <f t="shared" si="28"/>
        <v>0.25</v>
      </c>
      <c r="U57" s="666">
        <f>SUM(I57,L57,O57,R57)</f>
        <v>0.15000000000000002</v>
      </c>
      <c r="V57" s="551">
        <f t="shared" si="7"/>
        <v>0.60000000000000009</v>
      </c>
      <c r="W57" s="551">
        <f>E57*V57</f>
        <v>1.8000000000000002E-2</v>
      </c>
      <c r="X57" s="782" t="s">
        <v>1591</v>
      </c>
      <c r="Y57" s="783" t="s">
        <v>1592</v>
      </c>
      <c r="Z57" s="784" t="s">
        <v>1593</v>
      </c>
      <c r="AA57" s="763" t="s">
        <v>542</v>
      </c>
      <c r="AB57" s="627">
        <f t="shared" si="24"/>
        <v>0</v>
      </c>
      <c r="AC57" s="556"/>
      <c r="AD57" s="557"/>
      <c r="AE57" s="557"/>
      <c r="AF57" s="629">
        <f t="shared" si="25"/>
        <v>0.1</v>
      </c>
      <c r="AG57" s="558"/>
      <c r="AH57" s="559"/>
      <c r="AI57" s="560"/>
      <c r="AJ57" s="633">
        <f t="shared" si="26"/>
        <v>0.1</v>
      </c>
      <c r="AK57" s="636">
        <v>0.1</v>
      </c>
      <c r="AL57" s="557" t="s">
        <v>1594</v>
      </c>
      <c r="AM57" s="557" t="s">
        <v>1595</v>
      </c>
      <c r="AN57" s="629">
        <f t="shared" si="27"/>
        <v>0.05</v>
      </c>
      <c r="AO57" s="630">
        <v>0.05</v>
      </c>
      <c r="AP57" s="672" t="s">
        <v>1596</v>
      </c>
      <c r="AQ57" s="672" t="s">
        <v>1595</v>
      </c>
    </row>
    <row r="58" spans="1:43" ht="90" customHeight="1" thickBot="1">
      <c r="A58" s="1596"/>
      <c r="B58" s="1597"/>
      <c r="C58" s="656">
        <v>16.3</v>
      </c>
      <c r="D58" s="685" t="s">
        <v>1597</v>
      </c>
      <c r="E58" s="619">
        <v>1.4999999999999999E-2</v>
      </c>
      <c r="F58" s="564" t="s">
        <v>538</v>
      </c>
      <c r="G58" s="565" t="s">
        <v>532</v>
      </c>
      <c r="H58" s="754">
        <v>0</v>
      </c>
      <c r="I58" s="544">
        <f>AC58</f>
        <v>0</v>
      </c>
      <c r="J58" s="545">
        <f t="shared" si="1"/>
        <v>0</v>
      </c>
      <c r="K58" s="761">
        <v>1</v>
      </c>
      <c r="L58" s="547">
        <f>AG58</f>
        <v>1</v>
      </c>
      <c r="M58" s="548">
        <f t="shared" si="2"/>
        <v>1</v>
      </c>
      <c r="N58" s="754">
        <v>0</v>
      </c>
      <c r="O58" s="544">
        <f>AK58</f>
        <v>0</v>
      </c>
      <c r="P58" s="545">
        <f t="shared" si="4"/>
        <v>0</v>
      </c>
      <c r="Q58" s="761">
        <v>0</v>
      </c>
      <c r="R58" s="547">
        <f>AO58</f>
        <v>0</v>
      </c>
      <c r="S58" s="548">
        <f t="shared" si="5"/>
        <v>0</v>
      </c>
      <c r="T58" s="549">
        <f t="shared" si="28"/>
        <v>1</v>
      </c>
      <c r="U58" s="660">
        <f>SUM(I58,L58,O58,R58)</f>
        <v>1</v>
      </c>
      <c r="V58" s="551">
        <f t="shared" si="7"/>
        <v>1</v>
      </c>
      <c r="W58" s="551">
        <f>E58*V58</f>
        <v>1.4999999999999999E-2</v>
      </c>
      <c r="X58" s="785" t="s">
        <v>1598</v>
      </c>
      <c r="Y58" s="786" t="s">
        <v>1599</v>
      </c>
      <c r="Z58" s="786" t="s">
        <v>1600</v>
      </c>
      <c r="AA58" s="763" t="s">
        <v>542</v>
      </c>
      <c r="AB58" s="556">
        <f t="shared" si="24"/>
        <v>0</v>
      </c>
      <c r="AC58" s="556"/>
      <c r="AD58" s="557"/>
      <c r="AE58" s="557"/>
      <c r="AF58" s="558">
        <f t="shared" si="25"/>
        <v>1</v>
      </c>
      <c r="AG58" s="558">
        <v>1</v>
      </c>
      <c r="AH58" s="559" t="s">
        <v>1601</v>
      </c>
      <c r="AI58" s="560" t="s">
        <v>1602</v>
      </c>
      <c r="AJ58" s="556">
        <f t="shared" si="26"/>
        <v>0</v>
      </c>
      <c r="AK58" s="556"/>
      <c r="AL58" s="787"/>
      <c r="AM58" s="557"/>
      <c r="AN58" s="558">
        <f t="shared" si="27"/>
        <v>0</v>
      </c>
      <c r="AO58" s="558"/>
      <c r="AP58" s="559"/>
      <c r="AQ58" s="559"/>
    </row>
    <row r="59" spans="1:43" ht="45" customHeight="1" thickBot="1">
      <c r="A59" s="1596"/>
      <c r="B59" s="1597"/>
      <c r="C59" s="664">
        <v>16.399999999999999</v>
      </c>
      <c r="D59" s="788" t="s">
        <v>1603</v>
      </c>
      <c r="E59" s="619">
        <v>2.5000000000000001E-2</v>
      </c>
      <c r="F59" s="564" t="s">
        <v>538</v>
      </c>
      <c r="G59" s="565" t="s">
        <v>532</v>
      </c>
      <c r="H59" s="754">
        <v>0</v>
      </c>
      <c r="I59" s="544">
        <f>AC59</f>
        <v>0</v>
      </c>
      <c r="J59" s="545">
        <f t="shared" si="1"/>
        <v>0</v>
      </c>
      <c r="K59" s="761">
        <v>1</v>
      </c>
      <c r="L59" s="547">
        <f>AG59</f>
        <v>0</v>
      </c>
      <c r="M59" s="548">
        <f t="shared" si="2"/>
        <v>0</v>
      </c>
      <c r="N59" s="754">
        <v>0</v>
      </c>
      <c r="O59" s="544">
        <f>AK59</f>
        <v>0</v>
      </c>
      <c r="P59" s="545">
        <f t="shared" si="4"/>
        <v>0</v>
      </c>
      <c r="Q59" s="761">
        <v>1</v>
      </c>
      <c r="R59" s="547">
        <f>AO59</f>
        <v>0</v>
      </c>
      <c r="S59" s="548">
        <f t="shared" si="5"/>
        <v>0</v>
      </c>
      <c r="T59" s="549">
        <f t="shared" si="28"/>
        <v>2</v>
      </c>
      <c r="U59" s="660">
        <f>SUM(I59,L59,O59,R59)</f>
        <v>0</v>
      </c>
      <c r="V59" s="551">
        <f t="shared" si="7"/>
        <v>0</v>
      </c>
      <c r="W59" s="551">
        <f>E59*V59</f>
        <v>0</v>
      </c>
      <c r="X59" s="789" t="s">
        <v>775</v>
      </c>
      <c r="Y59" s="786" t="s">
        <v>1604</v>
      </c>
      <c r="Z59" s="786" t="s">
        <v>1605</v>
      </c>
      <c r="AA59" s="763" t="s">
        <v>542</v>
      </c>
      <c r="AB59" s="556">
        <f t="shared" si="24"/>
        <v>0</v>
      </c>
      <c r="AC59" s="556"/>
      <c r="AD59" s="557"/>
      <c r="AE59" s="557"/>
      <c r="AF59" s="558">
        <f t="shared" si="25"/>
        <v>1</v>
      </c>
      <c r="AG59" s="558"/>
      <c r="AH59" s="559"/>
      <c r="AI59" s="560"/>
      <c r="AJ59" s="556">
        <f t="shared" si="26"/>
        <v>0</v>
      </c>
      <c r="AK59" s="556"/>
      <c r="AL59" s="557"/>
      <c r="AM59" s="557"/>
      <c r="AN59" s="558">
        <f t="shared" si="27"/>
        <v>1</v>
      </c>
      <c r="AO59" s="558">
        <v>0</v>
      </c>
      <c r="AP59" s="559" t="s">
        <v>1606</v>
      </c>
      <c r="AQ59" s="559"/>
    </row>
    <row r="60" spans="1:43" ht="87" customHeight="1" thickBot="1">
      <c r="A60" s="1596"/>
      <c r="B60" s="1597"/>
      <c r="C60" s="656">
        <v>16.5</v>
      </c>
      <c r="D60" s="637" t="s">
        <v>1348</v>
      </c>
      <c r="E60" s="638">
        <v>0.01</v>
      </c>
      <c r="F60" s="639" t="s">
        <v>538</v>
      </c>
      <c r="G60" s="640" t="s">
        <v>532</v>
      </c>
      <c r="H60" s="641">
        <v>0</v>
      </c>
      <c r="I60" s="544">
        <f>AC60</f>
        <v>0</v>
      </c>
      <c r="J60" s="545">
        <f t="shared" si="1"/>
        <v>0</v>
      </c>
      <c r="K60" s="642">
        <v>1</v>
      </c>
      <c r="L60" s="547">
        <f>AG60</f>
        <v>1</v>
      </c>
      <c r="M60" s="548">
        <f t="shared" si="2"/>
        <v>1</v>
      </c>
      <c r="N60" s="641">
        <v>0</v>
      </c>
      <c r="O60" s="544">
        <f>AK60</f>
        <v>0</v>
      </c>
      <c r="P60" s="545">
        <f t="shared" si="4"/>
        <v>0</v>
      </c>
      <c r="Q60" s="642">
        <v>1</v>
      </c>
      <c r="R60" s="547">
        <f>AO60</f>
        <v>1</v>
      </c>
      <c r="S60" s="548">
        <f t="shared" si="5"/>
        <v>1</v>
      </c>
      <c r="T60" s="549">
        <f t="shared" si="28"/>
        <v>2</v>
      </c>
      <c r="U60" s="660">
        <f>SUM(I60,L60,O60,R60)</f>
        <v>2</v>
      </c>
      <c r="V60" s="551">
        <f t="shared" si="7"/>
        <v>1</v>
      </c>
      <c r="W60" s="551">
        <f>E60*V60</f>
        <v>0.01</v>
      </c>
      <c r="X60" s="643" t="s">
        <v>1349</v>
      </c>
      <c r="Y60" s="644" t="s">
        <v>1350</v>
      </c>
      <c r="Z60" s="644" t="s">
        <v>1351</v>
      </c>
      <c r="AA60" s="645" t="s">
        <v>542</v>
      </c>
      <c r="AB60" s="556">
        <f t="shared" si="24"/>
        <v>0</v>
      </c>
      <c r="AC60" s="556"/>
      <c r="AD60" s="557"/>
      <c r="AE60" s="557"/>
      <c r="AF60" s="558">
        <f t="shared" si="25"/>
        <v>1</v>
      </c>
      <c r="AG60" s="558">
        <v>1</v>
      </c>
      <c r="AH60" s="559" t="s">
        <v>1474</v>
      </c>
      <c r="AI60" s="560" t="s">
        <v>1353</v>
      </c>
      <c r="AJ60" s="556">
        <f t="shared" si="26"/>
        <v>0</v>
      </c>
      <c r="AK60" s="556"/>
      <c r="AL60" s="557"/>
      <c r="AM60" s="557"/>
      <c r="AN60" s="558">
        <f t="shared" si="27"/>
        <v>1</v>
      </c>
      <c r="AO60" s="583">
        <v>1</v>
      </c>
      <c r="AP60" s="584" t="s">
        <v>1354</v>
      </c>
      <c r="AQ60" s="584" t="s">
        <v>1355</v>
      </c>
    </row>
    <row r="61" spans="1:43" ht="26.25" thickBot="1">
      <c r="A61" s="719"/>
      <c r="B61" s="720" t="s">
        <v>1075</v>
      </c>
      <c r="C61" s="648"/>
      <c r="D61" s="768"/>
      <c r="E61" s="590"/>
      <c r="F61" s="591"/>
      <c r="G61" s="592"/>
      <c r="H61" s="650"/>
      <c r="I61" s="650"/>
      <c r="J61" s="593"/>
      <c r="K61" s="529"/>
      <c r="L61" s="529"/>
      <c r="M61" s="529"/>
      <c r="N61" s="529"/>
      <c r="O61" s="529"/>
      <c r="P61" s="529"/>
      <c r="Q61" s="594"/>
      <c r="R61" s="595"/>
      <c r="S61" s="595"/>
      <c r="T61" s="651"/>
      <c r="U61" s="597"/>
      <c r="V61" s="597"/>
      <c r="W61" s="597"/>
      <c r="X61" s="769"/>
      <c r="Y61" s="770"/>
      <c r="Z61" s="771"/>
      <c r="AA61" s="772"/>
      <c r="AB61" s="556"/>
      <c r="AC61" s="556"/>
      <c r="AD61" s="557"/>
      <c r="AE61" s="557"/>
      <c r="AF61" s="558"/>
      <c r="AG61" s="558"/>
      <c r="AH61" s="559"/>
      <c r="AI61" s="560"/>
      <c r="AJ61" s="556"/>
      <c r="AK61" s="556"/>
      <c r="AL61" s="557"/>
      <c r="AM61" s="557"/>
      <c r="AN61" s="558"/>
      <c r="AO61" s="558"/>
      <c r="AP61" s="559"/>
      <c r="AQ61" s="559"/>
    </row>
    <row r="62" spans="1:43" ht="68.25" customHeight="1" thickBot="1">
      <c r="A62" s="1598" t="s">
        <v>1607</v>
      </c>
      <c r="B62" s="1597" t="s">
        <v>1608</v>
      </c>
      <c r="C62" s="656">
        <v>17.100000000000001</v>
      </c>
      <c r="D62" s="790" t="s">
        <v>1609</v>
      </c>
      <c r="E62" s="608">
        <v>0.02</v>
      </c>
      <c r="F62" s="541" t="s">
        <v>538</v>
      </c>
      <c r="G62" s="542" t="s">
        <v>532</v>
      </c>
      <c r="H62" s="791">
        <v>1</v>
      </c>
      <c r="I62" s="544">
        <f>AC62</f>
        <v>1</v>
      </c>
      <c r="J62" s="545">
        <f t="shared" si="1"/>
        <v>1</v>
      </c>
      <c r="K62" s="792">
        <v>0</v>
      </c>
      <c r="L62" s="547">
        <f>AG62</f>
        <v>0</v>
      </c>
      <c r="M62" s="548">
        <f t="shared" si="2"/>
        <v>0</v>
      </c>
      <c r="N62" s="791">
        <v>0</v>
      </c>
      <c r="O62" s="544">
        <f>AK62</f>
        <v>0</v>
      </c>
      <c r="P62" s="545">
        <f t="shared" si="4"/>
        <v>0</v>
      </c>
      <c r="Q62" s="792">
        <v>0</v>
      </c>
      <c r="R62" s="547">
        <f>AO62</f>
        <v>0</v>
      </c>
      <c r="S62" s="548">
        <f t="shared" si="5"/>
        <v>0</v>
      </c>
      <c r="T62" s="549">
        <f t="shared" ref="T62:U65" si="29">SUM(H62,K62,N62,Q62)</f>
        <v>1</v>
      </c>
      <c r="U62" s="660">
        <f t="shared" si="29"/>
        <v>1</v>
      </c>
      <c r="V62" s="551">
        <f t="shared" si="7"/>
        <v>1</v>
      </c>
      <c r="W62" s="551">
        <f>E62*V62</f>
        <v>0.02</v>
      </c>
      <c r="X62" s="793" t="s">
        <v>1610</v>
      </c>
      <c r="Y62" s="794" t="s">
        <v>1611</v>
      </c>
      <c r="Z62" s="794" t="s">
        <v>1612</v>
      </c>
      <c r="AA62" s="779" t="s">
        <v>542</v>
      </c>
      <c r="AB62" s="556">
        <f t="shared" si="24"/>
        <v>1</v>
      </c>
      <c r="AC62" s="556">
        <v>1</v>
      </c>
      <c r="AD62" s="557" t="s">
        <v>1613</v>
      </c>
      <c r="AE62" s="557" t="s">
        <v>1614</v>
      </c>
      <c r="AF62" s="558">
        <f t="shared" si="25"/>
        <v>0</v>
      </c>
      <c r="AG62" s="558"/>
      <c r="AH62" s="559"/>
      <c r="AI62" s="560"/>
      <c r="AJ62" s="556">
        <f t="shared" si="26"/>
        <v>0</v>
      </c>
      <c r="AK62" s="556"/>
      <c r="AL62" s="557"/>
      <c r="AM62" s="557"/>
      <c r="AN62" s="558">
        <f t="shared" si="27"/>
        <v>0</v>
      </c>
      <c r="AO62" s="558"/>
      <c r="AP62" s="559"/>
      <c r="AQ62" s="559"/>
    </row>
    <row r="63" spans="1:43" ht="51.75" thickBot="1">
      <c r="A63" s="1598"/>
      <c r="B63" s="1597"/>
      <c r="C63" s="664">
        <v>17.2</v>
      </c>
      <c r="D63" s="795" t="s">
        <v>1615</v>
      </c>
      <c r="E63" s="619">
        <v>0.02</v>
      </c>
      <c r="F63" s="564" t="s">
        <v>538</v>
      </c>
      <c r="G63" s="565" t="s">
        <v>532</v>
      </c>
      <c r="H63" s="796">
        <v>0</v>
      </c>
      <c r="I63" s="544">
        <f>AC63</f>
        <v>0</v>
      </c>
      <c r="J63" s="545">
        <f t="shared" si="1"/>
        <v>0</v>
      </c>
      <c r="K63" s="797">
        <v>1</v>
      </c>
      <c r="L63" s="547">
        <f>AG63</f>
        <v>1</v>
      </c>
      <c r="M63" s="548">
        <f t="shared" si="2"/>
        <v>1</v>
      </c>
      <c r="N63" s="796">
        <v>0</v>
      </c>
      <c r="O63" s="544">
        <f>AK63</f>
        <v>0</v>
      </c>
      <c r="P63" s="545">
        <f t="shared" si="4"/>
        <v>0</v>
      </c>
      <c r="Q63" s="797">
        <v>1</v>
      </c>
      <c r="R63" s="547">
        <f>AO63</f>
        <v>1</v>
      </c>
      <c r="S63" s="548">
        <f t="shared" si="5"/>
        <v>1</v>
      </c>
      <c r="T63" s="549">
        <f t="shared" si="29"/>
        <v>2</v>
      </c>
      <c r="U63" s="660">
        <f t="shared" si="29"/>
        <v>2</v>
      </c>
      <c r="V63" s="551">
        <f t="shared" si="7"/>
        <v>1</v>
      </c>
      <c r="W63" s="551">
        <f>E63*V63</f>
        <v>0.02</v>
      </c>
      <c r="X63" s="798" t="s">
        <v>1616</v>
      </c>
      <c r="Y63" s="596" t="s">
        <v>1617</v>
      </c>
      <c r="Z63" s="596" t="s">
        <v>1618</v>
      </c>
      <c r="AA63" s="763" t="s">
        <v>542</v>
      </c>
      <c r="AB63" s="556">
        <f t="shared" si="24"/>
        <v>0</v>
      </c>
      <c r="AC63" s="556"/>
      <c r="AD63" s="557"/>
      <c r="AE63" s="557"/>
      <c r="AF63" s="558">
        <f t="shared" si="25"/>
        <v>1</v>
      </c>
      <c r="AG63" s="558">
        <v>1</v>
      </c>
      <c r="AH63" s="559" t="s">
        <v>1619</v>
      </c>
      <c r="AI63" s="560" t="s">
        <v>1620</v>
      </c>
      <c r="AJ63" s="556">
        <f t="shared" si="26"/>
        <v>0</v>
      </c>
      <c r="AK63" s="556"/>
      <c r="AL63" s="557"/>
      <c r="AM63" s="557"/>
      <c r="AN63" s="558">
        <f t="shared" si="27"/>
        <v>1</v>
      </c>
      <c r="AO63" s="558">
        <v>1</v>
      </c>
      <c r="AP63" s="559" t="s">
        <v>1621</v>
      </c>
      <c r="AQ63" s="559" t="s">
        <v>1622</v>
      </c>
    </row>
    <row r="64" spans="1:43" ht="72.75" thickBot="1">
      <c r="A64" s="1598"/>
      <c r="B64" s="1597"/>
      <c r="C64" s="656">
        <v>17.3</v>
      </c>
      <c r="D64" s="799" t="s">
        <v>1623</v>
      </c>
      <c r="E64" s="619">
        <v>0.03</v>
      </c>
      <c r="F64" s="564" t="s">
        <v>537</v>
      </c>
      <c r="G64" s="565" t="s">
        <v>532</v>
      </c>
      <c r="H64" s="800">
        <v>0.22500000000000001</v>
      </c>
      <c r="I64" s="545">
        <f>AC64</f>
        <v>0.22500000000000001</v>
      </c>
      <c r="J64" s="545">
        <f t="shared" si="1"/>
        <v>1</v>
      </c>
      <c r="K64" s="801">
        <v>0.22500000000000001</v>
      </c>
      <c r="L64" s="548">
        <f>AG64</f>
        <v>0.58330000000000004</v>
      </c>
      <c r="M64" s="548">
        <f t="shared" si="2"/>
        <v>2.5924444444444448</v>
      </c>
      <c r="N64" s="800">
        <v>0.22500000000000001</v>
      </c>
      <c r="O64" s="545">
        <f>AK64</f>
        <v>0.23</v>
      </c>
      <c r="P64" s="545">
        <f t="shared" si="4"/>
        <v>1.0222222222222221</v>
      </c>
      <c r="Q64" s="801">
        <v>0.22</v>
      </c>
      <c r="R64" s="548">
        <f>AO64</f>
        <v>0.22</v>
      </c>
      <c r="S64" s="548">
        <f t="shared" si="5"/>
        <v>1</v>
      </c>
      <c r="T64" s="622">
        <f t="shared" si="29"/>
        <v>0.89500000000000002</v>
      </c>
      <c r="U64" s="666">
        <f t="shared" si="29"/>
        <v>1.2583</v>
      </c>
      <c r="V64" s="551">
        <f t="shared" si="7"/>
        <v>1</v>
      </c>
      <c r="W64" s="551">
        <f>E64*V64</f>
        <v>0.03</v>
      </c>
      <c r="X64" s="802" t="s">
        <v>1624</v>
      </c>
      <c r="Y64" s="803" t="s">
        <v>1625</v>
      </c>
      <c r="Z64" s="803" t="s">
        <v>1626</v>
      </c>
      <c r="AA64" s="763" t="s">
        <v>542</v>
      </c>
      <c r="AB64" s="627">
        <f t="shared" si="24"/>
        <v>0.22500000000000001</v>
      </c>
      <c r="AC64" s="634">
        <v>0.22500000000000001</v>
      </c>
      <c r="AD64" s="557" t="s">
        <v>1627</v>
      </c>
      <c r="AE64" s="557" t="s">
        <v>1628</v>
      </c>
      <c r="AF64" s="629">
        <f t="shared" si="25"/>
        <v>0.22500000000000001</v>
      </c>
      <c r="AG64" s="632">
        <v>0.58330000000000004</v>
      </c>
      <c r="AH64" s="559" t="s">
        <v>1629</v>
      </c>
      <c r="AI64" s="560" t="s">
        <v>1630</v>
      </c>
      <c r="AJ64" s="633">
        <f t="shared" si="26"/>
        <v>0.22500000000000001</v>
      </c>
      <c r="AK64" s="636">
        <v>0.23</v>
      </c>
      <c r="AL64" s="557" t="s">
        <v>1631</v>
      </c>
      <c r="AM64" s="557" t="s">
        <v>1622</v>
      </c>
      <c r="AN64" s="629">
        <f t="shared" si="27"/>
        <v>0.22</v>
      </c>
      <c r="AO64" s="630">
        <v>0.22</v>
      </c>
      <c r="AP64" s="559" t="s">
        <v>1632</v>
      </c>
      <c r="AQ64" s="559" t="s">
        <v>1622</v>
      </c>
    </row>
    <row r="65" spans="1:43" ht="98.25" customHeight="1" thickBot="1">
      <c r="A65" s="1598"/>
      <c r="B65" s="1597"/>
      <c r="C65" s="804">
        <v>17.399999999999999</v>
      </c>
      <c r="D65" s="805" t="s">
        <v>1348</v>
      </c>
      <c r="E65" s="638">
        <v>0.01</v>
      </c>
      <c r="F65" s="639" t="s">
        <v>538</v>
      </c>
      <c r="G65" s="640" t="s">
        <v>532</v>
      </c>
      <c r="H65" s="641">
        <v>0</v>
      </c>
      <c r="I65" s="544">
        <f>AC65</f>
        <v>0</v>
      </c>
      <c r="J65" s="545">
        <f t="shared" si="1"/>
        <v>0</v>
      </c>
      <c r="K65" s="642">
        <v>1</v>
      </c>
      <c r="L65" s="547">
        <f>AG65</f>
        <v>1</v>
      </c>
      <c r="M65" s="548">
        <f t="shared" si="2"/>
        <v>1</v>
      </c>
      <c r="N65" s="641">
        <v>0</v>
      </c>
      <c r="O65" s="544">
        <f>AK65</f>
        <v>0</v>
      </c>
      <c r="P65" s="545">
        <f t="shared" si="4"/>
        <v>0</v>
      </c>
      <c r="Q65" s="642">
        <v>1</v>
      </c>
      <c r="R65" s="547">
        <f>AO65</f>
        <v>1</v>
      </c>
      <c r="S65" s="548">
        <f t="shared" si="5"/>
        <v>1</v>
      </c>
      <c r="T65" s="549">
        <f t="shared" si="29"/>
        <v>2</v>
      </c>
      <c r="U65" s="660">
        <f t="shared" si="29"/>
        <v>2</v>
      </c>
      <c r="V65" s="551">
        <f t="shared" si="7"/>
        <v>1</v>
      </c>
      <c r="W65" s="551">
        <f>E65*V65</f>
        <v>0.01</v>
      </c>
      <c r="X65" s="643" t="s">
        <v>1349</v>
      </c>
      <c r="Y65" s="644" t="s">
        <v>1350</v>
      </c>
      <c r="Z65" s="644" t="s">
        <v>1351</v>
      </c>
      <c r="AA65" s="645" t="s">
        <v>542</v>
      </c>
      <c r="AB65" s="556">
        <f t="shared" si="24"/>
        <v>0</v>
      </c>
      <c r="AC65" s="556"/>
      <c r="AD65" s="557"/>
      <c r="AE65" s="557"/>
      <c r="AF65" s="558">
        <f t="shared" si="25"/>
        <v>1</v>
      </c>
      <c r="AG65" s="558">
        <v>1</v>
      </c>
      <c r="AH65" s="559" t="s">
        <v>1633</v>
      </c>
      <c r="AI65" s="560" t="s">
        <v>1634</v>
      </c>
      <c r="AJ65" s="556">
        <f t="shared" si="26"/>
        <v>0</v>
      </c>
      <c r="AK65" s="556"/>
      <c r="AL65" s="557"/>
      <c r="AM65" s="557"/>
      <c r="AN65" s="558">
        <f t="shared" si="27"/>
        <v>1</v>
      </c>
      <c r="AO65" s="583">
        <v>1</v>
      </c>
      <c r="AP65" s="584" t="s">
        <v>1354</v>
      </c>
      <c r="AQ65" s="584" t="s">
        <v>1355</v>
      </c>
    </row>
    <row r="66" spans="1:43">
      <c r="C66" s="806"/>
      <c r="E66" s="1312">
        <f>SUM(E11:E65)</f>
        <v>0.99500000000000066</v>
      </c>
    </row>
    <row r="71" spans="1:43">
      <c r="C71" s="807"/>
      <c r="D71" s="514" t="s">
        <v>1635</v>
      </c>
    </row>
    <row r="72" spans="1:43">
      <c r="C72" s="808"/>
      <c r="D72" s="514" t="s">
        <v>1636</v>
      </c>
    </row>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sheetData>
  <sheetProtection password="EEC9" sheet="1" objects="1" scenarios="1" selectLockedCells="1" selectUnlockedCells="1"/>
  <mergeCells count="42">
    <mergeCell ref="A1:D3"/>
    <mergeCell ref="E1:AA1"/>
    <mergeCell ref="E2:AA2"/>
    <mergeCell ref="E3:AA3"/>
    <mergeCell ref="A4:D4"/>
    <mergeCell ref="E4:AA4"/>
    <mergeCell ref="A5:D5"/>
    <mergeCell ref="E5:AA5"/>
    <mergeCell ref="A6:D6"/>
    <mergeCell ref="E6:AA6"/>
    <mergeCell ref="A7:A9"/>
    <mergeCell ref="B7:B9"/>
    <mergeCell ref="D7:D9"/>
    <mergeCell ref="E7:E9"/>
    <mergeCell ref="F7:F9"/>
    <mergeCell ref="G7:G9"/>
    <mergeCell ref="H7:T7"/>
    <mergeCell ref="X7:AA7"/>
    <mergeCell ref="H8:J8"/>
    <mergeCell ref="K8:M8"/>
    <mergeCell ref="N8:P8"/>
    <mergeCell ref="Q8:S8"/>
    <mergeCell ref="T8:V8"/>
    <mergeCell ref="X8:X9"/>
    <mergeCell ref="Y8:Z8"/>
    <mergeCell ref="AA8:AA9"/>
    <mergeCell ref="AB9:AE9"/>
    <mergeCell ref="AF9:AI9"/>
    <mergeCell ref="AJ9:AM9"/>
    <mergeCell ref="AN9:AQ9"/>
    <mergeCell ref="A11:A13"/>
    <mergeCell ref="B11:B13"/>
    <mergeCell ref="A56:A60"/>
    <mergeCell ref="B56:B60"/>
    <mergeCell ref="A62:A65"/>
    <mergeCell ref="B62:B65"/>
    <mergeCell ref="A15:A20"/>
    <mergeCell ref="B15:B20"/>
    <mergeCell ref="A22:A38"/>
    <mergeCell ref="B22:B38"/>
    <mergeCell ref="A40:A54"/>
    <mergeCell ref="B40:B54"/>
  </mergeCells>
  <pageMargins left="0.74791666666666667" right="0.74791666666666667" top="0.98402777777777772" bottom="0.98402777777777772" header="0.51180555555555551" footer="0.51180555555555551"/>
  <pageSetup paperSize="5" scale="70"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63"/>
  <sheetViews>
    <sheetView tabSelected="1" zoomScale="50" zoomScaleNormal="50" workbookViewId="0">
      <selection activeCell="E50" sqref="E33:E50"/>
    </sheetView>
  </sheetViews>
  <sheetFormatPr baseColWidth="10" defaultRowHeight="15.75"/>
  <cols>
    <col min="1" max="1" width="24.5703125" style="41" customWidth="1"/>
    <col min="2" max="2" width="18.42578125" style="41" customWidth="1"/>
    <col min="3" max="3" width="20.28515625" style="42" customWidth="1"/>
    <col min="4" max="4" width="39.85546875" style="41" customWidth="1"/>
    <col min="5" max="5" width="8.7109375" style="45" customWidth="1"/>
    <col min="6" max="6" width="11.7109375" style="41" customWidth="1"/>
    <col min="7" max="7" width="11.85546875" style="41" customWidth="1"/>
    <col min="8" max="8" width="7.7109375" style="41" customWidth="1"/>
    <col min="9" max="9" width="8.28515625" style="41" customWidth="1"/>
    <col min="10" max="10" width="10.85546875" style="41" customWidth="1"/>
    <col min="11" max="11" width="7.85546875" style="41" customWidth="1"/>
    <col min="12" max="12" width="8.140625" style="41" customWidth="1"/>
    <col min="13" max="13" width="12.42578125" style="41" customWidth="1"/>
    <col min="14" max="14" width="8.85546875" style="41" customWidth="1"/>
    <col min="15" max="15" width="13.140625" style="41" customWidth="1"/>
    <col min="16" max="16" width="12.42578125" style="41" bestFit="1" customWidth="1"/>
    <col min="17" max="17" width="12.85546875" style="41" customWidth="1"/>
    <col min="18" max="18" width="8.7109375" style="41" customWidth="1"/>
    <col min="19" max="19" width="12.28515625" style="41" customWidth="1"/>
    <col min="20" max="20" width="7.7109375" style="41" customWidth="1"/>
    <col min="21" max="21" width="12.140625" style="41" customWidth="1"/>
    <col min="22" max="22" width="10.28515625" style="41" customWidth="1"/>
    <col min="23" max="23" width="19.42578125" style="41" customWidth="1"/>
    <col min="24" max="24" width="29.140625" style="44" customWidth="1"/>
    <col min="25" max="25" width="24.28515625" style="44" customWidth="1"/>
    <col min="26" max="26" width="16.140625" style="44" customWidth="1"/>
    <col min="27" max="27" width="13.140625" style="41" customWidth="1"/>
    <col min="28" max="28" width="28.28515625" style="41" customWidth="1"/>
    <col min="29" max="29" width="18.140625" style="43" customWidth="1"/>
    <col min="30" max="30" width="23.5703125" style="43" customWidth="1"/>
    <col min="31" max="31" width="27" style="43" customWidth="1"/>
    <col min="32" max="32" width="20.28515625" style="42" customWidth="1"/>
    <col min="33" max="33" width="18.28515625" style="42" customWidth="1"/>
    <col min="34" max="34" width="31" style="41" customWidth="1"/>
    <col min="35" max="35" width="25" style="41" customWidth="1"/>
    <col min="36" max="36" width="30" style="41" customWidth="1"/>
    <col min="37" max="37" width="48.140625" style="41" customWidth="1"/>
    <col min="38" max="38" width="31.5703125" style="41" customWidth="1"/>
    <col min="39" max="39" width="34" style="41" customWidth="1"/>
    <col min="40" max="40" width="42.85546875" style="41" customWidth="1"/>
    <col min="41" max="41" width="17.85546875" style="40" customWidth="1"/>
    <col min="42" max="42" width="17.140625" style="40" customWidth="1"/>
    <col min="43" max="43" width="11.5703125" style="40" bestFit="1" customWidth="1"/>
    <col min="44" max="51" width="11.42578125" style="40"/>
    <col min="52" max="52" width="11.5703125" style="40" bestFit="1" customWidth="1"/>
    <col min="53" max="16384" width="11.42578125" style="40"/>
  </cols>
  <sheetData>
    <row r="1" spans="1:52" s="504" customFormat="1" ht="12.75" customHeight="1">
      <c r="A1" s="1710"/>
      <c r="B1" s="1711"/>
      <c r="C1" s="1711"/>
      <c r="D1" s="1712"/>
      <c r="E1" s="1716" t="s">
        <v>1262</v>
      </c>
      <c r="F1" s="1716"/>
      <c r="G1" s="1716"/>
      <c r="H1" s="1716"/>
      <c r="I1" s="1716"/>
      <c r="J1" s="1716"/>
      <c r="K1" s="1716"/>
      <c r="L1" s="1716"/>
      <c r="M1" s="1716"/>
      <c r="N1" s="1716"/>
      <c r="O1" s="1716"/>
      <c r="P1" s="1716"/>
      <c r="Q1" s="1716"/>
      <c r="R1" s="1716"/>
      <c r="S1" s="1716"/>
      <c r="T1" s="1716"/>
      <c r="U1" s="1716"/>
      <c r="V1" s="1716"/>
      <c r="W1" s="1716"/>
      <c r="X1" s="507"/>
      <c r="Y1" s="513"/>
      <c r="Z1" s="513"/>
      <c r="AA1" s="513"/>
      <c r="AB1" s="512"/>
      <c r="AC1" s="512"/>
      <c r="AD1" s="511"/>
      <c r="AE1" s="511"/>
      <c r="AF1" s="511"/>
      <c r="AG1" s="511"/>
      <c r="AH1" s="511"/>
      <c r="AI1" s="511"/>
      <c r="AJ1" s="511"/>
      <c r="AK1" s="511"/>
      <c r="AL1" s="511"/>
      <c r="AM1" s="511"/>
      <c r="AN1" s="511"/>
      <c r="AO1" s="510"/>
    </row>
    <row r="2" spans="1:52" s="504" customFormat="1" ht="12.75" customHeight="1">
      <c r="A2" s="1713"/>
      <c r="B2" s="1714"/>
      <c r="C2" s="1714"/>
      <c r="D2" s="1715"/>
      <c r="E2" s="1716" t="s">
        <v>1261</v>
      </c>
      <c r="F2" s="1716"/>
      <c r="G2" s="1716"/>
      <c r="H2" s="1716"/>
      <c r="I2" s="1716"/>
      <c r="J2" s="1716"/>
      <c r="K2" s="1716"/>
      <c r="L2" s="1716"/>
      <c r="M2" s="1716"/>
      <c r="N2" s="1716"/>
      <c r="O2" s="1716"/>
      <c r="P2" s="1716"/>
      <c r="Q2" s="1716"/>
      <c r="R2" s="1716"/>
      <c r="S2" s="1716"/>
      <c r="T2" s="1716"/>
      <c r="U2" s="1716"/>
      <c r="V2" s="1716"/>
      <c r="W2" s="1716"/>
      <c r="X2" s="507"/>
      <c r="Y2" s="509"/>
      <c r="Z2" s="509"/>
      <c r="AA2" s="509"/>
      <c r="AB2" s="506"/>
      <c r="AC2" s="506"/>
      <c r="AD2" s="501"/>
      <c r="AE2" s="501"/>
      <c r="AF2" s="501"/>
      <c r="AG2" s="501"/>
      <c r="AH2" s="501"/>
      <c r="AI2" s="501"/>
      <c r="AJ2" s="501"/>
      <c r="AK2" s="501"/>
      <c r="AL2" s="501"/>
      <c r="AM2" s="501"/>
      <c r="AN2" s="501"/>
      <c r="AO2" s="505"/>
    </row>
    <row r="3" spans="1:52" s="504" customFormat="1" ht="12.75" customHeight="1">
      <c r="A3" s="1713"/>
      <c r="B3" s="1714"/>
      <c r="C3" s="1714"/>
      <c r="D3" s="1715"/>
      <c r="E3" s="1717" t="s">
        <v>543</v>
      </c>
      <c r="F3" s="1718"/>
      <c r="G3" s="1718"/>
      <c r="H3" s="1718"/>
      <c r="I3" s="1718"/>
      <c r="J3" s="1718"/>
      <c r="K3" s="1718"/>
      <c r="L3" s="1718"/>
      <c r="M3" s="1719"/>
      <c r="N3" s="508">
        <v>2012</v>
      </c>
      <c r="O3" s="1716"/>
      <c r="P3" s="1716"/>
      <c r="Q3" s="1716"/>
      <c r="R3" s="1716"/>
      <c r="S3" s="1716"/>
      <c r="T3" s="1716"/>
      <c r="U3" s="1716"/>
      <c r="V3" s="1716"/>
      <c r="W3" s="1716"/>
      <c r="X3" s="507"/>
      <c r="Y3" s="507"/>
      <c r="Z3" s="507"/>
      <c r="AA3" s="507"/>
      <c r="AB3" s="506"/>
      <c r="AC3" s="501"/>
      <c r="AD3" s="501"/>
      <c r="AE3" s="501"/>
      <c r="AF3" s="501"/>
      <c r="AG3" s="501"/>
      <c r="AH3" s="501"/>
      <c r="AI3" s="501"/>
      <c r="AJ3" s="501"/>
      <c r="AK3" s="501"/>
      <c r="AL3" s="501"/>
      <c r="AM3" s="501"/>
      <c r="AN3" s="501"/>
      <c r="AO3" s="505"/>
    </row>
    <row r="4" spans="1:52" s="503" customFormat="1" ht="48.75" customHeight="1">
      <c r="A4" s="1713" t="s">
        <v>1260</v>
      </c>
      <c r="B4" s="1714"/>
      <c r="C4" s="1714"/>
      <c r="D4" s="1715"/>
      <c r="E4" s="1740" t="s">
        <v>1259</v>
      </c>
      <c r="F4" s="1740"/>
      <c r="G4" s="1740"/>
      <c r="H4" s="1740"/>
      <c r="I4" s="1740"/>
      <c r="J4" s="1740"/>
      <c r="K4" s="1740"/>
      <c r="L4" s="1740"/>
      <c r="M4" s="1740"/>
      <c r="N4" s="1740"/>
      <c r="O4" s="1740"/>
      <c r="P4" s="1740"/>
      <c r="Q4" s="1740"/>
      <c r="R4" s="1740"/>
      <c r="S4" s="1740"/>
      <c r="T4" s="1740"/>
      <c r="U4" s="1740"/>
      <c r="V4" s="1740"/>
      <c r="W4" s="1740"/>
      <c r="X4" s="497"/>
      <c r="Y4" s="500"/>
      <c r="Z4" s="500"/>
      <c r="AA4" s="500"/>
      <c r="AB4" s="500"/>
      <c r="AC4" s="496"/>
      <c r="AD4" s="496"/>
      <c r="AE4" s="496"/>
      <c r="AF4" s="496"/>
      <c r="AG4" s="496"/>
      <c r="AH4" s="496"/>
      <c r="AI4" s="496"/>
      <c r="AJ4" s="496"/>
      <c r="AK4" s="496"/>
      <c r="AL4" s="496"/>
      <c r="AM4" s="496"/>
      <c r="AN4" s="496"/>
      <c r="AO4" s="495"/>
    </row>
    <row r="5" spans="1:52" s="493" customFormat="1" ht="15" customHeight="1">
      <c r="A5" s="1713" t="s">
        <v>598</v>
      </c>
      <c r="B5" s="1714"/>
      <c r="C5" s="1714"/>
      <c r="D5" s="1715"/>
      <c r="E5" s="1742" t="s">
        <v>516</v>
      </c>
      <c r="F5" s="1742"/>
      <c r="G5" s="1742"/>
      <c r="H5" s="1742"/>
      <c r="I5" s="1742"/>
      <c r="J5" s="1742"/>
      <c r="K5" s="1742"/>
      <c r="L5" s="1742"/>
      <c r="M5" s="1742"/>
      <c r="N5" s="1742"/>
      <c r="O5" s="1742"/>
      <c r="P5" s="1742"/>
      <c r="Q5" s="1742"/>
      <c r="R5" s="1742"/>
      <c r="S5" s="1743" t="s">
        <v>1258</v>
      </c>
      <c r="T5" s="1743"/>
      <c r="U5" s="1743"/>
      <c r="V5" s="1743"/>
      <c r="W5" s="1736">
        <f>SUM(W11:W90)</f>
        <v>0.83132776431679134</v>
      </c>
      <c r="X5" s="497"/>
      <c r="Y5" s="496"/>
      <c r="Z5" s="496"/>
      <c r="AA5" s="502"/>
      <c r="AB5" s="501"/>
      <c r="AC5" s="501"/>
      <c r="AD5" s="500"/>
      <c r="AE5" s="500"/>
      <c r="AF5" s="500"/>
      <c r="AG5" s="500"/>
      <c r="AH5" s="500"/>
      <c r="AI5" s="500"/>
      <c r="AJ5" s="500"/>
      <c r="AK5" s="500"/>
      <c r="AL5" s="500"/>
      <c r="AM5" s="500"/>
      <c r="AN5" s="500"/>
      <c r="AO5" s="499"/>
      <c r="AP5" s="498"/>
      <c r="AQ5" s="498"/>
      <c r="AR5" s="498"/>
      <c r="AS5" s="498"/>
    </row>
    <row r="6" spans="1:52" s="493" customFormat="1" ht="23.25" customHeight="1" thickBot="1">
      <c r="A6" s="1737" t="s">
        <v>1257</v>
      </c>
      <c r="B6" s="1738"/>
      <c r="C6" s="1738"/>
      <c r="D6" s="1739"/>
      <c r="E6" s="1740" t="s">
        <v>1256</v>
      </c>
      <c r="F6" s="1741"/>
      <c r="G6" s="1741"/>
      <c r="H6" s="1741"/>
      <c r="I6" s="1741"/>
      <c r="J6" s="1741"/>
      <c r="K6" s="1741"/>
      <c r="L6" s="1741"/>
      <c r="M6" s="1741"/>
      <c r="N6" s="1741"/>
      <c r="O6" s="1741"/>
      <c r="P6" s="1741"/>
      <c r="Q6" s="1741"/>
      <c r="R6" s="1741"/>
      <c r="S6" s="1743"/>
      <c r="T6" s="1743"/>
      <c r="U6" s="1743"/>
      <c r="V6" s="1743"/>
      <c r="W6" s="1736"/>
      <c r="X6" s="497"/>
      <c r="Y6" s="496"/>
      <c r="Z6" s="496"/>
      <c r="AA6" s="496"/>
      <c r="AB6" s="496"/>
      <c r="AC6" s="496"/>
      <c r="AD6" s="496"/>
      <c r="AE6" s="496"/>
      <c r="AF6" s="496"/>
      <c r="AG6" s="496"/>
      <c r="AH6" s="496"/>
      <c r="AI6" s="496"/>
      <c r="AJ6" s="496"/>
      <c r="AK6" s="496"/>
      <c r="AL6" s="496"/>
      <c r="AM6" s="496"/>
      <c r="AN6" s="496"/>
      <c r="AO6" s="495"/>
      <c r="AP6" s="494"/>
      <c r="AQ6" s="494"/>
      <c r="AR6" s="494"/>
      <c r="AS6" s="494"/>
    </row>
    <row r="7" spans="1:52" s="153" customFormat="1" ht="25.5" customHeight="1" thickBot="1">
      <c r="A7" s="1652" t="s">
        <v>1255</v>
      </c>
      <c r="B7" s="1655" t="s">
        <v>256</v>
      </c>
      <c r="C7" s="1720" t="s">
        <v>1254</v>
      </c>
      <c r="D7" s="1688" t="s">
        <v>1253</v>
      </c>
      <c r="E7" s="1720" t="s">
        <v>1252</v>
      </c>
      <c r="F7" s="1691" t="s">
        <v>1251</v>
      </c>
      <c r="G7" s="1678" t="s">
        <v>1250</v>
      </c>
      <c r="H7" s="1685" t="s">
        <v>1249</v>
      </c>
      <c r="I7" s="1686"/>
      <c r="J7" s="1686"/>
      <c r="K7" s="1686"/>
      <c r="L7" s="1686"/>
      <c r="M7" s="1686"/>
      <c r="N7" s="1686"/>
      <c r="O7" s="1686"/>
      <c r="P7" s="1686"/>
      <c r="Q7" s="1686"/>
      <c r="R7" s="1686"/>
      <c r="S7" s="1686"/>
      <c r="T7" s="1686"/>
      <c r="U7" s="1686"/>
      <c r="V7" s="1687"/>
      <c r="W7" s="1695" t="s">
        <v>1248</v>
      </c>
      <c r="X7" s="1649" t="s">
        <v>544</v>
      </c>
      <c r="Y7" s="1650"/>
      <c r="Z7" s="1650"/>
      <c r="AA7" s="1651"/>
      <c r="AB7" s="1645" t="s">
        <v>1247</v>
      </c>
      <c r="AC7" s="1628" t="s">
        <v>1246</v>
      </c>
      <c r="AD7" s="1628"/>
      <c r="AE7" s="1629"/>
      <c r="AF7" s="1627" t="s">
        <v>1245</v>
      </c>
      <c r="AG7" s="1628"/>
      <c r="AH7" s="1628"/>
      <c r="AI7" s="1627" t="s">
        <v>1244</v>
      </c>
      <c r="AJ7" s="1628"/>
      <c r="AK7" s="1629"/>
      <c r="AL7" s="1630" t="s">
        <v>1243</v>
      </c>
      <c r="AM7" s="1630"/>
      <c r="AN7" s="1631"/>
      <c r="AP7" s="487"/>
    </row>
    <row r="8" spans="1:52" s="153" customFormat="1" ht="27.75" customHeight="1">
      <c r="A8" s="1653"/>
      <c r="B8" s="1656"/>
      <c r="C8" s="1721"/>
      <c r="D8" s="1689"/>
      <c r="E8" s="1721"/>
      <c r="F8" s="1692"/>
      <c r="G8" s="1679"/>
      <c r="H8" s="1694" t="s">
        <v>1242</v>
      </c>
      <c r="I8" s="1682"/>
      <c r="J8" s="1684"/>
      <c r="K8" s="1681" t="s">
        <v>1241</v>
      </c>
      <c r="L8" s="1682"/>
      <c r="M8" s="1683"/>
      <c r="N8" s="1694" t="s">
        <v>1240</v>
      </c>
      <c r="O8" s="1682"/>
      <c r="P8" s="1683"/>
      <c r="Q8" s="1681" t="s">
        <v>1239</v>
      </c>
      <c r="R8" s="1682"/>
      <c r="S8" s="1684"/>
      <c r="T8" s="1681" t="s">
        <v>1238</v>
      </c>
      <c r="U8" s="1682"/>
      <c r="V8" s="1683"/>
      <c r="W8" s="1696"/>
      <c r="X8" s="1642" t="s">
        <v>1237</v>
      </c>
      <c r="Y8" s="1643" t="s">
        <v>1236</v>
      </c>
      <c r="Z8" s="1644"/>
      <c r="AA8" s="1638" t="s">
        <v>1235</v>
      </c>
      <c r="AB8" s="1646"/>
      <c r="AC8" s="1648" t="s">
        <v>1234</v>
      </c>
      <c r="AD8" s="1636"/>
      <c r="AE8" s="1637" t="s">
        <v>1233</v>
      </c>
      <c r="AF8" s="1635" t="s">
        <v>1234</v>
      </c>
      <c r="AG8" s="1636"/>
      <c r="AH8" s="1638" t="s">
        <v>1233</v>
      </c>
      <c r="AI8" s="1635" t="s">
        <v>1234</v>
      </c>
      <c r="AJ8" s="1636"/>
      <c r="AK8" s="1637" t="s">
        <v>1233</v>
      </c>
      <c r="AL8" s="1633" t="s">
        <v>1234</v>
      </c>
      <c r="AM8" s="1634"/>
      <c r="AN8" s="1632" t="s">
        <v>1233</v>
      </c>
      <c r="AP8" s="487"/>
      <c r="AQ8" s="486"/>
    </row>
    <row r="9" spans="1:52" s="153" customFormat="1" ht="33" customHeight="1" thickBot="1">
      <c r="A9" s="1654"/>
      <c r="B9" s="1657"/>
      <c r="C9" s="1722"/>
      <c r="D9" s="1690"/>
      <c r="E9" s="1722"/>
      <c r="F9" s="1693"/>
      <c r="G9" s="1680"/>
      <c r="H9" s="319" t="s">
        <v>1232</v>
      </c>
      <c r="I9" s="233" t="s">
        <v>1231</v>
      </c>
      <c r="J9" s="492" t="s">
        <v>1228</v>
      </c>
      <c r="K9" s="234" t="s">
        <v>1232</v>
      </c>
      <c r="L9" s="233" t="s">
        <v>1231</v>
      </c>
      <c r="M9" s="491" t="s">
        <v>1228</v>
      </c>
      <c r="N9" s="319" t="s">
        <v>1232</v>
      </c>
      <c r="O9" s="233" t="s">
        <v>1231</v>
      </c>
      <c r="P9" s="491" t="s">
        <v>1228</v>
      </c>
      <c r="Q9" s="234" t="s">
        <v>1232</v>
      </c>
      <c r="R9" s="233" t="s">
        <v>1231</v>
      </c>
      <c r="S9" s="492" t="s">
        <v>1228</v>
      </c>
      <c r="T9" s="234" t="s">
        <v>1230</v>
      </c>
      <c r="U9" s="233" t="s">
        <v>1229</v>
      </c>
      <c r="V9" s="491" t="s">
        <v>1228</v>
      </c>
      <c r="W9" s="1697"/>
      <c r="X9" s="1642"/>
      <c r="Y9" s="490" t="s">
        <v>1227</v>
      </c>
      <c r="Z9" s="490" t="s">
        <v>1226</v>
      </c>
      <c r="AA9" s="1638"/>
      <c r="AB9" s="1647"/>
      <c r="AC9" s="319" t="s">
        <v>1227</v>
      </c>
      <c r="AD9" s="233" t="s">
        <v>1226</v>
      </c>
      <c r="AE9" s="1637"/>
      <c r="AF9" s="234" t="s">
        <v>1227</v>
      </c>
      <c r="AG9" s="233" t="s">
        <v>1226</v>
      </c>
      <c r="AH9" s="1638"/>
      <c r="AI9" s="234" t="s">
        <v>1227</v>
      </c>
      <c r="AJ9" s="233" t="s">
        <v>1226</v>
      </c>
      <c r="AK9" s="1637"/>
      <c r="AL9" s="489" t="s">
        <v>1227</v>
      </c>
      <c r="AM9" s="488" t="s">
        <v>1226</v>
      </c>
      <c r="AN9" s="1632"/>
      <c r="AP9" s="487"/>
      <c r="AQ9" s="486"/>
    </row>
    <row r="10" spans="1:52" s="153" customFormat="1" ht="34.5" customHeight="1" thickBot="1">
      <c r="A10" s="485"/>
      <c r="B10" s="1701" t="s">
        <v>1225</v>
      </c>
      <c r="C10" s="1702"/>
      <c r="D10" s="484"/>
      <c r="E10" s="483"/>
      <c r="F10" s="482"/>
      <c r="G10" s="365"/>
      <c r="H10" s="478"/>
      <c r="I10" s="477"/>
      <c r="J10" s="479"/>
      <c r="K10" s="478"/>
      <c r="L10" s="477"/>
      <c r="M10" s="476"/>
      <c r="N10" s="481"/>
      <c r="O10" s="477"/>
      <c r="P10" s="480"/>
      <c r="Q10" s="477"/>
      <c r="R10" s="477"/>
      <c r="S10" s="479"/>
      <c r="T10" s="478"/>
      <c r="U10" s="477"/>
      <c r="V10" s="476"/>
      <c r="W10" s="475"/>
      <c r="X10" s="474"/>
      <c r="Y10" s="474"/>
      <c r="Z10" s="474"/>
      <c r="AA10" s="470"/>
      <c r="AB10" s="473"/>
      <c r="AC10" s="472"/>
      <c r="AD10" s="471"/>
      <c r="AE10" s="470"/>
      <c r="AF10" s="469"/>
      <c r="AG10" s="466"/>
      <c r="AH10" s="468"/>
      <c r="AI10" s="467"/>
      <c r="AJ10" s="466"/>
      <c r="AK10" s="465"/>
      <c r="AL10" s="464"/>
      <c r="AM10" s="463"/>
      <c r="AN10" s="462"/>
    </row>
    <row r="11" spans="1:52" s="153" customFormat="1" ht="76.5" customHeight="1" thickBot="1">
      <c r="A11" s="1703" t="s">
        <v>518</v>
      </c>
      <c r="B11" s="1639" t="s">
        <v>692</v>
      </c>
      <c r="C11" s="461">
        <v>2.1</v>
      </c>
      <c r="D11" s="460" t="s">
        <v>1224</v>
      </c>
      <c r="E11" s="278">
        <v>0.01</v>
      </c>
      <c r="F11" s="277" t="s">
        <v>538</v>
      </c>
      <c r="G11" s="276" t="s">
        <v>532</v>
      </c>
      <c r="H11" s="227">
        <v>0</v>
      </c>
      <c r="I11" s="224">
        <f t="shared" ref="I11:I16" si="0">IF($F11="Cantidad",AC11,IF(ISERROR(AC11/AD11),0,AC11/AD11))</f>
        <v>0</v>
      </c>
      <c r="J11" s="223">
        <f t="shared" ref="J11:J16" si="1">IF(ISERROR(I11/H11),0,(I11/H11))</f>
        <v>0</v>
      </c>
      <c r="K11" s="227">
        <v>0</v>
      </c>
      <c r="L11" s="224">
        <f t="shared" ref="L11:L16" si="2">IF($F11="Cantidad",AF11,IF(ISERROR(AF11/AG11),0,AF11/AG11))</f>
        <v>0</v>
      </c>
      <c r="M11" s="223">
        <f t="shared" ref="M11:M16" si="3">IF(ISERROR(L11/K11),0,(L11/K11))</f>
        <v>0</v>
      </c>
      <c r="N11" s="227">
        <v>1</v>
      </c>
      <c r="O11" s="224">
        <f t="shared" ref="O11:O16" si="4">IF($F11="Cantidad",AI11,IF(ISERROR(AI11/AJ11),0,AI11/AJ11))</f>
        <v>1</v>
      </c>
      <c r="P11" s="223">
        <f t="shared" ref="P11:P16" si="5">IF(ISERROR(O11/N11),0,(O11/N11))</f>
        <v>1</v>
      </c>
      <c r="Q11" s="226">
        <v>0</v>
      </c>
      <c r="R11" s="224">
        <f t="shared" ref="R11:R16" si="6">IF($F11="Cantidad",AL11,IF(ISERROR(AL11/AM11),0,AL11/AM11))</f>
        <v>0</v>
      </c>
      <c r="S11" s="223">
        <f t="shared" ref="S11:S16" si="7">IF(ISERROR(R11/Q11),0,(R11/Q11))</f>
        <v>0</v>
      </c>
      <c r="T11" s="225">
        <f>IF(G11="SUMA",(H11+K11+N11+Q11),(H11))</f>
        <v>1</v>
      </c>
      <c r="U11" s="224">
        <f>IF(ISERROR(AVERAGE(I11,L11,O11,R11)),0,IF(G11="Suma",(I11+L11+O11+R11),AVERAGE(I11,L11,O11,R11)))</f>
        <v>1</v>
      </c>
      <c r="V11" s="223">
        <f t="shared" ref="V11:V16" si="8">IF(IF(ISERROR(U11/T11),0,(U11/T11))&gt;100%,100%,IF(ISERROR(U11/T11),0,(U11/T11)))</f>
        <v>1</v>
      </c>
      <c r="W11" s="459">
        <f t="shared" ref="W11:W16" si="9">+V11*E11</f>
        <v>0.01</v>
      </c>
      <c r="X11" s="275" t="s">
        <v>1223</v>
      </c>
      <c r="Y11" s="343" t="s">
        <v>1222</v>
      </c>
      <c r="Z11" s="343" t="s">
        <v>1221</v>
      </c>
      <c r="AA11" s="272" t="s">
        <v>542</v>
      </c>
      <c r="AB11" s="458" t="s">
        <v>1220</v>
      </c>
      <c r="AC11" s="270"/>
      <c r="AD11" s="269"/>
      <c r="AE11" s="268"/>
      <c r="AF11" s="267"/>
      <c r="AG11" s="266"/>
      <c r="AH11" s="181" t="s">
        <v>732</v>
      </c>
      <c r="AI11" s="265">
        <v>1</v>
      </c>
      <c r="AJ11" s="264">
        <v>1</v>
      </c>
      <c r="AK11" s="263" t="s">
        <v>1219</v>
      </c>
      <c r="AL11" s="457"/>
      <c r="AM11" s="264"/>
      <c r="AN11" s="263"/>
      <c r="AZ11" s="452"/>
    </row>
    <row r="12" spans="1:52" s="153" customFormat="1" ht="85.5" customHeight="1" thickBot="1">
      <c r="A12" s="1704"/>
      <c r="B12" s="1621"/>
      <c r="C12" s="455">
        <v>2.2000000000000002</v>
      </c>
      <c r="D12" s="456" t="s">
        <v>1218</v>
      </c>
      <c r="E12" s="388">
        <v>0.01</v>
      </c>
      <c r="F12" s="442" t="s">
        <v>538</v>
      </c>
      <c r="G12" s="414" t="s">
        <v>532</v>
      </c>
      <c r="H12" s="209">
        <v>1</v>
      </c>
      <c r="I12" s="224">
        <f t="shared" si="0"/>
        <v>1</v>
      </c>
      <c r="J12" s="171">
        <f t="shared" si="1"/>
        <v>1</v>
      </c>
      <c r="K12" s="209">
        <v>0</v>
      </c>
      <c r="L12" s="224">
        <f t="shared" si="2"/>
        <v>0</v>
      </c>
      <c r="M12" s="171">
        <f t="shared" si="3"/>
        <v>0</v>
      </c>
      <c r="N12" s="209">
        <v>0</v>
      </c>
      <c r="O12" s="224">
        <f t="shared" si="4"/>
        <v>0</v>
      </c>
      <c r="P12" s="171">
        <f t="shared" si="5"/>
        <v>0</v>
      </c>
      <c r="Q12" s="208">
        <v>0</v>
      </c>
      <c r="R12" s="224">
        <f t="shared" si="6"/>
        <v>0</v>
      </c>
      <c r="S12" s="171">
        <f t="shared" si="7"/>
        <v>0</v>
      </c>
      <c r="T12" s="206">
        <f>IF(G12="SUMA",(H12+K12+N12+Q12),(H12))</f>
        <v>1</v>
      </c>
      <c r="U12" s="205">
        <f>IF(ISERROR(AVERAGE(I12,L12,O12,R12)),0,IF(G12="Suma",(I12+L12+O12+R12),AVERAGE(I12,L12,O12,R12)))</f>
        <v>1</v>
      </c>
      <c r="V12" s="171">
        <f t="shared" si="8"/>
        <v>1</v>
      </c>
      <c r="W12" s="453">
        <f t="shared" si="9"/>
        <v>0.01</v>
      </c>
      <c r="X12" s="190" t="s">
        <v>1217</v>
      </c>
      <c r="Y12" s="204" t="s">
        <v>1217</v>
      </c>
      <c r="Z12" s="204"/>
      <c r="AA12" s="248" t="s">
        <v>542</v>
      </c>
      <c r="AB12" s="247" t="s">
        <v>1216</v>
      </c>
      <c r="AC12" s="186">
        <v>1</v>
      </c>
      <c r="AD12" s="185">
        <v>1</v>
      </c>
      <c r="AE12" s="184" t="s">
        <v>1215</v>
      </c>
      <c r="AF12" s="183"/>
      <c r="AG12" s="182"/>
      <c r="AH12" s="181" t="s">
        <v>732</v>
      </c>
      <c r="AI12" s="230"/>
      <c r="AJ12" s="229"/>
      <c r="AK12" s="228" t="s">
        <v>1214</v>
      </c>
      <c r="AL12" s="253"/>
      <c r="AM12" s="229"/>
      <c r="AN12" s="228"/>
      <c r="AZ12" s="452"/>
    </row>
    <row r="13" spans="1:52" s="153" customFormat="1" ht="114.75" customHeight="1" thickBot="1">
      <c r="A13" s="1704"/>
      <c r="B13" s="1621"/>
      <c r="C13" s="455">
        <v>2.2999999999999998</v>
      </c>
      <c r="D13" s="454" t="s">
        <v>1213</v>
      </c>
      <c r="E13" s="367">
        <v>0.01</v>
      </c>
      <c r="F13" s="442" t="s">
        <v>538</v>
      </c>
      <c r="G13" s="414" t="s">
        <v>532</v>
      </c>
      <c r="H13" s="209">
        <v>3</v>
      </c>
      <c r="I13" s="224">
        <f t="shared" si="0"/>
        <v>3</v>
      </c>
      <c r="J13" s="171">
        <f t="shared" si="1"/>
        <v>1</v>
      </c>
      <c r="K13" s="209">
        <v>0</v>
      </c>
      <c r="L13" s="224">
        <f t="shared" si="2"/>
        <v>0</v>
      </c>
      <c r="M13" s="171">
        <f t="shared" si="3"/>
        <v>0</v>
      </c>
      <c r="N13" s="209">
        <v>0</v>
      </c>
      <c r="O13" s="224">
        <f t="shared" si="4"/>
        <v>0</v>
      </c>
      <c r="P13" s="171">
        <f t="shared" si="5"/>
        <v>0</v>
      </c>
      <c r="Q13" s="208">
        <v>0</v>
      </c>
      <c r="R13" s="224">
        <f t="shared" si="6"/>
        <v>0</v>
      </c>
      <c r="S13" s="171">
        <f t="shared" si="7"/>
        <v>0</v>
      </c>
      <c r="T13" s="206">
        <f>IF(G13="SUMA",(H13+K13+N13+Q13),(H13))</f>
        <v>3</v>
      </c>
      <c r="U13" s="205">
        <f>IF(ISERROR(AVERAGE(I13,L13,O13,R13)),0,IF(G13="Suma",(I13+L13+O13+R13),AVERAGE(I13,L13,O13,R13)))</f>
        <v>3</v>
      </c>
      <c r="V13" s="171">
        <f t="shared" si="8"/>
        <v>1</v>
      </c>
      <c r="W13" s="453">
        <f t="shared" si="9"/>
        <v>0.01</v>
      </c>
      <c r="X13" s="190" t="s">
        <v>1212</v>
      </c>
      <c r="Y13" s="204" t="s">
        <v>1211</v>
      </c>
      <c r="Z13" s="204" t="s">
        <v>1210</v>
      </c>
      <c r="AA13" s="248" t="s">
        <v>542</v>
      </c>
      <c r="AB13" s="247" t="s">
        <v>1209</v>
      </c>
      <c r="AC13" s="186">
        <v>3</v>
      </c>
      <c r="AD13" s="185">
        <v>3</v>
      </c>
      <c r="AE13" s="184" t="s">
        <v>1208</v>
      </c>
      <c r="AF13" s="183"/>
      <c r="AG13" s="182"/>
      <c r="AH13" s="181" t="s">
        <v>732</v>
      </c>
      <c r="AI13" s="230">
        <v>0</v>
      </c>
      <c r="AJ13" s="229">
        <v>0</v>
      </c>
      <c r="AK13" s="228" t="s">
        <v>1207</v>
      </c>
      <c r="AL13" s="253"/>
      <c r="AM13" s="229"/>
      <c r="AN13" s="228"/>
      <c r="AZ13" s="452"/>
    </row>
    <row r="14" spans="1:52" s="153" customFormat="1" ht="95.25" customHeight="1" thickBot="1">
      <c r="A14" s="1705"/>
      <c r="B14" s="1626"/>
      <c r="C14" s="386">
        <v>2.4</v>
      </c>
      <c r="D14" s="451" t="s">
        <v>1206</v>
      </c>
      <c r="E14" s="401">
        <v>0.01</v>
      </c>
      <c r="F14" s="177" t="s">
        <v>537</v>
      </c>
      <c r="G14" s="324" t="s">
        <v>532</v>
      </c>
      <c r="H14" s="382">
        <v>0.111</v>
      </c>
      <c r="I14" s="392">
        <f t="shared" si="0"/>
        <v>0.1111111111111111</v>
      </c>
      <c r="J14" s="238">
        <f t="shared" si="1"/>
        <v>1.0010010010010009</v>
      </c>
      <c r="K14" s="382">
        <v>0.222</v>
      </c>
      <c r="L14" s="392">
        <f t="shared" si="2"/>
        <v>0.17222222222222222</v>
      </c>
      <c r="M14" s="238">
        <f t="shared" si="3"/>
        <v>0.77577577577577572</v>
      </c>
      <c r="N14" s="382">
        <v>0.33300000000000002</v>
      </c>
      <c r="O14" s="392">
        <f t="shared" si="4"/>
        <v>0.33333333333333331</v>
      </c>
      <c r="P14" s="238">
        <f t="shared" si="5"/>
        <v>1.0010010010010009</v>
      </c>
      <c r="Q14" s="382">
        <v>0.33300000000000002</v>
      </c>
      <c r="R14" s="392">
        <f t="shared" si="6"/>
        <v>0.33333333333333331</v>
      </c>
      <c r="S14" s="238">
        <f t="shared" si="7"/>
        <v>1.0010010010010009</v>
      </c>
      <c r="T14" s="381">
        <f>IF(G14="SUMA",(H14+K14+N14+Q14),(H14))</f>
        <v>0.99900000000000011</v>
      </c>
      <c r="U14" s="380">
        <f>IF(ISERROR(AVERAGE(I14,L14,O14,R14)),0,IF(G14="Suma",(I14+L14+O14+R14),AVERAGE(I14,L14,O14,R14)))</f>
        <v>0.95</v>
      </c>
      <c r="V14" s="433">
        <f t="shared" si="8"/>
        <v>0.95095095095095084</v>
      </c>
      <c r="W14" s="432">
        <f t="shared" si="9"/>
        <v>9.5095095095095086E-3</v>
      </c>
      <c r="X14" s="169" t="s">
        <v>1205</v>
      </c>
      <c r="Y14" s="168" t="s">
        <v>1204</v>
      </c>
      <c r="Z14" s="168"/>
      <c r="AA14" s="236" t="s">
        <v>542</v>
      </c>
      <c r="AB14" s="327" t="s">
        <v>1203</v>
      </c>
      <c r="AC14" s="164">
        <v>1</v>
      </c>
      <c r="AD14" s="163">
        <v>9</v>
      </c>
      <c r="AE14" s="238" t="s">
        <v>1202</v>
      </c>
      <c r="AF14" s="450">
        <v>1.55</v>
      </c>
      <c r="AG14" s="160">
        <v>9</v>
      </c>
      <c r="AH14" s="449" t="s">
        <v>1201</v>
      </c>
      <c r="AI14" s="448">
        <v>3</v>
      </c>
      <c r="AJ14" s="373">
        <v>9</v>
      </c>
      <c r="AK14" s="446" t="s">
        <v>1200</v>
      </c>
      <c r="AL14" s="447">
        <v>3</v>
      </c>
      <c r="AM14" s="370">
        <v>9</v>
      </c>
      <c r="AN14" s="446" t="s">
        <v>1199</v>
      </c>
    </row>
    <row r="15" spans="1:52" s="153" customFormat="1" ht="126.75" customHeight="1" thickBot="1">
      <c r="A15" s="1640" t="s">
        <v>524</v>
      </c>
      <c r="B15" s="1625" t="s">
        <v>689</v>
      </c>
      <c r="C15" s="445">
        <v>3.13</v>
      </c>
      <c r="D15" s="444" t="s">
        <v>1198</v>
      </c>
      <c r="E15" s="443">
        <v>0.01</v>
      </c>
      <c r="F15" s="442" t="s">
        <v>537</v>
      </c>
      <c r="G15" s="324" t="s">
        <v>531</v>
      </c>
      <c r="H15" s="382"/>
      <c r="I15" s="392">
        <f t="shared" si="0"/>
        <v>0</v>
      </c>
      <c r="J15" s="238">
        <f t="shared" si="1"/>
        <v>0</v>
      </c>
      <c r="K15" s="382"/>
      <c r="L15" s="392">
        <f t="shared" si="2"/>
        <v>0</v>
      </c>
      <c r="M15" s="238">
        <f t="shared" si="3"/>
        <v>0</v>
      </c>
      <c r="N15" s="382">
        <v>1</v>
      </c>
      <c r="O15" s="392">
        <f t="shared" si="4"/>
        <v>1</v>
      </c>
      <c r="P15" s="238">
        <f t="shared" si="5"/>
        <v>1</v>
      </c>
      <c r="Q15" s="382">
        <v>0</v>
      </c>
      <c r="R15" s="392">
        <f t="shared" si="6"/>
        <v>0</v>
      </c>
      <c r="S15" s="238">
        <f t="shared" si="7"/>
        <v>0</v>
      </c>
      <c r="T15" s="381">
        <f>IF(G15="SUMA",(H15+K15+N15+Q15),(N15))</f>
        <v>1</v>
      </c>
      <c r="U15" s="380">
        <f>IF(ISERROR(AVERAGE(I15,L15,O15,R15)),0,IF(G15="Suma",(I15+L15+O15+R15),AVERAGE(O15)))</f>
        <v>1</v>
      </c>
      <c r="V15" s="433">
        <f t="shared" si="8"/>
        <v>1</v>
      </c>
      <c r="W15" s="432">
        <f t="shared" si="9"/>
        <v>0.01</v>
      </c>
      <c r="X15" s="441" t="s">
        <v>1197</v>
      </c>
      <c r="Y15" s="440" t="s">
        <v>1196</v>
      </c>
      <c r="Z15" s="440" t="s">
        <v>1195</v>
      </c>
      <c r="AA15" s="439" t="s">
        <v>542</v>
      </c>
      <c r="AB15" s="438" t="s">
        <v>1194</v>
      </c>
      <c r="AC15" s="217"/>
      <c r="AD15" s="216"/>
      <c r="AE15" s="215" t="s">
        <v>1193</v>
      </c>
      <c r="AF15" s="214"/>
      <c r="AG15" s="202"/>
      <c r="AH15" s="437" t="s">
        <v>1192</v>
      </c>
      <c r="AI15" s="436">
        <v>2</v>
      </c>
      <c r="AJ15" s="212">
        <v>2</v>
      </c>
      <c r="AK15" s="154" t="s">
        <v>1191</v>
      </c>
      <c r="AL15" s="435"/>
      <c r="AM15" s="196"/>
      <c r="AN15" s="154"/>
    </row>
    <row r="16" spans="1:52" s="153" customFormat="1" ht="85.5" customHeight="1" thickBot="1">
      <c r="A16" s="1641"/>
      <c r="B16" s="1626"/>
      <c r="C16" s="403">
        <v>3.14</v>
      </c>
      <c r="D16" s="434" t="s">
        <v>1190</v>
      </c>
      <c r="E16" s="401">
        <v>0.01</v>
      </c>
      <c r="F16" s="177" t="s">
        <v>537</v>
      </c>
      <c r="G16" s="324" t="s">
        <v>531</v>
      </c>
      <c r="H16" s="382"/>
      <c r="I16" s="392">
        <f t="shared" si="0"/>
        <v>0</v>
      </c>
      <c r="J16" s="238">
        <f t="shared" si="1"/>
        <v>0</v>
      </c>
      <c r="K16" s="382"/>
      <c r="L16" s="392">
        <f t="shared" si="2"/>
        <v>0</v>
      </c>
      <c r="M16" s="238">
        <f t="shared" si="3"/>
        <v>0</v>
      </c>
      <c r="N16" s="382">
        <v>1</v>
      </c>
      <c r="O16" s="392">
        <f t="shared" si="4"/>
        <v>1</v>
      </c>
      <c r="P16" s="238">
        <f t="shared" si="5"/>
        <v>1</v>
      </c>
      <c r="Q16" s="382">
        <v>0</v>
      </c>
      <c r="R16" s="392">
        <f t="shared" si="6"/>
        <v>0</v>
      </c>
      <c r="S16" s="238">
        <f t="shared" si="7"/>
        <v>0</v>
      </c>
      <c r="T16" s="381">
        <f>IF(G16="SUMA",(H16+K16+N16+Q16),(N16))</f>
        <v>1</v>
      </c>
      <c r="U16" s="380">
        <f>IF(ISERROR(AVERAGE(I16,L16,O16,R16)),0,IF(G16="Suma",(I16+L16+O16+R16),AVERAGE(O16)))</f>
        <v>1</v>
      </c>
      <c r="V16" s="433">
        <f t="shared" si="8"/>
        <v>1</v>
      </c>
      <c r="W16" s="432">
        <f t="shared" si="9"/>
        <v>0.01</v>
      </c>
      <c r="X16" s="169" t="s">
        <v>1189</v>
      </c>
      <c r="Y16" s="168" t="s">
        <v>1188</v>
      </c>
      <c r="Z16" s="168" t="s">
        <v>1187</v>
      </c>
      <c r="AA16" s="236" t="s">
        <v>542</v>
      </c>
      <c r="AB16" s="431" t="s">
        <v>1186</v>
      </c>
      <c r="AC16" s="164"/>
      <c r="AD16" s="163"/>
      <c r="AE16" s="162" t="s">
        <v>1185</v>
      </c>
      <c r="AF16" s="161"/>
      <c r="AG16" s="160"/>
      <c r="AH16" s="157" t="s">
        <v>1185</v>
      </c>
      <c r="AI16" s="374">
        <v>2</v>
      </c>
      <c r="AJ16" s="373">
        <v>2</v>
      </c>
      <c r="AK16" s="154" t="s">
        <v>1184</v>
      </c>
      <c r="AL16" s="430"/>
      <c r="AM16" s="370"/>
      <c r="AN16" s="372"/>
    </row>
    <row r="17" spans="1:40" s="153" customFormat="1" ht="30" customHeight="1" thickBot="1">
      <c r="A17" s="429"/>
      <c r="B17" s="1698" t="s">
        <v>1183</v>
      </c>
      <c r="C17" s="1699"/>
      <c r="D17" s="355"/>
      <c r="E17" s="367"/>
      <c r="F17" s="366"/>
      <c r="G17" s="365"/>
      <c r="H17" s="428"/>
      <c r="I17" s="424"/>
      <c r="J17" s="423"/>
      <c r="K17" s="427"/>
      <c r="L17" s="424"/>
      <c r="M17" s="423"/>
      <c r="N17" s="427"/>
      <c r="O17" s="424"/>
      <c r="P17" s="423"/>
      <c r="Q17" s="426"/>
      <c r="R17" s="424"/>
      <c r="S17" s="423"/>
      <c r="T17" s="425"/>
      <c r="U17" s="424"/>
      <c r="V17" s="423"/>
      <c r="W17" s="422"/>
      <c r="X17" s="396"/>
      <c r="Y17" s="396"/>
      <c r="Z17" s="396"/>
      <c r="AA17" s="355"/>
      <c r="AB17" s="421"/>
      <c r="AC17" s="217"/>
      <c r="AD17" s="216"/>
      <c r="AE17" s="215"/>
      <c r="AF17" s="214"/>
      <c r="AG17" s="202"/>
      <c r="AH17" s="201"/>
      <c r="AI17" s="420"/>
      <c r="AJ17" s="419"/>
      <c r="AK17" s="154"/>
      <c r="AL17" s="197"/>
      <c r="AM17" s="196"/>
      <c r="AN17" s="154"/>
    </row>
    <row r="18" spans="1:40" s="153" customFormat="1" ht="90.75" customHeight="1" thickBot="1">
      <c r="A18" s="1658" t="s">
        <v>517</v>
      </c>
      <c r="B18" s="1700" t="s">
        <v>684</v>
      </c>
      <c r="C18" s="280" t="s">
        <v>1182</v>
      </c>
      <c r="D18" s="418" t="s">
        <v>1181</v>
      </c>
      <c r="E18" s="325">
        <v>0.03</v>
      </c>
      <c r="F18" s="277" t="s">
        <v>537</v>
      </c>
      <c r="G18" s="324" t="s">
        <v>531</v>
      </c>
      <c r="H18" s="391">
        <v>1</v>
      </c>
      <c r="I18" s="392">
        <f t="shared" ref="I18:I27" si="10">IF($F18="Cantidad",AC18,IF(ISERROR(AC18/AD18),0,AC18/AD18))</f>
        <v>1</v>
      </c>
      <c r="J18" s="223">
        <f t="shared" ref="J18:J27" si="11">IF(ISERROR(I18/H18),0,(I18/H18))</f>
        <v>1</v>
      </c>
      <c r="K18" s="391">
        <v>1</v>
      </c>
      <c r="L18" s="392">
        <f t="shared" ref="L18:L27" si="12">IF($F18="Cantidad",AF18,IF(ISERROR(AF18/AG18),0,AF18/AG18))</f>
        <v>0.92592592592592593</v>
      </c>
      <c r="M18" s="223">
        <f t="shared" ref="M18:M27" si="13">IF(ISERROR(L18/K18),0,(L18/K18))</f>
        <v>0.92592592592592593</v>
      </c>
      <c r="N18" s="391">
        <v>1</v>
      </c>
      <c r="O18" s="392">
        <f t="shared" ref="O18:O27" si="14">IF($F18="Cantidad",AI18,IF(ISERROR(AI18/AJ18),0,AI18/AJ18))</f>
        <v>1.0588235294117647</v>
      </c>
      <c r="P18" s="223">
        <f t="shared" ref="P18:P27" si="15">IF(ISERROR(O18/N18),0,(O18/N18))</f>
        <v>1.0588235294117647</v>
      </c>
      <c r="Q18" s="391">
        <v>1</v>
      </c>
      <c r="R18" s="392">
        <f t="shared" ref="R18:R27" si="16">IF($F18="Cantidad",AL18,IF(ISERROR(AL18/AM18),0,AL18/AM18))</f>
        <v>0</v>
      </c>
      <c r="S18" s="223">
        <f t="shared" ref="S18:S27" si="17">IF(ISERROR(R18/Q18),0,(R18/Q18))</f>
        <v>0</v>
      </c>
      <c r="T18" s="390">
        <f t="shared" ref="T18:T27" si="18">IF(G18="SUMA",(H18+K18+N18+Q18),(H18))</f>
        <v>1</v>
      </c>
      <c r="U18" s="174">
        <f t="shared" ref="U18:U27" si="19">IF(ISERROR(AVERAGE(I18,L18,O18,R18)),0,IF(G18="Suma",(I18+L18+O18+R18),AVERAGE(I18,L18,O18,R18)))</f>
        <v>0.74618736383442275</v>
      </c>
      <c r="V18" s="223">
        <f t="shared" ref="V18:V27" si="20">IF(IF(ISERROR(U18/T18),0,(U18/T18))&gt;100%,100%,IF(ISERROR(U18/T18),0,(U18/T18)))</f>
        <v>0.74618736383442275</v>
      </c>
      <c r="W18" s="222">
        <f t="shared" ref="W18:W27" si="21">+V18*E18</f>
        <v>2.238562091503268E-2</v>
      </c>
      <c r="X18" s="275" t="s">
        <v>1180</v>
      </c>
      <c r="Y18" s="343" t="s">
        <v>1179</v>
      </c>
      <c r="Z18" s="343" t="s">
        <v>1178</v>
      </c>
      <c r="AA18" s="272" t="s">
        <v>542</v>
      </c>
      <c r="AB18" s="417" t="s">
        <v>1177</v>
      </c>
      <c r="AC18" s="410">
        <v>23</v>
      </c>
      <c r="AD18" s="409">
        <v>23</v>
      </c>
      <c r="AE18" s="184" t="s">
        <v>1176</v>
      </c>
      <c r="AF18" s="183">
        <v>25</v>
      </c>
      <c r="AG18" s="182">
        <v>27</v>
      </c>
      <c r="AH18" s="181" t="s">
        <v>1175</v>
      </c>
      <c r="AI18" s="230">
        <v>18</v>
      </c>
      <c r="AJ18" s="229">
        <v>17</v>
      </c>
      <c r="AK18" s="181" t="s">
        <v>1175</v>
      </c>
      <c r="AL18" s="156"/>
      <c r="AM18" s="155"/>
      <c r="AN18" s="228"/>
    </row>
    <row r="19" spans="1:40" s="153" customFormat="1" ht="189.75" thickBot="1">
      <c r="A19" s="1659"/>
      <c r="B19" s="1659"/>
      <c r="C19" s="252">
        <v>8.1999999999999993</v>
      </c>
      <c r="D19" s="416" t="s">
        <v>1174</v>
      </c>
      <c r="E19" s="415">
        <v>0.01</v>
      </c>
      <c r="F19" s="192" t="s">
        <v>537</v>
      </c>
      <c r="G19" s="191" t="s">
        <v>531</v>
      </c>
      <c r="H19" s="175">
        <v>1</v>
      </c>
      <c r="I19" s="392">
        <f t="shared" si="10"/>
        <v>1</v>
      </c>
      <c r="J19" s="171">
        <f t="shared" si="11"/>
        <v>1</v>
      </c>
      <c r="K19" s="175">
        <v>1</v>
      </c>
      <c r="L19" s="392">
        <f t="shared" si="12"/>
        <v>0.8</v>
      </c>
      <c r="M19" s="171">
        <f t="shared" si="13"/>
        <v>0.8</v>
      </c>
      <c r="N19" s="175">
        <v>1</v>
      </c>
      <c r="O19" s="392">
        <f t="shared" si="14"/>
        <v>0.8</v>
      </c>
      <c r="P19" s="171">
        <f t="shared" si="15"/>
        <v>0.8</v>
      </c>
      <c r="Q19" s="175">
        <v>1</v>
      </c>
      <c r="R19" s="392">
        <f t="shared" si="16"/>
        <v>0.8</v>
      </c>
      <c r="S19" s="171">
        <f t="shared" si="17"/>
        <v>0.8</v>
      </c>
      <c r="T19" s="257">
        <f t="shared" si="18"/>
        <v>1</v>
      </c>
      <c r="U19" s="172">
        <f t="shared" si="19"/>
        <v>0.85000000000000009</v>
      </c>
      <c r="V19" s="171">
        <f t="shared" si="20"/>
        <v>0.85000000000000009</v>
      </c>
      <c r="W19" s="170">
        <f t="shared" si="21"/>
        <v>8.5000000000000006E-3</v>
      </c>
      <c r="X19" s="190" t="s">
        <v>1173</v>
      </c>
      <c r="Y19" s="204" t="s">
        <v>1172</v>
      </c>
      <c r="Z19" s="204" t="s">
        <v>1171</v>
      </c>
      <c r="AA19" s="248" t="s">
        <v>542</v>
      </c>
      <c r="AB19" s="404" t="s">
        <v>1170</v>
      </c>
      <c r="AC19" s="410">
        <v>25</v>
      </c>
      <c r="AD19" s="409">
        <v>25</v>
      </c>
      <c r="AE19" s="184" t="s">
        <v>1169</v>
      </c>
      <c r="AF19" s="183">
        <v>20</v>
      </c>
      <c r="AG19" s="182">
        <v>25</v>
      </c>
      <c r="AH19" s="198" t="s">
        <v>1168</v>
      </c>
      <c r="AI19" s="230">
        <v>20</v>
      </c>
      <c r="AJ19" s="229">
        <v>25</v>
      </c>
      <c r="AK19" s="198" t="s">
        <v>1167</v>
      </c>
      <c r="AL19" s="230">
        <v>20</v>
      </c>
      <c r="AM19" s="229">
        <v>25</v>
      </c>
      <c r="AN19" s="198" t="s">
        <v>1166</v>
      </c>
    </row>
    <row r="20" spans="1:40" s="153" customFormat="1" ht="76.5" customHeight="1" thickBot="1">
      <c r="A20" s="1659"/>
      <c r="B20" s="1659"/>
      <c r="C20" s="252">
        <v>8.2999999999999989</v>
      </c>
      <c r="D20" s="260" t="s">
        <v>1165</v>
      </c>
      <c r="E20" s="259">
        <v>0.03</v>
      </c>
      <c r="F20" s="192" t="s">
        <v>537</v>
      </c>
      <c r="G20" s="414" t="s">
        <v>532</v>
      </c>
      <c r="H20" s="257">
        <v>0.22</v>
      </c>
      <c r="I20" s="392">
        <f t="shared" si="10"/>
        <v>0.22399304652111629</v>
      </c>
      <c r="J20" s="171">
        <f t="shared" si="11"/>
        <v>1.0181502114596195</v>
      </c>
      <c r="K20" s="257">
        <v>0.2</v>
      </c>
      <c r="L20" s="392">
        <f t="shared" si="12"/>
        <v>7.1046372522760332E-2</v>
      </c>
      <c r="M20" s="171">
        <f t="shared" si="13"/>
        <v>0.35523186261380163</v>
      </c>
      <c r="N20" s="257">
        <v>0.4</v>
      </c>
      <c r="O20" s="392">
        <f t="shared" si="14"/>
        <v>0</v>
      </c>
      <c r="P20" s="171">
        <f t="shared" si="15"/>
        <v>0</v>
      </c>
      <c r="Q20" s="257">
        <v>0.18</v>
      </c>
      <c r="R20" s="392">
        <f t="shared" si="16"/>
        <v>0</v>
      </c>
      <c r="S20" s="171">
        <f t="shared" si="17"/>
        <v>0</v>
      </c>
      <c r="T20" s="173">
        <f t="shared" si="18"/>
        <v>1</v>
      </c>
      <c r="U20" s="172">
        <f t="shared" si="19"/>
        <v>0.29503941904387665</v>
      </c>
      <c r="V20" s="171">
        <f t="shared" si="20"/>
        <v>0.29503941904387665</v>
      </c>
      <c r="W20" s="170">
        <f t="shared" si="21"/>
        <v>8.8511825713162989E-3</v>
      </c>
      <c r="X20" s="190" t="s">
        <v>1164</v>
      </c>
      <c r="Y20" s="204" t="s">
        <v>1163</v>
      </c>
      <c r="Z20" s="204" t="s">
        <v>1162</v>
      </c>
      <c r="AA20" s="248" t="s">
        <v>542</v>
      </c>
      <c r="AB20" s="404" t="s">
        <v>1131</v>
      </c>
      <c r="AC20" s="410">
        <v>4168019603</v>
      </c>
      <c r="AD20" s="409">
        <v>18607808000</v>
      </c>
      <c r="AE20" s="184" t="s">
        <v>1161</v>
      </c>
      <c r="AF20" s="413">
        <v>1322017259</v>
      </c>
      <c r="AG20" s="412">
        <v>18607808000</v>
      </c>
      <c r="AH20" s="181" t="s">
        <v>1159</v>
      </c>
      <c r="AI20" s="230" t="s">
        <v>1160</v>
      </c>
      <c r="AJ20" s="229" t="s">
        <v>1128</v>
      </c>
      <c r="AK20" s="181" t="s">
        <v>1159</v>
      </c>
      <c r="AL20" s="156"/>
      <c r="AM20" s="155"/>
      <c r="AN20" s="228"/>
    </row>
    <row r="21" spans="1:40" s="153" customFormat="1" ht="205.5" thickBot="1">
      <c r="A21" s="1659"/>
      <c r="B21" s="1659"/>
      <c r="C21" s="252">
        <v>8.3999999999999986</v>
      </c>
      <c r="D21" s="260" t="s">
        <v>1158</v>
      </c>
      <c r="E21" s="259">
        <v>0.01</v>
      </c>
      <c r="F21" s="192" t="s">
        <v>537</v>
      </c>
      <c r="G21" s="191" t="s">
        <v>531</v>
      </c>
      <c r="H21" s="175">
        <v>1</v>
      </c>
      <c r="I21" s="392">
        <f t="shared" si="10"/>
        <v>0.8</v>
      </c>
      <c r="J21" s="171">
        <f t="shared" si="11"/>
        <v>0.8</v>
      </c>
      <c r="K21" s="175">
        <v>1</v>
      </c>
      <c r="L21" s="392">
        <f t="shared" si="12"/>
        <v>0.8</v>
      </c>
      <c r="M21" s="171">
        <f t="shared" si="13"/>
        <v>0.8</v>
      </c>
      <c r="N21" s="175">
        <v>1</v>
      </c>
      <c r="O21" s="392">
        <f t="shared" si="14"/>
        <v>0.8</v>
      </c>
      <c r="P21" s="171">
        <f t="shared" si="15"/>
        <v>0.8</v>
      </c>
      <c r="Q21" s="175">
        <v>1</v>
      </c>
      <c r="R21" s="392">
        <f t="shared" si="16"/>
        <v>0</v>
      </c>
      <c r="S21" s="171">
        <f t="shared" si="17"/>
        <v>0</v>
      </c>
      <c r="T21" s="257">
        <f t="shared" si="18"/>
        <v>1</v>
      </c>
      <c r="U21" s="172">
        <f t="shared" si="19"/>
        <v>0.60000000000000009</v>
      </c>
      <c r="V21" s="171">
        <f t="shared" si="20"/>
        <v>0.60000000000000009</v>
      </c>
      <c r="W21" s="170">
        <f t="shared" si="21"/>
        <v>6.000000000000001E-3</v>
      </c>
      <c r="X21" s="190" t="s">
        <v>1157</v>
      </c>
      <c r="Y21" s="190" t="s">
        <v>1156</v>
      </c>
      <c r="Z21" s="204" t="s">
        <v>1155</v>
      </c>
      <c r="AA21" s="248" t="s">
        <v>542</v>
      </c>
      <c r="AB21" s="411" t="s">
        <v>1154</v>
      </c>
      <c r="AC21" s="410">
        <v>4</v>
      </c>
      <c r="AD21" s="409">
        <v>5</v>
      </c>
      <c r="AE21" s="184" t="s">
        <v>1153</v>
      </c>
      <c r="AF21" s="183">
        <v>4</v>
      </c>
      <c r="AG21" s="182">
        <v>5</v>
      </c>
      <c r="AH21" s="198" t="s">
        <v>1153</v>
      </c>
      <c r="AI21" s="183">
        <v>4</v>
      </c>
      <c r="AJ21" s="182">
        <v>5</v>
      </c>
      <c r="AK21" s="198" t="s">
        <v>1153</v>
      </c>
      <c r="AL21" s="156"/>
      <c r="AM21" s="155"/>
      <c r="AN21" s="228"/>
    </row>
    <row r="22" spans="1:40" s="153" customFormat="1" ht="284.25" thickBot="1">
      <c r="A22" s="1659"/>
      <c r="B22" s="1659"/>
      <c r="C22" s="252">
        <v>8.4999999999999982</v>
      </c>
      <c r="D22" s="251" t="s">
        <v>1152</v>
      </c>
      <c r="E22" s="259">
        <v>0.01</v>
      </c>
      <c r="F22" s="192" t="s">
        <v>537</v>
      </c>
      <c r="G22" s="191" t="s">
        <v>532</v>
      </c>
      <c r="H22" s="257">
        <v>0.42</v>
      </c>
      <c r="I22" s="392">
        <f t="shared" si="10"/>
        <v>0.25041283979297962</v>
      </c>
      <c r="J22" s="171">
        <f t="shared" si="11"/>
        <v>0.59622104712614199</v>
      </c>
      <c r="K22" s="257">
        <v>0.15</v>
      </c>
      <c r="L22" s="392">
        <f t="shared" si="12"/>
        <v>0.13657176748052607</v>
      </c>
      <c r="M22" s="171">
        <f t="shared" si="13"/>
        <v>0.9104784498701739</v>
      </c>
      <c r="N22" s="257">
        <v>0.03</v>
      </c>
      <c r="O22" s="392">
        <f t="shared" si="14"/>
        <v>0</v>
      </c>
      <c r="P22" s="171">
        <f t="shared" si="15"/>
        <v>0</v>
      </c>
      <c r="Q22" s="257">
        <v>0</v>
      </c>
      <c r="R22" s="392">
        <f t="shared" si="16"/>
        <v>0</v>
      </c>
      <c r="S22" s="171">
        <f t="shared" si="17"/>
        <v>0</v>
      </c>
      <c r="T22" s="257">
        <f t="shared" si="18"/>
        <v>0.6</v>
      </c>
      <c r="U22" s="172">
        <f t="shared" si="19"/>
        <v>0.3869846072735057</v>
      </c>
      <c r="V22" s="171">
        <f t="shared" si="20"/>
        <v>0.64497434545584287</v>
      </c>
      <c r="W22" s="170">
        <f t="shared" si="21"/>
        <v>6.4497434545584291E-3</v>
      </c>
      <c r="X22" s="190" t="s">
        <v>1151</v>
      </c>
      <c r="Y22" s="204" t="s">
        <v>1150</v>
      </c>
      <c r="Z22" s="204" t="s">
        <v>1149</v>
      </c>
      <c r="AA22" s="248" t="s">
        <v>542</v>
      </c>
      <c r="AB22" s="404" t="s">
        <v>1131</v>
      </c>
      <c r="AC22" s="205">
        <v>3036654503</v>
      </c>
      <c r="AD22" s="199">
        <v>12126592652</v>
      </c>
      <c r="AE22" s="184" t="s">
        <v>1148</v>
      </c>
      <c r="AF22" s="183">
        <v>1656150192</v>
      </c>
      <c r="AG22" s="182">
        <v>12126592652</v>
      </c>
      <c r="AH22" s="198" t="s">
        <v>1147</v>
      </c>
      <c r="AI22" s="230" t="s">
        <v>1146</v>
      </c>
      <c r="AJ22" s="229" t="s">
        <v>1145</v>
      </c>
      <c r="AK22" s="198" t="s">
        <v>1144</v>
      </c>
      <c r="AL22" s="156"/>
      <c r="AM22" s="155"/>
      <c r="AN22" s="228"/>
    </row>
    <row r="23" spans="1:40" s="153" customFormat="1" ht="43.5" customHeight="1" thickBot="1">
      <c r="A23" s="1659"/>
      <c r="B23" s="1659"/>
      <c r="C23" s="252">
        <v>8.5999999999999979</v>
      </c>
      <c r="D23" s="251" t="s">
        <v>1143</v>
      </c>
      <c r="E23" s="259">
        <v>0.01</v>
      </c>
      <c r="F23" s="192" t="s">
        <v>537</v>
      </c>
      <c r="G23" s="191" t="s">
        <v>532</v>
      </c>
      <c r="H23" s="257">
        <v>0.12</v>
      </c>
      <c r="I23" s="392">
        <f t="shared" si="10"/>
        <v>0.1223920796546553</v>
      </c>
      <c r="J23" s="171">
        <f t="shared" si="11"/>
        <v>1.0199339971221275</v>
      </c>
      <c r="K23" s="257">
        <v>0.3</v>
      </c>
      <c r="L23" s="392">
        <f t="shared" si="12"/>
        <v>4.5003508468401003E-2</v>
      </c>
      <c r="M23" s="171">
        <f t="shared" si="13"/>
        <v>0.15001169489467001</v>
      </c>
      <c r="N23" s="257">
        <v>0.3</v>
      </c>
      <c r="O23" s="392">
        <f t="shared" si="14"/>
        <v>0</v>
      </c>
      <c r="P23" s="171">
        <f t="shared" si="15"/>
        <v>0</v>
      </c>
      <c r="Q23" s="257">
        <v>0.28000000000000003</v>
      </c>
      <c r="R23" s="392">
        <f t="shared" si="16"/>
        <v>0</v>
      </c>
      <c r="S23" s="171">
        <f t="shared" si="17"/>
        <v>0</v>
      </c>
      <c r="T23" s="257">
        <f t="shared" si="18"/>
        <v>1</v>
      </c>
      <c r="U23" s="172">
        <f t="shared" si="19"/>
        <v>0.1673955881230563</v>
      </c>
      <c r="V23" s="171">
        <f t="shared" si="20"/>
        <v>0.1673955881230563</v>
      </c>
      <c r="W23" s="170">
        <f t="shared" si="21"/>
        <v>1.6739558812305631E-3</v>
      </c>
      <c r="X23" s="190" t="s">
        <v>1142</v>
      </c>
      <c r="Y23" s="204" t="s">
        <v>1141</v>
      </c>
      <c r="Z23" s="204" t="s">
        <v>1140</v>
      </c>
      <c r="AA23" s="248" t="s">
        <v>542</v>
      </c>
      <c r="AB23" s="404" t="s">
        <v>1131</v>
      </c>
      <c r="AC23" s="205">
        <v>460760881</v>
      </c>
      <c r="AD23" s="185">
        <v>3764629887</v>
      </c>
      <c r="AE23" s="184" t="s">
        <v>1139</v>
      </c>
      <c r="AF23" s="183">
        <v>169421553</v>
      </c>
      <c r="AG23" s="182">
        <v>3764629887</v>
      </c>
      <c r="AH23" s="181" t="s">
        <v>1136</v>
      </c>
      <c r="AI23" s="230" t="s">
        <v>1138</v>
      </c>
      <c r="AJ23" s="229" t="s">
        <v>1137</v>
      </c>
      <c r="AK23" s="181" t="s">
        <v>1136</v>
      </c>
      <c r="AL23" s="156"/>
      <c r="AM23" s="155"/>
      <c r="AN23" s="228"/>
    </row>
    <row r="24" spans="1:40" s="153" customFormat="1" ht="221.25" thickBot="1">
      <c r="A24" s="1659"/>
      <c r="B24" s="1659"/>
      <c r="C24" s="252">
        <v>8.6999999999999993</v>
      </c>
      <c r="D24" s="251" t="s">
        <v>1135</v>
      </c>
      <c r="E24" s="259">
        <v>0.03</v>
      </c>
      <c r="F24" s="192" t="s">
        <v>537</v>
      </c>
      <c r="G24" s="191" t="s">
        <v>532</v>
      </c>
      <c r="H24" s="257">
        <v>0.02</v>
      </c>
      <c r="I24" s="392">
        <f t="shared" si="10"/>
        <v>1.4315539154316296E-2</v>
      </c>
      <c r="J24" s="171">
        <f t="shared" si="11"/>
        <v>0.71577695771581484</v>
      </c>
      <c r="K24" s="257">
        <v>0.12</v>
      </c>
      <c r="L24" s="392">
        <f t="shared" si="12"/>
        <v>5.9084272311924112E-2</v>
      </c>
      <c r="M24" s="171">
        <f t="shared" si="13"/>
        <v>0.49236893593270092</v>
      </c>
      <c r="N24" s="257">
        <v>0.12</v>
      </c>
      <c r="O24" s="392">
        <f t="shared" si="14"/>
        <v>0</v>
      </c>
      <c r="P24" s="171">
        <f t="shared" si="15"/>
        <v>0</v>
      </c>
      <c r="Q24" s="257">
        <v>0.34</v>
      </c>
      <c r="R24" s="392">
        <f t="shared" si="16"/>
        <v>0</v>
      </c>
      <c r="S24" s="171">
        <f t="shared" si="17"/>
        <v>0</v>
      </c>
      <c r="T24" s="257">
        <f t="shared" si="18"/>
        <v>0.60000000000000009</v>
      </c>
      <c r="U24" s="172">
        <f t="shared" si="19"/>
        <v>7.3399811466240403E-2</v>
      </c>
      <c r="V24" s="171">
        <f t="shared" si="20"/>
        <v>0.12233301911040065</v>
      </c>
      <c r="W24" s="170">
        <f t="shared" si="21"/>
        <v>3.6699905733120191E-3</v>
      </c>
      <c r="X24" s="190" t="s">
        <v>1134</v>
      </c>
      <c r="Y24" s="204" t="s">
        <v>1133</v>
      </c>
      <c r="Z24" s="204" t="s">
        <v>1132</v>
      </c>
      <c r="AA24" s="248" t="s">
        <v>542</v>
      </c>
      <c r="AB24" s="404" t="s">
        <v>1131</v>
      </c>
      <c r="AC24" s="205">
        <v>266380804</v>
      </c>
      <c r="AD24" s="199">
        <v>18607808000</v>
      </c>
      <c r="AE24" s="184" t="s">
        <v>1130</v>
      </c>
      <c r="AF24" s="183">
        <v>1099428795</v>
      </c>
      <c r="AG24" s="182">
        <v>18607808000</v>
      </c>
      <c r="AH24" s="198" t="s">
        <v>1127</v>
      </c>
      <c r="AI24" s="230" t="s">
        <v>1129</v>
      </c>
      <c r="AJ24" s="229" t="s">
        <v>1128</v>
      </c>
      <c r="AK24" s="198" t="s">
        <v>1127</v>
      </c>
      <c r="AL24" s="156"/>
      <c r="AM24" s="155"/>
      <c r="AN24" s="228"/>
    </row>
    <row r="25" spans="1:40" s="153" customFormat="1" ht="126.75" thickBot="1">
      <c r="A25" s="1659"/>
      <c r="B25" s="1659"/>
      <c r="C25" s="252">
        <v>8.7999999999999989</v>
      </c>
      <c r="D25" s="251" t="s">
        <v>1126</v>
      </c>
      <c r="E25" s="259">
        <v>0.02</v>
      </c>
      <c r="F25" s="192" t="s">
        <v>538</v>
      </c>
      <c r="G25" s="191" t="s">
        <v>532</v>
      </c>
      <c r="H25" s="337">
        <v>3</v>
      </c>
      <c r="I25" s="408">
        <f t="shared" si="10"/>
        <v>3</v>
      </c>
      <c r="J25" s="171">
        <f t="shared" si="11"/>
        <v>1</v>
      </c>
      <c r="K25" s="337">
        <v>3</v>
      </c>
      <c r="L25" s="408">
        <f t="shared" si="12"/>
        <v>3</v>
      </c>
      <c r="M25" s="171">
        <f t="shared" si="13"/>
        <v>1</v>
      </c>
      <c r="N25" s="337">
        <v>3</v>
      </c>
      <c r="O25" s="392">
        <f t="shared" si="14"/>
        <v>3</v>
      </c>
      <c r="P25" s="171">
        <f t="shared" si="15"/>
        <v>1</v>
      </c>
      <c r="Q25" s="337">
        <v>3</v>
      </c>
      <c r="R25" s="392">
        <f t="shared" si="16"/>
        <v>3</v>
      </c>
      <c r="S25" s="171">
        <f t="shared" si="17"/>
        <v>1</v>
      </c>
      <c r="T25" s="206">
        <f t="shared" si="18"/>
        <v>12</v>
      </c>
      <c r="U25" s="205">
        <f t="shared" si="19"/>
        <v>12</v>
      </c>
      <c r="V25" s="171">
        <f t="shared" si="20"/>
        <v>1</v>
      </c>
      <c r="W25" s="170">
        <f t="shared" si="21"/>
        <v>0.02</v>
      </c>
      <c r="X25" s="190" t="s">
        <v>1125</v>
      </c>
      <c r="Y25" s="204" t="s">
        <v>1124</v>
      </c>
      <c r="Z25" s="204" t="s">
        <v>1123</v>
      </c>
      <c r="AA25" s="248" t="s">
        <v>542</v>
      </c>
      <c r="AB25" s="407" t="s">
        <v>1122</v>
      </c>
      <c r="AC25" s="186">
        <v>3</v>
      </c>
      <c r="AD25" s="185">
        <v>3</v>
      </c>
      <c r="AE25" s="184" t="s">
        <v>1121</v>
      </c>
      <c r="AF25" s="183">
        <v>3</v>
      </c>
      <c r="AG25" s="182">
        <v>3</v>
      </c>
      <c r="AH25" s="198" t="s">
        <v>1121</v>
      </c>
      <c r="AI25" s="230">
        <v>3</v>
      </c>
      <c r="AJ25" s="229">
        <v>3</v>
      </c>
      <c r="AK25" s="198" t="s">
        <v>1120</v>
      </c>
      <c r="AL25" s="230">
        <v>3</v>
      </c>
      <c r="AM25" s="229">
        <v>3</v>
      </c>
      <c r="AN25" s="198" t="s">
        <v>1119</v>
      </c>
    </row>
    <row r="26" spans="1:40" s="153" customFormat="1" ht="67.5" customHeight="1" thickBot="1">
      <c r="A26" s="1659"/>
      <c r="B26" s="1659"/>
      <c r="C26" s="406">
        <v>8.9</v>
      </c>
      <c r="D26" s="405" t="s">
        <v>1118</v>
      </c>
      <c r="E26" s="259">
        <v>0.01</v>
      </c>
      <c r="F26" s="192" t="s">
        <v>537</v>
      </c>
      <c r="G26" s="191" t="s">
        <v>531</v>
      </c>
      <c r="H26" s="391">
        <v>1</v>
      </c>
      <c r="I26" s="392">
        <f t="shared" si="10"/>
        <v>0</v>
      </c>
      <c r="J26" s="223">
        <f t="shared" si="11"/>
        <v>0</v>
      </c>
      <c r="K26" s="391">
        <v>1</v>
      </c>
      <c r="L26" s="392">
        <f t="shared" si="12"/>
        <v>0</v>
      </c>
      <c r="M26" s="223">
        <f t="shared" si="13"/>
        <v>0</v>
      </c>
      <c r="N26" s="391">
        <v>1</v>
      </c>
      <c r="O26" s="392">
        <f t="shared" si="14"/>
        <v>0</v>
      </c>
      <c r="P26" s="223">
        <f t="shared" si="15"/>
        <v>0</v>
      </c>
      <c r="Q26" s="391">
        <v>1</v>
      </c>
      <c r="R26" s="392">
        <f t="shared" si="16"/>
        <v>1</v>
      </c>
      <c r="S26" s="223">
        <f t="shared" si="17"/>
        <v>1</v>
      </c>
      <c r="T26" s="390">
        <f t="shared" si="18"/>
        <v>1</v>
      </c>
      <c r="U26" s="174">
        <f t="shared" si="19"/>
        <v>0.25</v>
      </c>
      <c r="V26" s="223">
        <f t="shared" si="20"/>
        <v>0.25</v>
      </c>
      <c r="W26" s="222">
        <f t="shared" si="21"/>
        <v>2.5000000000000001E-3</v>
      </c>
      <c r="X26" s="190" t="s">
        <v>1117</v>
      </c>
      <c r="Y26" s="204" t="s">
        <v>1116</v>
      </c>
      <c r="Z26" s="204" t="s">
        <v>1115</v>
      </c>
      <c r="AA26" s="248" t="s">
        <v>542</v>
      </c>
      <c r="AB26" s="404" t="s">
        <v>1114</v>
      </c>
      <c r="AC26" s="186"/>
      <c r="AD26" s="185"/>
      <c r="AE26" s="184"/>
      <c r="AF26" s="183"/>
      <c r="AG26" s="182"/>
      <c r="AH26" s="181"/>
      <c r="AI26" s="230"/>
      <c r="AJ26" s="229"/>
      <c r="AK26" s="228" t="s">
        <v>1113</v>
      </c>
      <c r="AL26" s="253">
        <v>1</v>
      </c>
      <c r="AM26" s="229">
        <v>1</v>
      </c>
      <c r="AN26" s="228" t="s">
        <v>1112</v>
      </c>
    </row>
    <row r="27" spans="1:40" s="153" customFormat="1" ht="95.25" thickBot="1">
      <c r="A27" s="1659"/>
      <c r="B27" s="1659"/>
      <c r="C27" s="403">
        <v>8.1</v>
      </c>
      <c r="D27" s="402" t="s">
        <v>1111</v>
      </c>
      <c r="E27" s="401">
        <v>0.02</v>
      </c>
      <c r="F27" s="192" t="s">
        <v>537</v>
      </c>
      <c r="G27" s="191" t="s">
        <v>531</v>
      </c>
      <c r="H27" s="382">
        <v>1</v>
      </c>
      <c r="I27" s="392">
        <f t="shared" si="10"/>
        <v>1</v>
      </c>
      <c r="J27" s="238">
        <f t="shared" si="11"/>
        <v>1</v>
      </c>
      <c r="K27" s="382">
        <v>1</v>
      </c>
      <c r="L27" s="392">
        <f t="shared" si="12"/>
        <v>1</v>
      </c>
      <c r="M27" s="238">
        <f t="shared" si="13"/>
        <v>1</v>
      </c>
      <c r="N27" s="382">
        <v>1</v>
      </c>
      <c r="O27" s="392">
        <f t="shared" si="14"/>
        <v>1.2</v>
      </c>
      <c r="P27" s="238">
        <f t="shared" si="15"/>
        <v>1.2</v>
      </c>
      <c r="Q27" s="382">
        <v>1</v>
      </c>
      <c r="R27" s="392">
        <f t="shared" si="16"/>
        <v>0</v>
      </c>
      <c r="S27" s="238">
        <f t="shared" si="17"/>
        <v>0</v>
      </c>
      <c r="T27" s="381">
        <f t="shared" si="18"/>
        <v>1</v>
      </c>
      <c r="U27" s="380">
        <f t="shared" si="19"/>
        <v>0.8</v>
      </c>
      <c r="V27" s="238">
        <f t="shared" si="20"/>
        <v>0.8</v>
      </c>
      <c r="W27" s="237">
        <f t="shared" si="21"/>
        <v>1.6E-2</v>
      </c>
      <c r="X27" s="169" t="s">
        <v>1110</v>
      </c>
      <c r="Y27" s="168" t="s">
        <v>1109</v>
      </c>
      <c r="Z27" s="168" t="s">
        <v>1108</v>
      </c>
      <c r="AA27" s="236" t="s">
        <v>542</v>
      </c>
      <c r="AB27" s="400" t="s">
        <v>1107</v>
      </c>
      <c r="AC27" s="186">
        <v>50</v>
      </c>
      <c r="AD27" s="185">
        <v>50</v>
      </c>
      <c r="AE27" s="184" t="s">
        <v>1106</v>
      </c>
      <c r="AF27" s="183">
        <v>30</v>
      </c>
      <c r="AG27" s="182">
        <v>30</v>
      </c>
      <c r="AH27" s="181" t="s">
        <v>1105</v>
      </c>
      <c r="AI27" s="230">
        <v>30</v>
      </c>
      <c r="AJ27" s="229">
        <v>25</v>
      </c>
      <c r="AK27" s="181" t="s">
        <v>1104</v>
      </c>
      <c r="AL27" s="253"/>
      <c r="AM27" s="229"/>
      <c r="AN27" s="228"/>
    </row>
    <row r="28" spans="1:40" s="153" customFormat="1" ht="38.25" customHeight="1" thickBot="1">
      <c r="A28" s="399"/>
      <c r="B28" s="1623" t="s">
        <v>1103</v>
      </c>
      <c r="C28" s="1624"/>
      <c r="D28" s="354"/>
      <c r="E28" s="398"/>
      <c r="F28" s="366"/>
      <c r="G28" s="365"/>
      <c r="H28" s="397"/>
      <c r="I28" s="360"/>
      <c r="J28" s="359"/>
      <c r="K28" s="363"/>
      <c r="L28" s="360"/>
      <c r="M28" s="359"/>
      <c r="N28" s="363"/>
      <c r="O28" s="360"/>
      <c r="P28" s="359"/>
      <c r="Q28" s="362"/>
      <c r="R28" s="360"/>
      <c r="S28" s="359"/>
      <c r="T28" s="361"/>
      <c r="U28" s="360"/>
      <c r="V28" s="359"/>
      <c r="W28" s="358"/>
      <c r="X28" s="396"/>
      <c r="Y28" s="396"/>
      <c r="Z28" s="396"/>
      <c r="AA28" s="355"/>
      <c r="AB28" s="354"/>
      <c r="AC28" s="234"/>
      <c r="AD28" s="233"/>
      <c r="AE28" s="232"/>
      <c r="AF28" s="231"/>
      <c r="AG28" s="287"/>
      <c r="AH28" s="395"/>
      <c r="AI28" s="285"/>
      <c r="AJ28" s="284"/>
      <c r="AK28" s="281"/>
      <c r="AL28" s="283"/>
      <c r="AM28" s="282"/>
      <c r="AN28" s="281"/>
    </row>
    <row r="29" spans="1:40" s="153" customFormat="1" ht="174" thickBot="1">
      <c r="A29" s="1620" t="s">
        <v>517</v>
      </c>
      <c r="B29" s="1621" t="s">
        <v>667</v>
      </c>
      <c r="C29" s="280">
        <v>12.1</v>
      </c>
      <c r="D29" s="394" t="s">
        <v>1102</v>
      </c>
      <c r="E29" s="393">
        <v>0.02</v>
      </c>
      <c r="F29" s="392" t="s">
        <v>537</v>
      </c>
      <c r="G29" s="276" t="s">
        <v>531</v>
      </c>
      <c r="H29" s="391">
        <v>1</v>
      </c>
      <c r="I29" s="174">
        <f>IF($F29="Cantidad",AC29,IF(ISERROR(AC29/AD29),0,AC29/AD29))</f>
        <v>1</v>
      </c>
      <c r="J29" s="223">
        <f>IF(ISERROR(I29/H29),0,(I29/H29))</f>
        <v>1</v>
      </c>
      <c r="K29" s="391">
        <v>1</v>
      </c>
      <c r="L29" s="174">
        <f>IF($F29="Cantidad",AF29,IF(ISERROR(AF29/AG29),0,AF29/AG29))</f>
        <v>1</v>
      </c>
      <c r="M29" s="223">
        <f>IF(ISERROR(L29/K29),0,(L29/K29))</f>
        <v>1</v>
      </c>
      <c r="N29" s="391">
        <v>1</v>
      </c>
      <c r="O29" s="174">
        <f>IF($F29="Cantidad",AI29,IF(ISERROR(AI29/AJ29),0,AI29/AJ29))</f>
        <v>1</v>
      </c>
      <c r="P29" s="223">
        <f>IF(ISERROR(O29/N29),0,(O29/N29))</f>
        <v>1</v>
      </c>
      <c r="Q29" s="391">
        <v>1</v>
      </c>
      <c r="R29" s="174">
        <f>IF($F29="Cantidad",AL29,IF(ISERROR(AL29/AM29),0,AL29/AM29))</f>
        <v>1</v>
      </c>
      <c r="S29" s="223">
        <f>IF(ISERROR(R29/Q29),0,(R29/Q29))</f>
        <v>1</v>
      </c>
      <c r="T29" s="390">
        <f>IF(G29="SUMA",(H29+K29+N29+Q29),(H29))</f>
        <v>1</v>
      </c>
      <c r="U29" s="174">
        <f>IF(ISERROR(AVERAGE(I29,L29,O29,R29)),0,IF(G29="Suma",(I29+L29+O29+R29),AVERAGE(I29,L29,O29,R29)))</f>
        <v>1</v>
      </c>
      <c r="V29" s="223">
        <f>IF(IF(ISERROR(U29/T29),0,(U29/T29))&gt;100%,100%,IF(ISERROR(U29/T29),0,(U29/T29)))</f>
        <v>1</v>
      </c>
      <c r="W29" s="222">
        <f>+V29*E29</f>
        <v>0.02</v>
      </c>
      <c r="X29" s="389" t="s">
        <v>1101</v>
      </c>
      <c r="Y29" s="343" t="s">
        <v>1100</v>
      </c>
      <c r="Z29" s="343" t="s">
        <v>1099</v>
      </c>
      <c r="AA29" s="272" t="s">
        <v>542</v>
      </c>
      <c r="AB29" s="342" t="s">
        <v>1098</v>
      </c>
      <c r="AC29" s="270">
        <v>72</v>
      </c>
      <c r="AD29" s="269">
        <v>72</v>
      </c>
      <c r="AE29" s="268" t="s">
        <v>1097</v>
      </c>
      <c r="AF29" s="267">
        <v>92</v>
      </c>
      <c r="AG29" s="266">
        <v>92</v>
      </c>
      <c r="AH29" s="340" t="s">
        <v>1096</v>
      </c>
      <c r="AI29" s="265">
        <v>17</v>
      </c>
      <c r="AJ29" s="264">
        <v>17</v>
      </c>
      <c r="AK29" s="263" t="s">
        <v>1095</v>
      </c>
      <c r="AL29" s="262">
        <v>28</v>
      </c>
      <c r="AM29" s="341">
        <v>28</v>
      </c>
      <c r="AN29" s="340" t="s">
        <v>1094</v>
      </c>
    </row>
    <row r="30" spans="1:40" s="153" customFormat="1" ht="79.5" thickBot="1">
      <c r="A30" s="1620"/>
      <c r="B30" s="1621"/>
      <c r="C30" s="252">
        <v>12.2</v>
      </c>
      <c r="D30" s="329" t="s">
        <v>1093</v>
      </c>
      <c r="E30" s="388">
        <v>0.01</v>
      </c>
      <c r="F30" s="338" t="s">
        <v>538</v>
      </c>
      <c r="G30" s="249" t="s">
        <v>532</v>
      </c>
      <c r="H30" s="337">
        <v>3</v>
      </c>
      <c r="I30" s="174">
        <f>IF($F30="Cantidad",AC30,IF(ISERROR(AC30/AD30),0,AC30/AD30))</f>
        <v>3</v>
      </c>
      <c r="J30" s="171">
        <f>IF(ISERROR(I30/H30),0,(I30/H30))</f>
        <v>1</v>
      </c>
      <c r="K30" s="337">
        <v>3</v>
      </c>
      <c r="L30" s="174">
        <f>IF($F30="Cantidad",AF30,IF(ISERROR(AF30/AG30),0,AF30/AG30))</f>
        <v>3</v>
      </c>
      <c r="M30" s="171">
        <f>IF(ISERROR(L30/K30),0,(L30/K30))</f>
        <v>1</v>
      </c>
      <c r="N30" s="337">
        <v>3</v>
      </c>
      <c r="O30" s="174">
        <f>IF($F30="Cantidad",AI30,IF(ISERROR(AI30/AJ30),0,AI30/AJ30))</f>
        <v>3</v>
      </c>
      <c r="P30" s="171">
        <f>IF(ISERROR(O30/N30),0,(O30/N30))</f>
        <v>1</v>
      </c>
      <c r="Q30" s="337">
        <v>3</v>
      </c>
      <c r="R30" s="174">
        <f>IF($F30="Cantidad",AL30,IF(ISERROR(AL30/AM30),0,AL30/AM30))</f>
        <v>3</v>
      </c>
      <c r="S30" s="171">
        <f>IF(ISERROR(R30/Q30),0,(R30/Q30))</f>
        <v>1</v>
      </c>
      <c r="T30" s="206">
        <f>IF(G30="SUMA",(H30+K30+N30+Q30),(H30))</f>
        <v>12</v>
      </c>
      <c r="U30" s="205">
        <f>IF(ISERROR(AVERAGE(I30,L30,O30,R30)),0,IF(G30="Suma",(I30+L30+O30+R30),AVERAGE(I30,L30,O30,R30)))</f>
        <v>12</v>
      </c>
      <c r="V30" s="171">
        <f>IF(IF(ISERROR(U30/T30),0,(U30/T30))&gt;100%,100%,IF(ISERROR(U30/T30),0,(U30/T30)))</f>
        <v>1</v>
      </c>
      <c r="W30" s="170">
        <f>+V30*E30</f>
        <v>0.01</v>
      </c>
      <c r="X30" s="387" t="s">
        <v>1092</v>
      </c>
      <c r="Y30" s="204" t="s">
        <v>1091</v>
      </c>
      <c r="Z30" s="204" t="s">
        <v>1090</v>
      </c>
      <c r="AA30" s="272" t="s">
        <v>542</v>
      </c>
      <c r="AB30" s="45" t="s">
        <v>1089</v>
      </c>
      <c r="AC30" s="353">
        <v>3</v>
      </c>
      <c r="AD30" s="352">
        <v>3</v>
      </c>
      <c r="AE30" s="351" t="s">
        <v>1088</v>
      </c>
      <c r="AF30" s="350">
        <v>3</v>
      </c>
      <c r="AG30" s="349">
        <v>3</v>
      </c>
      <c r="AH30" s="348" t="s">
        <v>1087</v>
      </c>
      <c r="AI30" s="347">
        <v>3</v>
      </c>
      <c r="AJ30" s="220">
        <v>3</v>
      </c>
      <c r="AK30" s="345" t="s">
        <v>1086</v>
      </c>
      <c r="AL30" s="219">
        <v>3</v>
      </c>
      <c r="AM30" s="346">
        <v>3</v>
      </c>
      <c r="AN30" s="348" t="s">
        <v>1085</v>
      </c>
    </row>
    <row r="31" spans="1:40" s="153" customFormat="1" ht="67.5" customHeight="1" thickBot="1">
      <c r="A31" s="1620"/>
      <c r="B31" s="1622"/>
      <c r="C31" s="386">
        <v>12.3</v>
      </c>
      <c r="D31" s="385" t="s">
        <v>1084</v>
      </c>
      <c r="E31" s="384">
        <v>0.01</v>
      </c>
      <c r="F31" s="383" t="s">
        <v>537</v>
      </c>
      <c r="G31" s="176" t="s">
        <v>531</v>
      </c>
      <c r="H31" s="382">
        <v>1</v>
      </c>
      <c r="I31" s="174">
        <f>IF($F31="Cantidad",AC31,IF(ISERROR(AC31/AD31),0,AC31/AD31))</f>
        <v>1</v>
      </c>
      <c r="J31" s="238">
        <f>IF(ISERROR(I31/H31),0,(I31/H31))</f>
        <v>1</v>
      </c>
      <c r="K31" s="382">
        <v>1</v>
      </c>
      <c r="L31" s="174">
        <f>IF($F31="Cantidad",AF31,IF(ISERROR(AF31/AG31),0,AF31/AG31))</f>
        <v>1</v>
      </c>
      <c r="M31" s="238">
        <f>IF(ISERROR(L31/K31),0,(L31/K31))</f>
        <v>1</v>
      </c>
      <c r="N31" s="382">
        <v>1</v>
      </c>
      <c r="O31" s="174">
        <f>IF($F31="Cantidad",AI31,IF(ISERROR(AI31/AJ31),0,AI31/AJ31))</f>
        <v>1</v>
      </c>
      <c r="P31" s="238">
        <f>IF(ISERROR(O31/N31),0,(O31/N31))</f>
        <v>1</v>
      </c>
      <c r="Q31" s="382">
        <v>1</v>
      </c>
      <c r="R31" s="174">
        <f>IF($F31="Cantidad",AL31,IF(ISERROR(AL31/AM31),0,AL31/AM31))</f>
        <v>1</v>
      </c>
      <c r="S31" s="238">
        <f>IF(ISERROR(R31/Q31),0,(R31/Q31))</f>
        <v>1</v>
      </c>
      <c r="T31" s="381">
        <f>IF(G31="SUMA",(H31+K31+N31+Q31),(H31))</f>
        <v>1</v>
      </c>
      <c r="U31" s="380">
        <f>IF(ISERROR(AVERAGE(I31,L31,O31,R31)),0,IF(G31="Suma",(I31+L31+O31+R31),AVERAGE(I31,L31,O31,R31)))</f>
        <v>1</v>
      </c>
      <c r="V31" s="238">
        <f>IF(IF(ISERROR(U31/T31),0,(U31/T31))&gt;100%,100%,IF(ISERROR(U31/T31),0,(U31/T31)))</f>
        <v>1</v>
      </c>
      <c r="W31" s="237">
        <f>+V31*E31</f>
        <v>0.01</v>
      </c>
      <c r="X31" s="379" t="s">
        <v>1083</v>
      </c>
      <c r="Y31" s="378" t="s">
        <v>1082</v>
      </c>
      <c r="Z31" s="377" t="s">
        <v>1081</v>
      </c>
      <c r="AA31" s="272" t="s">
        <v>542</v>
      </c>
      <c r="AB31" s="376" t="s">
        <v>1080</v>
      </c>
      <c r="AC31" s="164">
        <v>749</v>
      </c>
      <c r="AD31" s="163">
        <v>749</v>
      </c>
      <c r="AE31" s="162" t="s">
        <v>1079</v>
      </c>
      <c r="AF31" s="161">
        <v>469</v>
      </c>
      <c r="AG31" s="160">
        <v>469</v>
      </c>
      <c r="AH31" s="375" t="s">
        <v>1078</v>
      </c>
      <c r="AI31" s="374">
        <v>435</v>
      </c>
      <c r="AJ31" s="373">
        <v>435</v>
      </c>
      <c r="AK31" s="372" t="s">
        <v>1077</v>
      </c>
      <c r="AL31" s="371">
        <v>78</v>
      </c>
      <c r="AM31" s="370">
        <v>78</v>
      </c>
      <c r="AN31" s="348" t="s">
        <v>1076</v>
      </c>
    </row>
    <row r="32" spans="1:40" s="153" customFormat="1" ht="45" customHeight="1" thickBot="1">
      <c r="A32" s="369"/>
      <c r="B32" s="1723" t="s">
        <v>1075</v>
      </c>
      <c r="C32" s="1724"/>
      <c r="D32" s="368"/>
      <c r="E32" s="367"/>
      <c r="F32" s="366"/>
      <c r="G32" s="365"/>
      <c r="H32" s="364"/>
      <c r="I32" s="174"/>
      <c r="J32" s="359"/>
      <c r="K32" s="363"/>
      <c r="L32" s="174"/>
      <c r="M32" s="359"/>
      <c r="N32" s="363"/>
      <c r="O32" s="174"/>
      <c r="P32" s="359"/>
      <c r="Q32" s="362"/>
      <c r="R32" s="174"/>
      <c r="S32" s="359"/>
      <c r="T32" s="361"/>
      <c r="U32" s="360"/>
      <c r="V32" s="359"/>
      <c r="W32" s="358"/>
      <c r="X32" s="357"/>
      <c r="Y32" s="357"/>
      <c r="Z32" s="356"/>
      <c r="AA32" s="355"/>
      <c r="AB32" s="354"/>
      <c r="AC32" s="353"/>
      <c r="AD32" s="352"/>
      <c r="AE32" s="351"/>
      <c r="AF32" s="350"/>
      <c r="AG32" s="349"/>
      <c r="AH32" s="348"/>
      <c r="AI32" s="347"/>
      <c r="AJ32" s="220"/>
      <c r="AK32" s="345"/>
      <c r="AL32" s="219"/>
      <c r="AM32" s="346"/>
      <c r="AN32" s="345"/>
    </row>
    <row r="33" spans="1:40" s="153" customFormat="1" ht="47.25" customHeight="1" thickBot="1">
      <c r="A33" s="1658" t="s">
        <v>523</v>
      </c>
      <c r="B33" s="1661" t="s">
        <v>638</v>
      </c>
      <c r="C33" s="252" t="s">
        <v>1074</v>
      </c>
      <c r="D33" s="329" t="s">
        <v>1073</v>
      </c>
      <c r="E33" s="278">
        <v>0.03</v>
      </c>
      <c r="F33" s="277" t="s">
        <v>538</v>
      </c>
      <c r="G33" s="324" t="s">
        <v>532</v>
      </c>
      <c r="H33" s="344">
        <v>44</v>
      </c>
      <c r="I33" s="207">
        <f t="shared" ref="I33:I48" si="22">IF($F33="Cantidad",AC33,IF(ISERROR(AC33/AD33),0,AC33/AD33))</f>
        <v>44</v>
      </c>
      <c r="J33" s="223">
        <f t="shared" ref="J33:J48" si="23">IF(ISERROR(I33/H33),0,(I33/H33))</f>
        <v>1</v>
      </c>
      <c r="K33" s="344">
        <v>49</v>
      </c>
      <c r="L33" s="207">
        <f t="shared" ref="L33:L48" si="24">IF($F33="Cantidad",AF33,IF(ISERROR(AF33/AG33),0,AF33/AG33))</f>
        <v>22</v>
      </c>
      <c r="M33" s="223">
        <f t="shared" ref="M33:M48" si="25">IF(ISERROR(L33/K33),0,(L33/K33))</f>
        <v>0.44897959183673469</v>
      </c>
      <c r="N33" s="344">
        <v>49</v>
      </c>
      <c r="O33" s="207">
        <f t="shared" ref="O33:O48" si="26">IF($F33="Cantidad",AI33,IF(ISERROR(AI33/AJ33),0,AI33/AJ33))</f>
        <v>43</v>
      </c>
      <c r="P33" s="223">
        <f t="shared" ref="P33:P48" si="27">IF(ISERROR(O33/N33),0,(O33/N33))</f>
        <v>0.87755102040816324</v>
      </c>
      <c r="Q33" s="344">
        <v>38</v>
      </c>
      <c r="R33" s="207">
        <f t="shared" ref="R33:R48" si="28">IF($F33="Cantidad",AL33,IF(ISERROR(AL33/AM33),0,AL33/AM33))</f>
        <v>63</v>
      </c>
      <c r="S33" s="223">
        <f t="shared" ref="S33:S48" si="29">IF(ISERROR(R33/Q33),0,(R33/Q33))</f>
        <v>1.6578947368421053</v>
      </c>
      <c r="T33" s="225">
        <f t="shared" ref="T33:T67" si="30">IF(G33="SUMA",(H33+K33+N33+Q33),(H33))</f>
        <v>180</v>
      </c>
      <c r="U33" s="224">
        <f>IF(ISERROR(AVERAGE(I33,L33,O33,R33)),0,IF(G33="Suma",(I33+L33+O33+R33),AVERAGE(I33,L33,O33,R33)))</f>
        <v>172</v>
      </c>
      <c r="V33" s="223">
        <f t="shared" ref="V33:V48" si="31">IF(IF(ISERROR(U33/T33),0,(U33/T33))&gt;100%,100%,IF(ISERROR(U33/T33),0,(U33/T33)))</f>
        <v>0.9555555555555556</v>
      </c>
      <c r="W33" s="222">
        <f t="shared" ref="W33:W64" si="32">+V33*E33</f>
        <v>2.8666666666666667E-2</v>
      </c>
      <c r="X33" s="275" t="s">
        <v>992</v>
      </c>
      <c r="Y33" s="343" t="s">
        <v>992</v>
      </c>
      <c r="Z33" s="343" t="s">
        <v>991</v>
      </c>
      <c r="AA33" s="272" t="s">
        <v>542</v>
      </c>
      <c r="AB33" s="342" t="s">
        <v>1072</v>
      </c>
      <c r="AC33" s="270">
        <v>44</v>
      </c>
      <c r="AD33" s="269">
        <v>44</v>
      </c>
      <c r="AE33" s="268" t="s">
        <v>1071</v>
      </c>
      <c r="AF33" s="267">
        <v>22</v>
      </c>
      <c r="AG33" s="266">
        <v>49</v>
      </c>
      <c r="AH33" s="340" t="s">
        <v>1070</v>
      </c>
      <c r="AI33" s="265">
        <v>43</v>
      </c>
      <c r="AJ33" s="264">
        <v>49</v>
      </c>
      <c r="AK33" s="263" t="s">
        <v>1069</v>
      </c>
      <c r="AL33" s="262">
        <v>63</v>
      </c>
      <c r="AM33" s="341">
        <v>38</v>
      </c>
      <c r="AN33" s="263" t="s">
        <v>1068</v>
      </c>
    </row>
    <row r="34" spans="1:40" s="153" customFormat="1" ht="158.25" thickBot="1">
      <c r="A34" s="1659"/>
      <c r="B34" s="1662"/>
      <c r="C34" s="252" t="s">
        <v>1067</v>
      </c>
      <c r="D34" s="329" t="s">
        <v>1066</v>
      </c>
      <c r="E34" s="210">
        <v>0.03</v>
      </c>
      <c r="F34" s="192" t="s">
        <v>538</v>
      </c>
      <c r="G34" s="191" t="s">
        <v>532</v>
      </c>
      <c r="H34" s="337">
        <v>234</v>
      </c>
      <c r="I34" s="207">
        <f t="shared" si="22"/>
        <v>234</v>
      </c>
      <c r="J34" s="171">
        <f t="shared" si="23"/>
        <v>1</v>
      </c>
      <c r="K34" s="337">
        <v>122</v>
      </c>
      <c r="L34" s="207">
        <f t="shared" si="24"/>
        <v>132</v>
      </c>
      <c r="M34" s="171">
        <f t="shared" si="25"/>
        <v>1.0819672131147542</v>
      </c>
      <c r="N34" s="337">
        <v>122</v>
      </c>
      <c r="O34" s="207">
        <f t="shared" si="26"/>
        <v>196</v>
      </c>
      <c r="P34" s="171">
        <f t="shared" si="27"/>
        <v>1.6065573770491803</v>
      </c>
      <c r="Q34" s="337">
        <v>122</v>
      </c>
      <c r="R34" s="207">
        <f t="shared" si="28"/>
        <v>129</v>
      </c>
      <c r="S34" s="171">
        <f t="shared" si="29"/>
        <v>1.0573770491803278</v>
      </c>
      <c r="T34" s="206">
        <f t="shared" si="30"/>
        <v>600</v>
      </c>
      <c r="U34" s="205">
        <f>IF(ISERROR(AVERAGE(I34,L34,O34,R34)),0,IF(G34="Suma",(I34+L34+O34+R34),AVERAGE(I34,L34,O34,R34)))</f>
        <v>691</v>
      </c>
      <c r="V34" s="171">
        <f t="shared" si="31"/>
        <v>1</v>
      </c>
      <c r="W34" s="170">
        <f t="shared" si="32"/>
        <v>0.03</v>
      </c>
      <c r="X34" s="190" t="s">
        <v>1065</v>
      </c>
      <c r="Y34" s="204" t="s">
        <v>1049</v>
      </c>
      <c r="Z34" s="204" t="s">
        <v>1048</v>
      </c>
      <c r="AA34" s="248" t="s">
        <v>542</v>
      </c>
      <c r="AB34" s="336" t="s">
        <v>1064</v>
      </c>
      <c r="AC34" s="186">
        <v>234</v>
      </c>
      <c r="AD34" s="185">
        <v>234</v>
      </c>
      <c r="AE34" s="184" t="s">
        <v>1063</v>
      </c>
      <c r="AF34" s="183">
        <v>132</v>
      </c>
      <c r="AG34" s="182">
        <v>122</v>
      </c>
      <c r="AH34" s="181" t="s">
        <v>1062</v>
      </c>
      <c r="AI34" s="230">
        <v>196</v>
      </c>
      <c r="AJ34" s="229">
        <v>122</v>
      </c>
      <c r="AK34" s="228" t="s">
        <v>1061</v>
      </c>
      <c r="AL34" s="156">
        <v>129</v>
      </c>
      <c r="AM34" s="155">
        <v>122</v>
      </c>
      <c r="AN34" s="228" t="s">
        <v>1060</v>
      </c>
    </row>
    <row r="35" spans="1:40" s="153" customFormat="1" ht="125.25" customHeight="1" thickBot="1">
      <c r="A35" s="1659"/>
      <c r="B35" s="1662"/>
      <c r="C35" s="252" t="s">
        <v>1059</v>
      </c>
      <c r="D35" s="329" t="s">
        <v>1058</v>
      </c>
      <c r="E35" s="210">
        <v>0.03</v>
      </c>
      <c r="F35" s="192" t="s">
        <v>538</v>
      </c>
      <c r="G35" s="191" t="s">
        <v>532</v>
      </c>
      <c r="H35" s="337">
        <v>47</v>
      </c>
      <c r="I35" s="207">
        <f t="shared" si="22"/>
        <v>47</v>
      </c>
      <c r="J35" s="171">
        <f t="shared" si="23"/>
        <v>1</v>
      </c>
      <c r="K35" s="337">
        <v>49</v>
      </c>
      <c r="L35" s="207">
        <f t="shared" si="24"/>
        <v>49</v>
      </c>
      <c r="M35" s="171">
        <f t="shared" si="25"/>
        <v>1</v>
      </c>
      <c r="N35" s="337">
        <v>49</v>
      </c>
      <c r="O35" s="207">
        <f t="shared" si="26"/>
        <v>49</v>
      </c>
      <c r="P35" s="171">
        <f t="shared" si="27"/>
        <v>1</v>
      </c>
      <c r="Q35" s="337">
        <v>35</v>
      </c>
      <c r="R35" s="207">
        <f t="shared" si="28"/>
        <v>35</v>
      </c>
      <c r="S35" s="171">
        <f t="shared" si="29"/>
        <v>1</v>
      </c>
      <c r="T35" s="206">
        <f t="shared" si="30"/>
        <v>180</v>
      </c>
      <c r="U35" s="205">
        <f>IF(ISERROR(AVERAGE(I35,L35,O35,R35)),0,IF(G35="Suma",(I35+L35+O35+R35),AVERAGE(I35,L35,O35,R35)))</f>
        <v>180</v>
      </c>
      <c r="V35" s="171">
        <f t="shared" si="31"/>
        <v>1</v>
      </c>
      <c r="W35" s="170">
        <f t="shared" si="32"/>
        <v>0.03</v>
      </c>
      <c r="X35" s="190" t="s">
        <v>992</v>
      </c>
      <c r="Y35" s="204" t="s">
        <v>992</v>
      </c>
      <c r="Z35" s="204" t="s">
        <v>991</v>
      </c>
      <c r="AA35" s="248" t="s">
        <v>542</v>
      </c>
      <c r="AB35" s="336" t="s">
        <v>1057</v>
      </c>
      <c r="AC35" s="186">
        <v>47</v>
      </c>
      <c r="AD35" s="185">
        <v>47</v>
      </c>
      <c r="AE35" s="184" t="s">
        <v>1056</v>
      </c>
      <c r="AF35" s="267">
        <v>49</v>
      </c>
      <c r="AG35" s="266">
        <v>45</v>
      </c>
      <c r="AH35" s="340" t="s">
        <v>1055</v>
      </c>
      <c r="AI35" s="230">
        <v>49</v>
      </c>
      <c r="AJ35" s="229">
        <v>45</v>
      </c>
      <c r="AK35" s="228" t="s">
        <v>1054</v>
      </c>
      <c r="AL35" s="156">
        <v>35</v>
      </c>
      <c r="AM35" s="155">
        <v>35</v>
      </c>
      <c r="AN35" s="228" t="s">
        <v>1053</v>
      </c>
    </row>
    <row r="36" spans="1:40" s="153" customFormat="1" ht="105.75" customHeight="1" thickBot="1">
      <c r="A36" s="1659"/>
      <c r="B36" s="1662"/>
      <c r="C36" s="252" t="s">
        <v>1052</v>
      </c>
      <c r="D36" s="329" t="s">
        <v>1051</v>
      </c>
      <c r="E36" s="210">
        <v>0.01</v>
      </c>
      <c r="F36" s="192" t="s">
        <v>538</v>
      </c>
      <c r="G36" s="191" t="s">
        <v>532</v>
      </c>
      <c r="H36" s="337">
        <v>60</v>
      </c>
      <c r="I36" s="207">
        <f t="shared" si="22"/>
        <v>60</v>
      </c>
      <c r="J36" s="171">
        <f t="shared" si="23"/>
        <v>1</v>
      </c>
      <c r="K36" s="337">
        <v>60</v>
      </c>
      <c r="L36" s="207">
        <f t="shared" si="24"/>
        <v>206</v>
      </c>
      <c r="M36" s="171">
        <f t="shared" si="25"/>
        <v>3.4333333333333331</v>
      </c>
      <c r="N36" s="337">
        <v>60</v>
      </c>
      <c r="O36" s="207">
        <f t="shared" si="26"/>
        <v>60</v>
      </c>
      <c r="P36" s="171">
        <f t="shared" si="27"/>
        <v>1</v>
      </c>
      <c r="Q36" s="337">
        <v>60</v>
      </c>
      <c r="R36" s="207">
        <f t="shared" si="28"/>
        <v>60</v>
      </c>
      <c r="S36" s="171">
        <f t="shared" si="29"/>
        <v>1</v>
      </c>
      <c r="T36" s="206">
        <f t="shared" si="30"/>
        <v>240</v>
      </c>
      <c r="U36" s="205">
        <f>IF(ISERROR(AVERAGE(I36,L36,O36,R36)),0,IF(G36="Suma",(I36+L36+O36+R36),AVERAGE(I36,L36,O36,R36)))</f>
        <v>386</v>
      </c>
      <c r="V36" s="171">
        <f t="shared" si="31"/>
        <v>1</v>
      </c>
      <c r="W36" s="170">
        <f t="shared" si="32"/>
        <v>0.01</v>
      </c>
      <c r="X36" s="190" t="s">
        <v>1050</v>
      </c>
      <c r="Y36" s="204" t="s">
        <v>1049</v>
      </c>
      <c r="Z36" s="204" t="s">
        <v>1048</v>
      </c>
      <c r="AA36" s="248" t="s">
        <v>542</v>
      </c>
      <c r="AB36" s="336" t="s">
        <v>1047</v>
      </c>
      <c r="AC36" s="186">
        <v>60</v>
      </c>
      <c r="AD36" s="185">
        <v>60</v>
      </c>
      <c r="AE36" s="184" t="s">
        <v>1046</v>
      </c>
      <c r="AF36" s="183">
        <v>206</v>
      </c>
      <c r="AG36" s="182">
        <v>60</v>
      </c>
      <c r="AH36" s="181" t="s">
        <v>1045</v>
      </c>
      <c r="AI36" s="230">
        <v>60</v>
      </c>
      <c r="AJ36" s="229">
        <v>160</v>
      </c>
      <c r="AK36" s="228" t="s">
        <v>1044</v>
      </c>
      <c r="AL36" s="156">
        <v>60</v>
      </c>
      <c r="AM36" s="155">
        <v>157</v>
      </c>
      <c r="AN36" s="228" t="s">
        <v>1043</v>
      </c>
    </row>
    <row r="37" spans="1:40" s="153" customFormat="1" ht="66" customHeight="1" thickBot="1">
      <c r="A37" s="1659"/>
      <c r="B37" s="1662"/>
      <c r="C37" s="252" t="s">
        <v>1042</v>
      </c>
      <c r="D37" s="329" t="s">
        <v>1041</v>
      </c>
      <c r="E37" s="210">
        <v>0.01</v>
      </c>
      <c r="F37" s="192" t="s">
        <v>537</v>
      </c>
      <c r="G37" s="191" t="s">
        <v>531</v>
      </c>
      <c r="H37" s="257">
        <v>1</v>
      </c>
      <c r="I37" s="174">
        <f t="shared" si="22"/>
        <v>0</v>
      </c>
      <c r="J37" s="171">
        <f t="shared" si="23"/>
        <v>0</v>
      </c>
      <c r="K37" s="257">
        <v>1</v>
      </c>
      <c r="L37" s="174">
        <f t="shared" si="24"/>
        <v>1</v>
      </c>
      <c r="M37" s="171">
        <f t="shared" si="25"/>
        <v>1</v>
      </c>
      <c r="N37" s="257">
        <v>1</v>
      </c>
      <c r="O37" s="174">
        <f t="shared" si="26"/>
        <v>1</v>
      </c>
      <c r="P37" s="171">
        <f t="shared" si="27"/>
        <v>1</v>
      </c>
      <c r="Q37" s="257">
        <v>1</v>
      </c>
      <c r="R37" s="174">
        <f t="shared" si="28"/>
        <v>1</v>
      </c>
      <c r="S37" s="171">
        <f t="shared" si="29"/>
        <v>1</v>
      </c>
      <c r="T37" s="173">
        <f t="shared" si="30"/>
        <v>1</v>
      </c>
      <c r="U37" s="172">
        <f>IF(ISERROR(AVERAGE(I37,L37,O37,R37)),0,IF(G37="Suma",(I37+L37+O37+R37),AVERAGE(I37,L37,O37,R37)))</f>
        <v>0.75</v>
      </c>
      <c r="V37" s="171">
        <f t="shared" si="31"/>
        <v>0.75</v>
      </c>
      <c r="W37" s="170">
        <f t="shared" si="32"/>
        <v>7.4999999999999997E-3</v>
      </c>
      <c r="X37" s="190" t="s">
        <v>1034</v>
      </c>
      <c r="Y37" s="189" t="s">
        <v>1033</v>
      </c>
      <c r="Z37" s="189" t="s">
        <v>1032</v>
      </c>
      <c r="AA37" s="248" t="s">
        <v>542</v>
      </c>
      <c r="AB37" s="336" t="s">
        <v>1040</v>
      </c>
      <c r="AC37" s="339"/>
      <c r="AD37" s="338"/>
      <c r="AE37" s="184"/>
      <c r="AF37" s="183">
        <v>2</v>
      </c>
      <c r="AG37" s="182">
        <v>2</v>
      </c>
      <c r="AH37" s="181" t="s">
        <v>1039</v>
      </c>
      <c r="AI37" s="230">
        <v>1</v>
      </c>
      <c r="AJ37" s="229">
        <v>1</v>
      </c>
      <c r="AK37" s="228" t="s">
        <v>1038</v>
      </c>
      <c r="AL37" s="156">
        <v>3</v>
      </c>
      <c r="AM37" s="155">
        <v>3</v>
      </c>
      <c r="AN37" s="228" t="s">
        <v>1037</v>
      </c>
    </row>
    <row r="38" spans="1:40" s="153" customFormat="1" ht="75.75" customHeight="1" thickBot="1">
      <c r="A38" s="1659"/>
      <c r="B38" s="1662"/>
      <c r="C38" s="252" t="s">
        <v>1036</v>
      </c>
      <c r="D38" s="329" t="s">
        <v>1035</v>
      </c>
      <c r="E38" s="210">
        <v>0.01</v>
      </c>
      <c r="F38" s="192" t="s">
        <v>537</v>
      </c>
      <c r="G38" s="191" t="s">
        <v>531</v>
      </c>
      <c r="H38" s="257">
        <v>1</v>
      </c>
      <c r="I38" s="174">
        <f t="shared" si="22"/>
        <v>1</v>
      </c>
      <c r="J38" s="171">
        <f t="shared" si="23"/>
        <v>1</v>
      </c>
      <c r="K38" s="257">
        <v>1</v>
      </c>
      <c r="L38" s="174">
        <f t="shared" si="24"/>
        <v>0</v>
      </c>
      <c r="M38" s="171">
        <f t="shared" si="25"/>
        <v>0</v>
      </c>
      <c r="N38" s="257">
        <v>1</v>
      </c>
      <c r="O38" s="174">
        <f t="shared" si="26"/>
        <v>1</v>
      </c>
      <c r="P38" s="171">
        <f t="shared" si="27"/>
        <v>1</v>
      </c>
      <c r="Q38" s="257">
        <v>1</v>
      </c>
      <c r="R38" s="174">
        <f t="shared" si="28"/>
        <v>0</v>
      </c>
      <c r="S38" s="171">
        <f t="shared" si="29"/>
        <v>0</v>
      </c>
      <c r="T38" s="173">
        <f t="shared" si="30"/>
        <v>1</v>
      </c>
      <c r="U38" s="172">
        <f>IF(ISERROR(AVERAGE(I38,L38,O38,R38)),0,IF(G38="Suma",(I38+L38+O38+R38),AVERAGE(I38,O38)))</f>
        <v>1</v>
      </c>
      <c r="V38" s="171">
        <f t="shared" si="31"/>
        <v>1</v>
      </c>
      <c r="W38" s="170">
        <f t="shared" si="32"/>
        <v>0.01</v>
      </c>
      <c r="X38" s="190" t="s">
        <v>1034</v>
      </c>
      <c r="Y38" s="189" t="s">
        <v>1033</v>
      </c>
      <c r="Z38" s="189" t="s">
        <v>1032</v>
      </c>
      <c r="AA38" s="248" t="s">
        <v>542</v>
      </c>
      <c r="AB38" s="336" t="s">
        <v>1031</v>
      </c>
      <c r="AC38" s="186">
        <v>63</v>
      </c>
      <c r="AD38" s="185">
        <v>63</v>
      </c>
      <c r="AE38" s="184" t="s">
        <v>1030</v>
      </c>
      <c r="AF38" s="183">
        <v>0</v>
      </c>
      <c r="AG38" s="182"/>
      <c r="AH38" s="181" t="s">
        <v>1029</v>
      </c>
      <c r="AI38" s="230">
        <v>36</v>
      </c>
      <c r="AJ38" s="229">
        <v>36</v>
      </c>
      <c r="AK38" s="228" t="s">
        <v>1028</v>
      </c>
      <c r="AL38" s="156">
        <v>0</v>
      </c>
      <c r="AM38" s="155">
        <v>0</v>
      </c>
      <c r="AN38" s="228" t="s">
        <v>1027</v>
      </c>
    </row>
    <row r="39" spans="1:40" s="153" customFormat="1" ht="93.75" customHeight="1" thickBot="1">
      <c r="A39" s="1659"/>
      <c r="B39" s="1662"/>
      <c r="C39" s="252" t="s">
        <v>1026</v>
      </c>
      <c r="D39" s="329" t="s">
        <v>1025</v>
      </c>
      <c r="E39" s="210">
        <v>0.01</v>
      </c>
      <c r="F39" s="192" t="s">
        <v>538</v>
      </c>
      <c r="G39" s="191" t="s">
        <v>532</v>
      </c>
      <c r="H39" s="337">
        <v>2</v>
      </c>
      <c r="I39" s="207">
        <f t="shared" si="22"/>
        <v>2</v>
      </c>
      <c r="J39" s="171">
        <f t="shared" si="23"/>
        <v>1</v>
      </c>
      <c r="K39" s="337">
        <v>9</v>
      </c>
      <c r="L39" s="207">
        <f t="shared" si="24"/>
        <v>8</v>
      </c>
      <c r="M39" s="171">
        <f t="shared" si="25"/>
        <v>0.88888888888888884</v>
      </c>
      <c r="N39" s="337">
        <v>10</v>
      </c>
      <c r="O39" s="207">
        <f t="shared" si="26"/>
        <v>9</v>
      </c>
      <c r="P39" s="171">
        <f t="shared" si="27"/>
        <v>0.9</v>
      </c>
      <c r="Q39" s="337">
        <v>9</v>
      </c>
      <c r="R39" s="207">
        <f t="shared" si="28"/>
        <v>9</v>
      </c>
      <c r="S39" s="171">
        <f t="shared" si="29"/>
        <v>1</v>
      </c>
      <c r="T39" s="206">
        <f t="shared" si="30"/>
        <v>30</v>
      </c>
      <c r="U39" s="205">
        <f t="shared" ref="U39:U70" si="33">IF(ISERROR(AVERAGE(I39,L39,O39,R39)),0,IF(G39="Suma",(I39+L39+O39+R39),AVERAGE(I39,L39,O39,R39)))</f>
        <v>28</v>
      </c>
      <c r="V39" s="171">
        <f t="shared" si="31"/>
        <v>0.93333333333333335</v>
      </c>
      <c r="W39" s="170">
        <f t="shared" si="32"/>
        <v>9.3333333333333341E-3</v>
      </c>
      <c r="X39" s="190" t="s">
        <v>1018</v>
      </c>
      <c r="Y39" s="204" t="s">
        <v>1018</v>
      </c>
      <c r="Z39" s="189"/>
      <c r="AA39" s="248" t="s">
        <v>542</v>
      </c>
      <c r="AB39" s="336" t="s">
        <v>1017</v>
      </c>
      <c r="AC39" s="186">
        <v>2</v>
      </c>
      <c r="AD39" s="185">
        <v>2</v>
      </c>
      <c r="AE39" s="184" t="s">
        <v>1024</v>
      </c>
      <c r="AF39" s="183">
        <v>8</v>
      </c>
      <c r="AG39" s="182">
        <v>9</v>
      </c>
      <c r="AH39" s="181" t="s">
        <v>1023</v>
      </c>
      <c r="AI39" s="230">
        <v>9</v>
      </c>
      <c r="AJ39" s="229">
        <v>9</v>
      </c>
      <c r="AK39" s="228" t="s">
        <v>1022</v>
      </c>
      <c r="AL39" s="156">
        <v>9</v>
      </c>
      <c r="AM39" s="155">
        <v>9</v>
      </c>
      <c r="AN39" s="228" t="s">
        <v>1021</v>
      </c>
    </row>
    <row r="40" spans="1:40" s="153" customFormat="1" ht="114" customHeight="1" thickBot="1">
      <c r="A40" s="1659"/>
      <c r="B40" s="1662"/>
      <c r="C40" s="252" t="s">
        <v>1020</v>
      </c>
      <c r="D40" s="329" t="s">
        <v>1019</v>
      </c>
      <c r="E40" s="210">
        <v>0.02</v>
      </c>
      <c r="F40" s="192" t="s">
        <v>538</v>
      </c>
      <c r="G40" s="191" t="s">
        <v>532</v>
      </c>
      <c r="H40" s="337">
        <v>43</v>
      </c>
      <c r="I40" s="207">
        <f t="shared" si="22"/>
        <v>43</v>
      </c>
      <c r="J40" s="171">
        <f t="shared" si="23"/>
        <v>1</v>
      </c>
      <c r="K40" s="337">
        <v>40</v>
      </c>
      <c r="L40" s="207">
        <f t="shared" si="24"/>
        <v>39</v>
      </c>
      <c r="M40" s="171">
        <f t="shared" si="25"/>
        <v>0.97499999999999998</v>
      </c>
      <c r="N40" s="337">
        <v>40</v>
      </c>
      <c r="O40" s="207">
        <f t="shared" si="26"/>
        <v>37</v>
      </c>
      <c r="P40" s="171">
        <f t="shared" si="27"/>
        <v>0.92500000000000004</v>
      </c>
      <c r="Q40" s="337">
        <v>37</v>
      </c>
      <c r="R40" s="207">
        <f t="shared" si="28"/>
        <v>37</v>
      </c>
      <c r="S40" s="171">
        <f t="shared" si="29"/>
        <v>1</v>
      </c>
      <c r="T40" s="206">
        <f t="shared" si="30"/>
        <v>160</v>
      </c>
      <c r="U40" s="205">
        <f t="shared" si="33"/>
        <v>156</v>
      </c>
      <c r="V40" s="171">
        <f t="shared" si="31"/>
        <v>0.97499999999999998</v>
      </c>
      <c r="W40" s="170">
        <f t="shared" si="32"/>
        <v>1.95E-2</v>
      </c>
      <c r="X40" s="190" t="s">
        <v>1018</v>
      </c>
      <c r="Y40" s="204" t="s">
        <v>1018</v>
      </c>
      <c r="Z40" s="189"/>
      <c r="AA40" s="248" t="s">
        <v>542</v>
      </c>
      <c r="AB40" s="336" t="s">
        <v>1017</v>
      </c>
      <c r="AC40" s="186">
        <v>43</v>
      </c>
      <c r="AD40" s="185">
        <v>43</v>
      </c>
      <c r="AE40" s="184" t="s">
        <v>1016</v>
      </c>
      <c r="AF40" s="183">
        <v>39</v>
      </c>
      <c r="AG40" s="182">
        <v>40</v>
      </c>
      <c r="AH40" s="181" t="s">
        <v>1015</v>
      </c>
      <c r="AI40" s="230">
        <v>37</v>
      </c>
      <c r="AJ40" s="229">
        <v>37</v>
      </c>
      <c r="AK40" s="228" t="s">
        <v>1014</v>
      </c>
      <c r="AL40" s="156">
        <v>37</v>
      </c>
      <c r="AM40" s="155">
        <v>37</v>
      </c>
      <c r="AN40" s="228" t="s">
        <v>1013</v>
      </c>
    </row>
    <row r="41" spans="1:40" s="153" customFormat="1" ht="105.75" customHeight="1" thickBot="1">
      <c r="A41" s="1659"/>
      <c r="B41" s="1662"/>
      <c r="C41" s="252" t="s">
        <v>1012</v>
      </c>
      <c r="D41" s="329" t="s">
        <v>1011</v>
      </c>
      <c r="E41" s="259">
        <v>0.01</v>
      </c>
      <c r="F41" s="192" t="s">
        <v>537</v>
      </c>
      <c r="G41" s="191" t="s">
        <v>531</v>
      </c>
      <c r="H41" s="257">
        <v>0.5</v>
      </c>
      <c r="I41" s="174">
        <f t="shared" si="22"/>
        <v>1</v>
      </c>
      <c r="J41" s="171">
        <f t="shared" si="23"/>
        <v>2</v>
      </c>
      <c r="K41" s="257">
        <v>0.5</v>
      </c>
      <c r="L41" s="174">
        <f t="shared" si="24"/>
        <v>0.7142857142857143</v>
      </c>
      <c r="M41" s="171">
        <f t="shared" si="25"/>
        <v>1.4285714285714286</v>
      </c>
      <c r="N41" s="257">
        <v>0.5</v>
      </c>
      <c r="O41" s="174">
        <f t="shared" si="26"/>
        <v>0</v>
      </c>
      <c r="P41" s="171">
        <f t="shared" si="27"/>
        <v>0</v>
      </c>
      <c r="Q41" s="257">
        <v>0.5</v>
      </c>
      <c r="R41" s="174">
        <f t="shared" si="28"/>
        <v>0.7857142857142857</v>
      </c>
      <c r="S41" s="171">
        <f t="shared" si="29"/>
        <v>1.5714285714285714</v>
      </c>
      <c r="T41" s="173">
        <f t="shared" si="30"/>
        <v>0.5</v>
      </c>
      <c r="U41" s="172">
        <f t="shared" si="33"/>
        <v>0.625</v>
      </c>
      <c r="V41" s="171">
        <f t="shared" si="31"/>
        <v>1</v>
      </c>
      <c r="W41" s="170">
        <f t="shared" si="32"/>
        <v>0.01</v>
      </c>
      <c r="X41" s="190" t="s">
        <v>1010</v>
      </c>
      <c r="Y41" s="189" t="s">
        <v>1009</v>
      </c>
      <c r="Z41" s="189" t="s">
        <v>1008</v>
      </c>
      <c r="AA41" s="248" t="s">
        <v>542</v>
      </c>
      <c r="AB41" s="247" t="s">
        <v>1007</v>
      </c>
      <c r="AC41" s="186">
        <v>6</v>
      </c>
      <c r="AD41" s="185">
        <v>6</v>
      </c>
      <c r="AE41" s="184" t="s">
        <v>989</v>
      </c>
      <c r="AF41" s="183">
        <v>15</v>
      </c>
      <c r="AG41" s="182">
        <v>21</v>
      </c>
      <c r="AH41" s="181" t="s">
        <v>1006</v>
      </c>
      <c r="AI41" s="230"/>
      <c r="AJ41" s="229"/>
      <c r="AK41" s="228"/>
      <c r="AL41" s="253">
        <v>55</v>
      </c>
      <c r="AM41" s="229">
        <v>70</v>
      </c>
      <c r="AN41" s="228" t="s">
        <v>1005</v>
      </c>
    </row>
    <row r="42" spans="1:40" s="153" customFormat="1" ht="95.25" customHeight="1" thickBot="1">
      <c r="A42" s="1659"/>
      <c r="B42" s="1662"/>
      <c r="C42" s="252" t="s">
        <v>1004</v>
      </c>
      <c r="D42" s="329" t="s">
        <v>1003</v>
      </c>
      <c r="E42" s="259">
        <v>0.01</v>
      </c>
      <c r="F42" s="192" t="s">
        <v>537</v>
      </c>
      <c r="G42" s="191" t="s">
        <v>531</v>
      </c>
      <c r="H42" s="257">
        <v>0.3</v>
      </c>
      <c r="I42" s="174">
        <f t="shared" si="22"/>
        <v>1</v>
      </c>
      <c r="J42" s="171">
        <f t="shared" si="23"/>
        <v>3.3333333333333335</v>
      </c>
      <c r="K42" s="257">
        <v>0.3</v>
      </c>
      <c r="L42" s="174">
        <f t="shared" si="24"/>
        <v>0.6470588235294118</v>
      </c>
      <c r="M42" s="171">
        <f t="shared" si="25"/>
        <v>2.1568627450980395</v>
      </c>
      <c r="N42" s="257">
        <v>0.3</v>
      </c>
      <c r="O42" s="174">
        <f t="shared" si="26"/>
        <v>1</v>
      </c>
      <c r="P42" s="171">
        <f t="shared" si="27"/>
        <v>3.3333333333333335</v>
      </c>
      <c r="Q42" s="257">
        <v>0.3</v>
      </c>
      <c r="R42" s="174">
        <f t="shared" si="28"/>
        <v>1</v>
      </c>
      <c r="S42" s="171">
        <f t="shared" si="29"/>
        <v>3.3333333333333335</v>
      </c>
      <c r="T42" s="173">
        <f t="shared" si="30"/>
        <v>0.3</v>
      </c>
      <c r="U42" s="172">
        <f t="shared" si="33"/>
        <v>0.91176470588235292</v>
      </c>
      <c r="V42" s="171">
        <f t="shared" si="31"/>
        <v>1</v>
      </c>
      <c r="W42" s="170">
        <f t="shared" si="32"/>
        <v>0.01</v>
      </c>
      <c r="X42" s="190" t="s">
        <v>1002</v>
      </c>
      <c r="Y42" s="189" t="s">
        <v>1001</v>
      </c>
      <c r="Z42" s="189" t="s">
        <v>1000</v>
      </c>
      <c r="AA42" s="248" t="s">
        <v>542</v>
      </c>
      <c r="AB42" s="247" t="s">
        <v>999</v>
      </c>
      <c r="AC42" s="186">
        <v>12</v>
      </c>
      <c r="AD42" s="185">
        <v>12</v>
      </c>
      <c r="AE42" s="184" t="s">
        <v>998</v>
      </c>
      <c r="AF42" s="183">
        <v>11</v>
      </c>
      <c r="AG42" s="182">
        <v>17</v>
      </c>
      <c r="AH42" s="181" t="s">
        <v>997</v>
      </c>
      <c r="AI42" s="230">
        <v>16</v>
      </c>
      <c r="AJ42" s="229">
        <v>16</v>
      </c>
      <c r="AK42" s="228" t="s">
        <v>996</v>
      </c>
      <c r="AL42" s="253">
        <v>18</v>
      </c>
      <c r="AM42" s="229">
        <v>18</v>
      </c>
      <c r="AN42" s="228" t="s">
        <v>995</v>
      </c>
    </row>
    <row r="43" spans="1:40" s="153" customFormat="1" ht="94.5" customHeight="1" thickBot="1">
      <c r="A43" s="1659"/>
      <c r="B43" s="1662"/>
      <c r="C43" s="252" t="s">
        <v>994</v>
      </c>
      <c r="D43" s="329" t="s">
        <v>993</v>
      </c>
      <c r="E43" s="259">
        <v>0.01</v>
      </c>
      <c r="F43" s="192" t="s">
        <v>538</v>
      </c>
      <c r="G43" s="191" t="s">
        <v>532</v>
      </c>
      <c r="H43" s="335">
        <v>4</v>
      </c>
      <c r="I43" s="207">
        <f t="shared" si="22"/>
        <v>4</v>
      </c>
      <c r="J43" s="171">
        <f t="shared" si="23"/>
        <v>1</v>
      </c>
      <c r="K43" s="335">
        <v>12</v>
      </c>
      <c r="L43" s="207">
        <f t="shared" si="24"/>
        <v>15</v>
      </c>
      <c r="M43" s="171">
        <f t="shared" si="25"/>
        <v>1.25</v>
      </c>
      <c r="N43" s="335">
        <v>12</v>
      </c>
      <c r="O43" s="207">
        <f t="shared" si="26"/>
        <v>0</v>
      </c>
      <c r="P43" s="171">
        <f t="shared" si="27"/>
        <v>0</v>
      </c>
      <c r="Q43" s="335">
        <v>12</v>
      </c>
      <c r="R43" s="207">
        <f t="shared" si="28"/>
        <v>12</v>
      </c>
      <c r="S43" s="171">
        <f t="shared" si="29"/>
        <v>1</v>
      </c>
      <c r="T43" s="206">
        <f t="shared" si="30"/>
        <v>40</v>
      </c>
      <c r="U43" s="205">
        <f t="shared" si="33"/>
        <v>31</v>
      </c>
      <c r="V43" s="171">
        <f t="shared" si="31"/>
        <v>0.77500000000000002</v>
      </c>
      <c r="W43" s="170">
        <f t="shared" si="32"/>
        <v>7.7500000000000008E-3</v>
      </c>
      <c r="X43" s="190" t="s">
        <v>992</v>
      </c>
      <c r="Y43" s="204" t="s">
        <v>992</v>
      </c>
      <c r="Z43" s="204" t="s">
        <v>991</v>
      </c>
      <c r="AA43" s="248" t="s">
        <v>542</v>
      </c>
      <c r="AB43" s="247" t="s">
        <v>990</v>
      </c>
      <c r="AC43" s="186">
        <v>4</v>
      </c>
      <c r="AD43" s="185">
        <v>4</v>
      </c>
      <c r="AE43" s="184" t="s">
        <v>989</v>
      </c>
      <c r="AF43" s="183">
        <v>15</v>
      </c>
      <c r="AG43" s="182">
        <v>12</v>
      </c>
      <c r="AH43" s="181" t="s">
        <v>988</v>
      </c>
      <c r="AI43" s="230"/>
      <c r="AJ43" s="229"/>
      <c r="AK43" s="331" t="s">
        <v>950</v>
      </c>
      <c r="AL43" s="253">
        <v>12</v>
      </c>
      <c r="AM43" s="229">
        <v>18</v>
      </c>
      <c r="AN43" s="228" t="s">
        <v>987</v>
      </c>
    </row>
    <row r="44" spans="1:40" s="153" customFormat="1" ht="126" customHeight="1" thickBot="1">
      <c r="A44" s="1659"/>
      <c r="B44" s="1662"/>
      <c r="C44" s="252" t="s">
        <v>986</v>
      </c>
      <c r="D44" s="329" t="s">
        <v>985</v>
      </c>
      <c r="E44" s="259">
        <v>0.01</v>
      </c>
      <c r="F44" s="192" t="s">
        <v>537</v>
      </c>
      <c r="G44" s="191" t="s">
        <v>531</v>
      </c>
      <c r="H44" s="257">
        <v>0.3</v>
      </c>
      <c r="I44" s="174">
        <f t="shared" si="22"/>
        <v>0.19653179190751446</v>
      </c>
      <c r="J44" s="171">
        <f t="shared" si="23"/>
        <v>0.65510597302504825</v>
      </c>
      <c r="K44" s="257">
        <v>0.3</v>
      </c>
      <c r="L44" s="174">
        <f t="shared" si="24"/>
        <v>0.45333333333333331</v>
      </c>
      <c r="M44" s="171">
        <f t="shared" si="25"/>
        <v>1.5111111111111111</v>
      </c>
      <c r="N44" s="257">
        <v>0.3</v>
      </c>
      <c r="O44" s="174">
        <f t="shared" si="26"/>
        <v>0</v>
      </c>
      <c r="P44" s="171">
        <f t="shared" si="27"/>
        <v>0</v>
      </c>
      <c r="Q44" s="257">
        <v>0.3</v>
      </c>
      <c r="R44" s="174">
        <f t="shared" si="28"/>
        <v>0.46948356807511737</v>
      </c>
      <c r="S44" s="171">
        <f t="shared" si="29"/>
        <v>1.5649452269170581</v>
      </c>
      <c r="T44" s="173">
        <f t="shared" si="30"/>
        <v>0.3</v>
      </c>
      <c r="U44" s="172">
        <f t="shared" si="33"/>
        <v>0.27983717332899127</v>
      </c>
      <c r="V44" s="171">
        <f t="shared" si="31"/>
        <v>0.93279057776330432</v>
      </c>
      <c r="W44" s="170">
        <f t="shared" si="32"/>
        <v>9.3279057776330439E-3</v>
      </c>
      <c r="X44" s="190" t="s">
        <v>984</v>
      </c>
      <c r="Y44" s="334" t="s">
        <v>983</v>
      </c>
      <c r="Z44" s="334" t="s">
        <v>982</v>
      </c>
      <c r="AA44" s="248" t="s">
        <v>542</v>
      </c>
      <c r="AB44" s="247" t="s">
        <v>981</v>
      </c>
      <c r="AC44" s="186">
        <v>34</v>
      </c>
      <c r="AD44" s="185">
        <v>173</v>
      </c>
      <c r="AE44" s="184" t="s">
        <v>980</v>
      </c>
      <c r="AF44" s="183">
        <v>68</v>
      </c>
      <c r="AG44" s="182">
        <v>150</v>
      </c>
      <c r="AH44" s="181" t="s">
        <v>979</v>
      </c>
      <c r="AI44" s="230"/>
      <c r="AJ44" s="229"/>
      <c r="AK44" s="331" t="s">
        <v>950</v>
      </c>
      <c r="AL44" s="333">
        <v>100</v>
      </c>
      <c r="AM44" s="332">
        <v>213</v>
      </c>
      <c r="AN44" s="228" t="s">
        <v>978</v>
      </c>
    </row>
    <row r="45" spans="1:40" s="153" customFormat="1" ht="126" customHeight="1" thickBot="1">
      <c r="A45" s="1659"/>
      <c r="B45" s="1662"/>
      <c r="C45" s="252" t="s">
        <v>977</v>
      </c>
      <c r="D45" s="329" t="s">
        <v>976</v>
      </c>
      <c r="E45" s="259">
        <v>0.01</v>
      </c>
      <c r="F45" s="192" t="s">
        <v>537</v>
      </c>
      <c r="G45" s="191" t="s">
        <v>531</v>
      </c>
      <c r="H45" s="257">
        <v>0.3</v>
      </c>
      <c r="I45" s="174">
        <f t="shared" si="22"/>
        <v>0.13953488372093023</v>
      </c>
      <c r="J45" s="171">
        <f t="shared" si="23"/>
        <v>0.46511627906976744</v>
      </c>
      <c r="K45" s="257">
        <v>0.3</v>
      </c>
      <c r="L45" s="174">
        <f t="shared" si="24"/>
        <v>0.2868217054263566</v>
      </c>
      <c r="M45" s="171">
        <f t="shared" si="25"/>
        <v>0.95607235142118874</v>
      </c>
      <c r="N45" s="257">
        <v>0.3</v>
      </c>
      <c r="O45" s="174">
        <f t="shared" si="26"/>
        <v>0</v>
      </c>
      <c r="P45" s="171">
        <f t="shared" si="27"/>
        <v>0</v>
      </c>
      <c r="Q45" s="257">
        <v>0.3</v>
      </c>
      <c r="R45" s="174">
        <f t="shared" si="28"/>
        <v>0.38400000000000001</v>
      </c>
      <c r="S45" s="171">
        <f t="shared" si="29"/>
        <v>1.28</v>
      </c>
      <c r="T45" s="173">
        <f t="shared" si="30"/>
        <v>0.3</v>
      </c>
      <c r="U45" s="172">
        <f t="shared" si="33"/>
        <v>0.2025891472868217</v>
      </c>
      <c r="V45" s="171">
        <f t="shared" si="31"/>
        <v>0.67529715762273901</v>
      </c>
      <c r="W45" s="170">
        <f t="shared" si="32"/>
        <v>6.7529715762273904E-3</v>
      </c>
      <c r="X45" s="190" t="s">
        <v>975</v>
      </c>
      <c r="Y45" s="334" t="s">
        <v>974</v>
      </c>
      <c r="Z45" s="334" t="s">
        <v>973</v>
      </c>
      <c r="AA45" s="248" t="s">
        <v>542</v>
      </c>
      <c r="AB45" s="247" t="s">
        <v>972</v>
      </c>
      <c r="AC45" s="186">
        <v>18</v>
      </c>
      <c r="AD45" s="185">
        <v>129</v>
      </c>
      <c r="AE45" s="184" t="s">
        <v>971</v>
      </c>
      <c r="AF45" s="183">
        <v>37</v>
      </c>
      <c r="AG45" s="182">
        <v>129</v>
      </c>
      <c r="AH45" s="181" t="s">
        <v>970</v>
      </c>
      <c r="AI45" s="230"/>
      <c r="AJ45" s="229"/>
      <c r="AK45" s="331" t="s">
        <v>950</v>
      </c>
      <c r="AL45" s="333">
        <v>48</v>
      </c>
      <c r="AM45" s="332">
        <v>125</v>
      </c>
      <c r="AN45" s="228" t="s">
        <v>969</v>
      </c>
    </row>
    <row r="46" spans="1:40" s="153" customFormat="1" ht="43.5" customHeight="1" thickBot="1">
      <c r="A46" s="1659"/>
      <c r="B46" s="1662"/>
      <c r="C46" s="252" t="s">
        <v>968</v>
      </c>
      <c r="D46" s="329" t="s">
        <v>967</v>
      </c>
      <c r="E46" s="259">
        <v>0.01</v>
      </c>
      <c r="F46" s="192" t="s">
        <v>537</v>
      </c>
      <c r="G46" s="191" t="s">
        <v>531</v>
      </c>
      <c r="H46" s="257">
        <v>0.2</v>
      </c>
      <c r="I46" s="174">
        <f t="shared" si="22"/>
        <v>0</v>
      </c>
      <c r="J46" s="171">
        <f t="shared" si="23"/>
        <v>0</v>
      </c>
      <c r="K46" s="257">
        <v>0.2</v>
      </c>
      <c r="L46" s="174">
        <f t="shared" si="24"/>
        <v>0</v>
      </c>
      <c r="M46" s="171">
        <f t="shared" si="25"/>
        <v>0</v>
      </c>
      <c r="N46" s="257">
        <v>0.2</v>
      </c>
      <c r="O46" s="174">
        <f t="shared" si="26"/>
        <v>1</v>
      </c>
      <c r="P46" s="171">
        <f t="shared" si="27"/>
        <v>5</v>
      </c>
      <c r="Q46" s="257">
        <v>0.2</v>
      </c>
      <c r="R46" s="174">
        <f t="shared" si="28"/>
        <v>8.5714285714285715E-2</v>
      </c>
      <c r="S46" s="171">
        <f t="shared" si="29"/>
        <v>0.42857142857142855</v>
      </c>
      <c r="T46" s="173">
        <f t="shared" si="30"/>
        <v>0.2</v>
      </c>
      <c r="U46" s="172">
        <f t="shared" si="33"/>
        <v>0.27142857142857141</v>
      </c>
      <c r="V46" s="171">
        <f t="shared" si="31"/>
        <v>1</v>
      </c>
      <c r="W46" s="170">
        <f t="shared" si="32"/>
        <v>0.01</v>
      </c>
      <c r="X46" s="190" t="s">
        <v>966</v>
      </c>
      <c r="Y46" s="189" t="s">
        <v>965</v>
      </c>
      <c r="Z46" s="189" t="s">
        <v>964</v>
      </c>
      <c r="AA46" s="248" t="s">
        <v>542</v>
      </c>
      <c r="AB46" s="247"/>
      <c r="AC46" s="186"/>
      <c r="AD46" s="185"/>
      <c r="AE46" s="184"/>
      <c r="AF46" s="183">
        <v>0</v>
      </c>
      <c r="AG46" s="182">
        <v>0</v>
      </c>
      <c r="AH46" s="181" t="s">
        <v>963</v>
      </c>
      <c r="AI46" s="230">
        <v>61</v>
      </c>
      <c r="AJ46" s="229">
        <v>61</v>
      </c>
      <c r="AK46" s="228" t="s">
        <v>962</v>
      </c>
      <c r="AL46" s="332">
        <v>6</v>
      </c>
      <c r="AM46" s="332">
        <v>70</v>
      </c>
      <c r="AN46" s="198" t="s">
        <v>961</v>
      </c>
    </row>
    <row r="47" spans="1:40" s="153" customFormat="1" ht="56.25" customHeight="1" thickBot="1">
      <c r="A47" s="1659"/>
      <c r="B47" s="1662"/>
      <c r="C47" s="252" t="s">
        <v>960</v>
      </c>
      <c r="D47" s="329" t="s">
        <v>959</v>
      </c>
      <c r="E47" s="259">
        <v>0.01</v>
      </c>
      <c r="F47" s="192" t="s">
        <v>538</v>
      </c>
      <c r="G47" s="191" t="s">
        <v>532</v>
      </c>
      <c r="H47" s="209">
        <v>0</v>
      </c>
      <c r="I47" s="207">
        <f t="shared" si="22"/>
        <v>0</v>
      </c>
      <c r="J47" s="171">
        <f t="shared" si="23"/>
        <v>0</v>
      </c>
      <c r="K47" s="209">
        <v>2</v>
      </c>
      <c r="L47" s="207">
        <f t="shared" si="24"/>
        <v>0</v>
      </c>
      <c r="M47" s="171">
        <f t="shared" si="25"/>
        <v>0</v>
      </c>
      <c r="N47" s="209">
        <v>1</v>
      </c>
      <c r="O47" s="207">
        <f t="shared" si="26"/>
        <v>0</v>
      </c>
      <c r="P47" s="171">
        <f t="shared" si="27"/>
        <v>0</v>
      </c>
      <c r="Q47" s="208">
        <v>1</v>
      </c>
      <c r="R47" s="207">
        <f t="shared" si="28"/>
        <v>4</v>
      </c>
      <c r="S47" s="171">
        <f t="shared" si="29"/>
        <v>4</v>
      </c>
      <c r="T47" s="206">
        <f t="shared" si="30"/>
        <v>4</v>
      </c>
      <c r="U47" s="205">
        <f t="shared" si="33"/>
        <v>4</v>
      </c>
      <c r="V47" s="171">
        <f t="shared" si="31"/>
        <v>1</v>
      </c>
      <c r="W47" s="170">
        <f t="shared" si="32"/>
        <v>0.01</v>
      </c>
      <c r="X47" s="190" t="s">
        <v>953</v>
      </c>
      <c r="Y47" s="204" t="s">
        <v>953</v>
      </c>
      <c r="Z47" s="204" t="s">
        <v>952</v>
      </c>
      <c r="AA47" s="248" t="s">
        <v>542</v>
      </c>
      <c r="AB47" s="247"/>
      <c r="AC47" s="186"/>
      <c r="AD47" s="185"/>
      <c r="AE47" s="184"/>
      <c r="AF47" s="183">
        <v>0</v>
      </c>
      <c r="AG47" s="182">
        <v>2</v>
      </c>
      <c r="AH47" s="181" t="s">
        <v>958</v>
      </c>
      <c r="AI47" s="230">
        <v>0</v>
      </c>
      <c r="AJ47" s="229">
        <v>1</v>
      </c>
      <c r="AK47" s="228" t="s">
        <v>957</v>
      </c>
      <c r="AL47" s="253">
        <v>4</v>
      </c>
      <c r="AM47" s="229">
        <v>1</v>
      </c>
      <c r="AN47" s="198" t="s">
        <v>956</v>
      </c>
    </row>
    <row r="48" spans="1:40" s="153" customFormat="1" ht="48" customHeight="1" thickBot="1">
      <c r="A48" s="1659"/>
      <c r="B48" s="1662"/>
      <c r="C48" s="252" t="s">
        <v>955</v>
      </c>
      <c r="D48" s="329" t="s">
        <v>954</v>
      </c>
      <c r="E48" s="259">
        <v>0.01</v>
      </c>
      <c r="F48" s="192" t="s">
        <v>538</v>
      </c>
      <c r="G48" s="191" t="s">
        <v>532</v>
      </c>
      <c r="H48" s="209">
        <v>0</v>
      </c>
      <c r="I48" s="207">
        <f t="shared" si="22"/>
        <v>0</v>
      </c>
      <c r="J48" s="171">
        <f t="shared" si="23"/>
        <v>0</v>
      </c>
      <c r="K48" s="209">
        <v>1</v>
      </c>
      <c r="L48" s="207">
        <f t="shared" si="24"/>
        <v>1</v>
      </c>
      <c r="M48" s="171">
        <f t="shared" si="25"/>
        <v>1</v>
      </c>
      <c r="N48" s="209">
        <v>0</v>
      </c>
      <c r="O48" s="207">
        <f t="shared" si="26"/>
        <v>0</v>
      </c>
      <c r="P48" s="171">
        <f t="shared" si="27"/>
        <v>0</v>
      </c>
      <c r="Q48" s="208">
        <v>1</v>
      </c>
      <c r="R48" s="207">
        <f t="shared" si="28"/>
        <v>0</v>
      </c>
      <c r="S48" s="171">
        <f t="shared" si="29"/>
        <v>0</v>
      </c>
      <c r="T48" s="206">
        <f t="shared" si="30"/>
        <v>2</v>
      </c>
      <c r="U48" s="205">
        <f t="shared" si="33"/>
        <v>1</v>
      </c>
      <c r="V48" s="171">
        <f t="shared" si="31"/>
        <v>0.5</v>
      </c>
      <c r="W48" s="170">
        <f t="shared" si="32"/>
        <v>5.0000000000000001E-3</v>
      </c>
      <c r="X48" s="190" t="s">
        <v>953</v>
      </c>
      <c r="Y48" s="204" t="s">
        <v>953</v>
      </c>
      <c r="Z48" s="204" t="s">
        <v>952</v>
      </c>
      <c r="AA48" s="248" t="s">
        <v>542</v>
      </c>
      <c r="AB48" s="247"/>
      <c r="AC48" s="186"/>
      <c r="AD48" s="185"/>
      <c r="AE48" s="184"/>
      <c r="AF48" s="183">
        <v>1</v>
      </c>
      <c r="AG48" s="182">
        <v>1</v>
      </c>
      <c r="AH48" s="181" t="s">
        <v>951</v>
      </c>
      <c r="AI48" s="230"/>
      <c r="AJ48" s="229"/>
      <c r="AK48" s="331" t="s">
        <v>950</v>
      </c>
      <c r="AL48" s="253"/>
      <c r="AM48" s="229"/>
      <c r="AN48" s="198"/>
    </row>
    <row r="49" spans="1:45" s="153" customFormat="1" ht="80.25" customHeight="1" thickBot="1">
      <c r="A49" s="1659"/>
      <c r="B49" s="1662"/>
      <c r="C49" s="252" t="s">
        <v>949</v>
      </c>
      <c r="D49" s="329" t="s">
        <v>948</v>
      </c>
      <c r="E49" s="330">
        <v>0.01</v>
      </c>
      <c r="F49" s="192" t="s">
        <v>538</v>
      </c>
      <c r="G49" s="191" t="s">
        <v>531</v>
      </c>
      <c r="H49" s="209">
        <v>15</v>
      </c>
      <c r="I49" s="224">
        <f>IF($G49="Cantidad",AC49,IF(ISERROR(AC49/AD49),0,(AC49/AD49)))</f>
        <v>10.75268817204301</v>
      </c>
      <c r="J49" s="223">
        <f>IF((I49/H49)&gt;1,(100%-(I49-H49)*7%),IF(I49=0,0,(100%+(H49-I49)*7%)))</f>
        <v>1.2973118279569893</v>
      </c>
      <c r="K49" s="209">
        <v>15</v>
      </c>
      <c r="L49" s="224">
        <f>IF($G49="Cantidad",AF49,IF(ISERROR(AF49/AG49),0,(AF49/AG49)))</f>
        <v>12</v>
      </c>
      <c r="M49" s="171">
        <f>K49/L49</f>
        <v>1.25</v>
      </c>
      <c r="N49" s="209">
        <v>15</v>
      </c>
      <c r="O49" s="224">
        <f>IF($G49="Cantidad",AI49,IF(ISERROR(AI49/AJ49),0,(AI49/AJ49)))</f>
        <v>14.134615384615385</v>
      </c>
      <c r="P49" s="171">
        <f>N49/O49</f>
        <v>1.0612244897959184</v>
      </c>
      <c r="Q49" s="208">
        <v>15</v>
      </c>
      <c r="R49" s="224">
        <f>IF($G49="Cantidad",AL49,IF(ISERROR(AL49/AM49),0,(AL49/AM49)))</f>
        <v>13.816901408450704</v>
      </c>
      <c r="S49" s="171">
        <f>Q49/R49</f>
        <v>1.0856269113149848</v>
      </c>
      <c r="T49" s="206">
        <f t="shared" si="30"/>
        <v>15</v>
      </c>
      <c r="U49" s="205">
        <f t="shared" si="33"/>
        <v>12.676051241277275</v>
      </c>
      <c r="V49" s="171">
        <f>IF(IF(ISERROR(T49/U49),0,(T49/U49))&gt;100%,100%,IF(ISERROR(T49/U49),0,(T49/U49)))</f>
        <v>1</v>
      </c>
      <c r="W49" s="170">
        <f t="shared" si="32"/>
        <v>0.01</v>
      </c>
      <c r="X49" s="190" t="s">
        <v>947</v>
      </c>
      <c r="Y49" s="189" t="s">
        <v>946</v>
      </c>
      <c r="Z49" s="204" t="s">
        <v>945</v>
      </c>
      <c r="AA49" s="248" t="s">
        <v>935</v>
      </c>
      <c r="AB49" s="247"/>
      <c r="AC49" s="186">
        <v>1000</v>
      </c>
      <c r="AD49" s="185">
        <v>93</v>
      </c>
      <c r="AE49" s="184" t="s">
        <v>944</v>
      </c>
      <c r="AF49" s="183">
        <v>4260</v>
      </c>
      <c r="AG49" s="182">
        <v>355</v>
      </c>
      <c r="AH49" s="181" t="s">
        <v>943</v>
      </c>
      <c r="AI49" s="230">
        <v>735</v>
      </c>
      <c r="AJ49" s="229">
        <v>52</v>
      </c>
      <c r="AK49" s="228" t="s">
        <v>942</v>
      </c>
      <c r="AL49" s="253">
        <v>981</v>
      </c>
      <c r="AM49" s="229">
        <v>71</v>
      </c>
      <c r="AN49" s="228" t="s">
        <v>941</v>
      </c>
    </row>
    <row r="50" spans="1:45" s="153" customFormat="1" ht="72" customHeight="1" thickBot="1">
      <c r="A50" s="1660"/>
      <c r="B50" s="1662"/>
      <c r="C50" s="252" t="s">
        <v>940</v>
      </c>
      <c r="D50" s="329" t="s">
        <v>939</v>
      </c>
      <c r="E50" s="328">
        <v>0.01</v>
      </c>
      <c r="F50" s="294" t="s">
        <v>538</v>
      </c>
      <c r="G50" s="191" t="s">
        <v>531</v>
      </c>
      <c r="H50" s="242">
        <v>5</v>
      </c>
      <c r="I50" s="207">
        <f t="shared" ref="I50:I90" si="34">IF($F50="Cantidad",AC50,IF(ISERROR(AC50/AD50),0,AC50/AD50))</f>
        <v>3</v>
      </c>
      <c r="J50" s="238">
        <f t="shared" ref="J50:J90" si="35">IF(ISERROR(I50/H50),0,(I50/H50))</f>
        <v>0.6</v>
      </c>
      <c r="K50" s="242">
        <v>5</v>
      </c>
      <c r="L50" s="207">
        <f t="shared" ref="L50:L68" si="36">IF($F50="Cantidad",AF50,IF(ISERROR(AF50/AG50),0,AF50/AG50))</f>
        <v>8</v>
      </c>
      <c r="M50" s="238">
        <f t="shared" ref="M50:M90" si="37">IF(ISERROR(L50/K50),0,(L50/K50))</f>
        <v>1.6</v>
      </c>
      <c r="N50" s="242">
        <v>5</v>
      </c>
      <c r="O50" s="224">
        <f>IF($G50="Cantidad",AI50,IF(ISERROR(AI50/AJ50),0,(AI50/AJ50)))</f>
        <v>1</v>
      </c>
      <c r="P50" s="238">
        <f t="shared" ref="P50:P90" si="38">IF(ISERROR(O50/N50),0,(O50/N50))</f>
        <v>0.2</v>
      </c>
      <c r="Q50" s="241">
        <v>5</v>
      </c>
      <c r="R50" s="207">
        <f t="shared" ref="R50:R90" si="39">IF($F50="Cantidad",AL50,IF(ISERROR(AL50/AM50),0,AL50/AM50))</f>
        <v>5</v>
      </c>
      <c r="S50" s="238">
        <f t="shared" ref="S50:S90" si="40">IF(ISERROR(R50/Q50),0,(R50/Q50))</f>
        <v>1</v>
      </c>
      <c r="T50" s="240">
        <f t="shared" si="30"/>
        <v>5</v>
      </c>
      <c r="U50" s="239">
        <f t="shared" si="33"/>
        <v>4.25</v>
      </c>
      <c r="V50" s="171">
        <f>IF(IF(ISERROR(T50/U50),0,(T50/U50))&gt;100%,100%,IF(ISERROR(T50/U50),0,(T50/U50)))</f>
        <v>1</v>
      </c>
      <c r="W50" s="237">
        <f t="shared" si="32"/>
        <v>0.01</v>
      </c>
      <c r="X50" s="169" t="s">
        <v>938</v>
      </c>
      <c r="Y50" s="167" t="s">
        <v>937</v>
      </c>
      <c r="Z50" s="167" t="s">
        <v>936</v>
      </c>
      <c r="AA50" s="236" t="s">
        <v>935</v>
      </c>
      <c r="AB50" s="327" t="s">
        <v>934</v>
      </c>
      <c r="AC50" s="164">
        <v>3</v>
      </c>
      <c r="AD50" s="163">
        <v>117</v>
      </c>
      <c r="AE50" s="162" t="s">
        <v>933</v>
      </c>
      <c r="AF50" s="161">
        <v>8</v>
      </c>
      <c r="AG50" s="182">
        <v>291</v>
      </c>
      <c r="AH50" s="181" t="s">
        <v>932</v>
      </c>
      <c r="AI50" s="230">
        <v>213</v>
      </c>
      <c r="AJ50" s="229">
        <v>213</v>
      </c>
      <c r="AK50" s="228" t="s">
        <v>931</v>
      </c>
      <c r="AL50" s="253">
        <v>5</v>
      </c>
      <c r="AM50" s="229">
        <v>52</v>
      </c>
      <c r="AN50" s="198" t="s">
        <v>930</v>
      </c>
    </row>
    <row r="51" spans="1:45" s="153" customFormat="1" ht="90.75" customHeight="1" thickBot="1">
      <c r="A51" s="1620" t="s">
        <v>523</v>
      </c>
      <c r="B51" s="1706" t="s">
        <v>635</v>
      </c>
      <c r="C51" s="326">
        <v>15.1</v>
      </c>
      <c r="D51" s="279" t="s">
        <v>929</v>
      </c>
      <c r="E51" s="325">
        <v>0.02</v>
      </c>
      <c r="F51" s="277" t="s">
        <v>538</v>
      </c>
      <c r="G51" s="324" t="s">
        <v>532</v>
      </c>
      <c r="H51" s="227">
        <v>65</v>
      </c>
      <c r="I51" s="207">
        <f t="shared" si="34"/>
        <v>65</v>
      </c>
      <c r="J51" s="223">
        <f t="shared" si="35"/>
        <v>1</v>
      </c>
      <c r="K51" s="227">
        <v>90</v>
      </c>
      <c r="L51" s="207">
        <f t="shared" si="36"/>
        <v>116</v>
      </c>
      <c r="M51" s="223">
        <f t="shared" si="37"/>
        <v>1.288888888888889</v>
      </c>
      <c r="N51" s="227">
        <v>85</v>
      </c>
      <c r="O51" s="207">
        <f t="shared" ref="O51:O90" si="41">IF($F51="Cantidad",AI51,IF(ISERROR(AI51/AJ51),0,AI51/AJ51))</f>
        <v>0</v>
      </c>
      <c r="P51" s="223">
        <f t="shared" si="38"/>
        <v>0</v>
      </c>
      <c r="Q51" s="226">
        <v>60</v>
      </c>
      <c r="R51" s="207">
        <f t="shared" si="39"/>
        <v>0</v>
      </c>
      <c r="S51" s="223">
        <f t="shared" si="40"/>
        <v>0</v>
      </c>
      <c r="T51" s="225">
        <f t="shared" si="30"/>
        <v>300</v>
      </c>
      <c r="U51" s="224">
        <f t="shared" si="33"/>
        <v>181</v>
      </c>
      <c r="V51" s="223">
        <f t="shared" ref="V51:V90" si="42">IF(IF(ISERROR(U51/T51),0,(U51/T51))&gt;100%,100%,IF(ISERROR(U51/T51),0,(U51/T51)))</f>
        <v>0.60333333333333339</v>
      </c>
      <c r="W51" s="222">
        <f t="shared" si="32"/>
        <v>1.2066666666666668E-2</v>
      </c>
      <c r="X51" s="323" t="s">
        <v>928</v>
      </c>
      <c r="Y51" s="323" t="s">
        <v>927</v>
      </c>
      <c r="Z51" s="322" t="s">
        <v>926</v>
      </c>
      <c r="AA51" s="321" t="s">
        <v>542</v>
      </c>
      <c r="AB51" s="320" t="s">
        <v>925</v>
      </c>
      <c r="AC51" s="319">
        <v>65</v>
      </c>
      <c r="AD51" s="233">
        <v>65</v>
      </c>
      <c r="AE51" s="318" t="s">
        <v>924</v>
      </c>
      <c r="AF51" s="313">
        <v>116</v>
      </c>
      <c r="AG51" s="312">
        <v>90</v>
      </c>
      <c r="AH51" s="312" t="s">
        <v>923</v>
      </c>
      <c r="AI51" s="267">
        <v>0</v>
      </c>
      <c r="AJ51" s="266">
        <v>85</v>
      </c>
      <c r="AK51" s="317" t="s">
        <v>922</v>
      </c>
      <c r="AL51" s="267">
        <v>0</v>
      </c>
      <c r="AM51" s="266">
        <v>60</v>
      </c>
      <c r="AN51" s="1676" t="s">
        <v>921</v>
      </c>
      <c r="AO51" s="1677"/>
    </row>
    <row r="52" spans="1:45" s="153" customFormat="1" ht="52.5" customHeight="1" thickBot="1">
      <c r="A52" s="1620"/>
      <c r="B52" s="1707"/>
      <c r="C52" s="316">
        <v>15.2</v>
      </c>
      <c r="D52" s="261" t="s">
        <v>920</v>
      </c>
      <c r="E52" s="259">
        <v>0.01</v>
      </c>
      <c r="F52" s="192" t="s">
        <v>538</v>
      </c>
      <c r="G52" s="191" t="s">
        <v>532</v>
      </c>
      <c r="H52" s="209">
        <v>50</v>
      </c>
      <c r="I52" s="207">
        <f t="shared" si="34"/>
        <v>50</v>
      </c>
      <c r="J52" s="171">
        <f t="shared" si="35"/>
        <v>1</v>
      </c>
      <c r="K52" s="209">
        <v>60</v>
      </c>
      <c r="L52" s="207">
        <f t="shared" si="36"/>
        <v>39</v>
      </c>
      <c r="M52" s="171">
        <f t="shared" si="37"/>
        <v>0.65</v>
      </c>
      <c r="N52" s="209">
        <v>60</v>
      </c>
      <c r="O52" s="207">
        <f t="shared" si="41"/>
        <v>60</v>
      </c>
      <c r="P52" s="171">
        <f t="shared" si="38"/>
        <v>1</v>
      </c>
      <c r="Q52" s="208">
        <v>60</v>
      </c>
      <c r="R52" s="207">
        <f t="shared" si="39"/>
        <v>25</v>
      </c>
      <c r="S52" s="171">
        <f t="shared" si="40"/>
        <v>0.41666666666666669</v>
      </c>
      <c r="T52" s="206">
        <f t="shared" si="30"/>
        <v>230</v>
      </c>
      <c r="U52" s="205">
        <f t="shared" si="33"/>
        <v>174</v>
      </c>
      <c r="V52" s="171">
        <f t="shared" si="42"/>
        <v>0.75652173913043474</v>
      </c>
      <c r="W52" s="170">
        <f t="shared" si="32"/>
        <v>7.5652173913043474E-3</v>
      </c>
      <c r="X52" s="303" t="s">
        <v>919</v>
      </c>
      <c r="Y52" s="303" t="s">
        <v>919</v>
      </c>
      <c r="Z52" s="189" t="s">
        <v>918</v>
      </c>
      <c r="AA52" s="300" t="s">
        <v>542</v>
      </c>
      <c r="AB52" s="288" t="s">
        <v>917</v>
      </c>
      <c r="AC52" s="186">
        <v>50</v>
      </c>
      <c r="AD52" s="185">
        <v>51</v>
      </c>
      <c r="AE52" s="184" t="s">
        <v>916</v>
      </c>
      <c r="AF52" s="313">
        <v>39</v>
      </c>
      <c r="AG52" s="315">
        <v>60</v>
      </c>
      <c r="AH52" s="314" t="s">
        <v>915</v>
      </c>
      <c r="AI52" s="183">
        <v>60</v>
      </c>
      <c r="AJ52" s="202">
        <v>25</v>
      </c>
      <c r="AK52" s="314" t="s">
        <v>914</v>
      </c>
      <c r="AL52" s="183">
        <v>25</v>
      </c>
      <c r="AM52" s="202">
        <v>60</v>
      </c>
      <c r="AN52" s="1672" t="s">
        <v>913</v>
      </c>
      <c r="AO52" s="1673"/>
    </row>
    <row r="53" spans="1:45" s="153" customFormat="1" ht="60" customHeight="1" thickBot="1">
      <c r="A53" s="1620"/>
      <c r="B53" s="1707"/>
      <c r="C53" s="195">
        <v>15.3</v>
      </c>
      <c r="D53" s="261" t="s">
        <v>912</v>
      </c>
      <c r="E53" s="259">
        <v>0.01</v>
      </c>
      <c r="F53" s="192" t="s">
        <v>537</v>
      </c>
      <c r="G53" s="191" t="s">
        <v>531</v>
      </c>
      <c r="H53" s="257">
        <v>1</v>
      </c>
      <c r="I53" s="174">
        <f t="shared" si="34"/>
        <v>1</v>
      </c>
      <c r="J53" s="171">
        <f t="shared" si="35"/>
        <v>1</v>
      </c>
      <c r="K53" s="257">
        <v>1</v>
      </c>
      <c r="L53" s="174">
        <f t="shared" si="36"/>
        <v>0.93</v>
      </c>
      <c r="M53" s="171">
        <f t="shared" si="37"/>
        <v>0.93</v>
      </c>
      <c r="N53" s="257">
        <v>1</v>
      </c>
      <c r="O53" s="174">
        <f t="shared" si="41"/>
        <v>1</v>
      </c>
      <c r="P53" s="171">
        <f t="shared" si="38"/>
        <v>1</v>
      </c>
      <c r="Q53" s="257">
        <v>1</v>
      </c>
      <c r="R53" s="174">
        <f t="shared" si="39"/>
        <v>1</v>
      </c>
      <c r="S53" s="171">
        <f t="shared" si="40"/>
        <v>1</v>
      </c>
      <c r="T53" s="173">
        <f t="shared" si="30"/>
        <v>1</v>
      </c>
      <c r="U53" s="172">
        <f t="shared" si="33"/>
        <v>0.98250000000000004</v>
      </c>
      <c r="V53" s="171">
        <f t="shared" si="42"/>
        <v>0.98250000000000004</v>
      </c>
      <c r="W53" s="170">
        <f t="shared" si="32"/>
        <v>9.8250000000000004E-3</v>
      </c>
      <c r="X53" s="303" t="s">
        <v>911</v>
      </c>
      <c r="Y53" s="303" t="s">
        <v>911</v>
      </c>
      <c r="Z53" s="189" t="s">
        <v>910</v>
      </c>
      <c r="AA53" s="300" t="s">
        <v>542</v>
      </c>
      <c r="AB53" s="288" t="s">
        <v>909</v>
      </c>
      <c r="AC53" s="186">
        <v>302</v>
      </c>
      <c r="AD53" s="185">
        <v>302</v>
      </c>
      <c r="AE53" s="184" t="s">
        <v>908</v>
      </c>
      <c r="AF53" s="313">
        <v>279</v>
      </c>
      <c r="AG53" s="312">
        <v>300</v>
      </c>
      <c r="AH53" s="311" t="s">
        <v>907</v>
      </c>
      <c r="AI53" s="310">
        <v>1</v>
      </c>
      <c r="AJ53" s="309">
        <v>1</v>
      </c>
      <c r="AK53" s="311" t="s">
        <v>906</v>
      </c>
      <c r="AL53" s="310">
        <v>1</v>
      </c>
      <c r="AM53" s="309">
        <v>1</v>
      </c>
      <c r="AN53" s="1674" t="s">
        <v>905</v>
      </c>
      <c r="AO53" s="1675"/>
    </row>
    <row r="54" spans="1:45" s="153" customFormat="1" ht="74.25" customHeight="1" thickBot="1">
      <c r="A54" s="1620"/>
      <c r="B54" s="1707"/>
      <c r="C54" s="195">
        <v>15.4</v>
      </c>
      <c r="D54" s="261" t="s">
        <v>904</v>
      </c>
      <c r="E54" s="259">
        <v>0.01</v>
      </c>
      <c r="F54" s="192" t="s">
        <v>538</v>
      </c>
      <c r="G54" s="191" t="s">
        <v>532</v>
      </c>
      <c r="H54" s="209">
        <v>1</v>
      </c>
      <c r="I54" s="207">
        <f t="shared" si="34"/>
        <v>1</v>
      </c>
      <c r="J54" s="171">
        <f t="shared" si="35"/>
        <v>1</v>
      </c>
      <c r="K54" s="209">
        <v>1</v>
      </c>
      <c r="L54" s="207">
        <f t="shared" si="36"/>
        <v>1</v>
      </c>
      <c r="M54" s="171">
        <f t="shared" si="37"/>
        <v>1</v>
      </c>
      <c r="N54" s="209">
        <v>1</v>
      </c>
      <c r="O54" s="207">
        <f t="shared" si="41"/>
        <v>1</v>
      </c>
      <c r="P54" s="171">
        <f t="shared" si="38"/>
        <v>1</v>
      </c>
      <c r="Q54" s="208">
        <v>1</v>
      </c>
      <c r="R54" s="207">
        <f t="shared" si="39"/>
        <v>3</v>
      </c>
      <c r="S54" s="171">
        <f t="shared" si="40"/>
        <v>3</v>
      </c>
      <c r="T54" s="206">
        <f t="shared" si="30"/>
        <v>4</v>
      </c>
      <c r="U54" s="205">
        <f t="shared" si="33"/>
        <v>6</v>
      </c>
      <c r="V54" s="171">
        <f t="shared" si="42"/>
        <v>1</v>
      </c>
      <c r="W54" s="170">
        <f t="shared" si="32"/>
        <v>0.01</v>
      </c>
      <c r="X54" s="303" t="s">
        <v>903</v>
      </c>
      <c r="Y54" s="303" t="s">
        <v>903</v>
      </c>
      <c r="Z54" s="189" t="s">
        <v>902</v>
      </c>
      <c r="AA54" s="300" t="s">
        <v>542</v>
      </c>
      <c r="AB54" s="288" t="s">
        <v>901</v>
      </c>
      <c r="AC54" s="186">
        <v>1</v>
      </c>
      <c r="AD54" s="185">
        <v>1</v>
      </c>
      <c r="AE54" s="184" t="s">
        <v>900</v>
      </c>
      <c r="AF54" s="307">
        <v>1</v>
      </c>
      <c r="AG54" s="306">
        <v>1</v>
      </c>
      <c r="AH54" s="305" t="s">
        <v>900</v>
      </c>
      <c r="AI54" s="183">
        <v>1</v>
      </c>
      <c r="AJ54" s="182">
        <v>1</v>
      </c>
      <c r="AK54" s="308" t="s">
        <v>899</v>
      </c>
      <c r="AL54" s="183">
        <v>3</v>
      </c>
      <c r="AM54" s="182">
        <v>1</v>
      </c>
      <c r="AN54" s="1676" t="s">
        <v>898</v>
      </c>
      <c r="AO54" s="1677"/>
    </row>
    <row r="55" spans="1:45" s="153" customFormat="1" ht="87" customHeight="1" thickBot="1">
      <c r="A55" s="1620"/>
      <c r="B55" s="1707"/>
      <c r="C55" s="195">
        <v>15.5</v>
      </c>
      <c r="D55" s="304" t="s">
        <v>897</v>
      </c>
      <c r="E55" s="259">
        <v>0</v>
      </c>
      <c r="F55" s="192" t="s">
        <v>538</v>
      </c>
      <c r="G55" s="191" t="s">
        <v>532</v>
      </c>
      <c r="H55" s="209"/>
      <c r="I55" s="207">
        <f t="shared" si="34"/>
        <v>0</v>
      </c>
      <c r="J55" s="171">
        <f t="shared" si="35"/>
        <v>0</v>
      </c>
      <c r="K55" s="209"/>
      <c r="L55" s="207">
        <f t="shared" si="36"/>
        <v>0</v>
      </c>
      <c r="M55" s="171">
        <f t="shared" si="37"/>
        <v>0</v>
      </c>
      <c r="N55" s="209"/>
      <c r="O55" s="207">
        <f t="shared" si="41"/>
        <v>0</v>
      </c>
      <c r="P55" s="171">
        <f t="shared" si="38"/>
        <v>0</v>
      </c>
      <c r="Q55" s="208"/>
      <c r="R55" s="207">
        <f t="shared" si="39"/>
        <v>0</v>
      </c>
      <c r="S55" s="171">
        <f t="shared" si="40"/>
        <v>0</v>
      </c>
      <c r="T55" s="206">
        <f t="shared" si="30"/>
        <v>0</v>
      </c>
      <c r="U55" s="205">
        <f t="shared" si="33"/>
        <v>0</v>
      </c>
      <c r="V55" s="171">
        <f t="shared" si="42"/>
        <v>0</v>
      </c>
      <c r="W55" s="170">
        <f t="shared" si="32"/>
        <v>0</v>
      </c>
      <c r="X55" s="303" t="s">
        <v>896</v>
      </c>
      <c r="Y55" s="303" t="s">
        <v>895</v>
      </c>
      <c r="Z55" s="189" t="s">
        <v>894</v>
      </c>
      <c r="AA55" s="300" t="s">
        <v>542</v>
      </c>
      <c r="AB55" s="288"/>
      <c r="AC55" s="186"/>
      <c r="AD55" s="185"/>
      <c r="AE55" s="184" t="s">
        <v>872</v>
      </c>
      <c r="AF55" s="307"/>
      <c r="AG55" s="306"/>
      <c r="AH55" s="305"/>
      <c r="AI55" s="230"/>
      <c r="AJ55" s="229"/>
      <c r="AK55" s="228" t="s">
        <v>872</v>
      </c>
      <c r="AL55" s="156"/>
      <c r="AM55" s="155"/>
      <c r="AN55" s="228"/>
    </row>
    <row r="56" spans="1:45" s="153" customFormat="1" ht="80.25" customHeight="1" thickBot="1">
      <c r="A56" s="1620"/>
      <c r="B56" s="1707"/>
      <c r="C56" s="195">
        <v>15.6</v>
      </c>
      <c r="D56" s="261" t="s">
        <v>893</v>
      </c>
      <c r="E56" s="259">
        <v>0</v>
      </c>
      <c r="F56" s="192" t="s">
        <v>538</v>
      </c>
      <c r="G56" s="191" t="s">
        <v>532</v>
      </c>
      <c r="H56" s="209"/>
      <c r="I56" s="207">
        <f t="shared" si="34"/>
        <v>0</v>
      </c>
      <c r="J56" s="171">
        <f t="shared" si="35"/>
        <v>0</v>
      </c>
      <c r="K56" s="209"/>
      <c r="L56" s="207">
        <f t="shared" si="36"/>
        <v>0</v>
      </c>
      <c r="M56" s="171">
        <f t="shared" si="37"/>
        <v>0</v>
      </c>
      <c r="N56" s="209"/>
      <c r="O56" s="207">
        <f t="shared" si="41"/>
        <v>0</v>
      </c>
      <c r="P56" s="171">
        <f t="shared" si="38"/>
        <v>0</v>
      </c>
      <c r="Q56" s="208"/>
      <c r="R56" s="207">
        <f t="shared" si="39"/>
        <v>0</v>
      </c>
      <c r="S56" s="171">
        <f t="shared" si="40"/>
        <v>0</v>
      </c>
      <c r="T56" s="206">
        <f t="shared" si="30"/>
        <v>0</v>
      </c>
      <c r="U56" s="205">
        <f t="shared" si="33"/>
        <v>0</v>
      </c>
      <c r="V56" s="171">
        <f t="shared" si="42"/>
        <v>0</v>
      </c>
      <c r="W56" s="170">
        <f t="shared" si="32"/>
        <v>0</v>
      </c>
      <c r="X56" s="204" t="s">
        <v>892</v>
      </c>
      <c r="Y56" s="204" t="s">
        <v>892</v>
      </c>
      <c r="Z56" s="189"/>
      <c r="AA56" s="300" t="s">
        <v>542</v>
      </c>
      <c r="AB56" s="288"/>
      <c r="AC56" s="186"/>
      <c r="AD56" s="185"/>
      <c r="AE56" s="184" t="s">
        <v>872</v>
      </c>
      <c r="AF56" s="183"/>
      <c r="AG56" s="182"/>
      <c r="AH56" s="181"/>
      <c r="AI56" s="230"/>
      <c r="AJ56" s="229"/>
      <c r="AK56" s="228" t="s">
        <v>872</v>
      </c>
      <c r="AL56" s="156"/>
      <c r="AM56" s="155"/>
      <c r="AN56" s="228"/>
    </row>
    <row r="57" spans="1:45" s="153" customFormat="1" ht="63" customHeight="1" thickBot="1">
      <c r="A57" s="1620"/>
      <c r="B57" s="1707"/>
      <c r="C57" s="195">
        <v>15.7</v>
      </c>
      <c r="D57" s="261" t="s">
        <v>891</v>
      </c>
      <c r="E57" s="259">
        <v>0</v>
      </c>
      <c r="F57" s="192" t="s">
        <v>538</v>
      </c>
      <c r="G57" s="191" t="s">
        <v>532</v>
      </c>
      <c r="H57" s="209"/>
      <c r="I57" s="207">
        <f t="shared" si="34"/>
        <v>0</v>
      </c>
      <c r="J57" s="171">
        <f t="shared" si="35"/>
        <v>0</v>
      </c>
      <c r="K57" s="209"/>
      <c r="L57" s="207">
        <f t="shared" si="36"/>
        <v>0</v>
      </c>
      <c r="M57" s="171">
        <f t="shared" si="37"/>
        <v>0</v>
      </c>
      <c r="N57" s="209"/>
      <c r="O57" s="207">
        <f t="shared" si="41"/>
        <v>0</v>
      </c>
      <c r="P57" s="171">
        <f t="shared" si="38"/>
        <v>0</v>
      </c>
      <c r="Q57" s="208"/>
      <c r="R57" s="207">
        <f t="shared" si="39"/>
        <v>0</v>
      </c>
      <c r="S57" s="171">
        <f t="shared" si="40"/>
        <v>0</v>
      </c>
      <c r="T57" s="206">
        <f t="shared" si="30"/>
        <v>0</v>
      </c>
      <c r="U57" s="205">
        <f t="shared" si="33"/>
        <v>0</v>
      </c>
      <c r="V57" s="171">
        <f t="shared" si="42"/>
        <v>0</v>
      </c>
      <c r="W57" s="170">
        <f t="shared" si="32"/>
        <v>0</v>
      </c>
      <c r="X57" s="204" t="s">
        <v>890</v>
      </c>
      <c r="Y57" s="204" t="s">
        <v>889</v>
      </c>
      <c r="Z57" s="189"/>
      <c r="AA57" s="300" t="s">
        <v>542</v>
      </c>
      <c r="AB57" s="288"/>
      <c r="AC57" s="186"/>
      <c r="AD57" s="185"/>
      <c r="AE57" s="184" t="s">
        <v>872</v>
      </c>
      <c r="AF57" s="183"/>
      <c r="AG57" s="182"/>
      <c r="AH57" s="181"/>
      <c r="AI57" s="230"/>
      <c r="AJ57" s="229"/>
      <c r="AK57" s="228" t="s">
        <v>872</v>
      </c>
      <c r="AL57" s="156"/>
      <c r="AM57" s="155"/>
      <c r="AN57" s="228"/>
    </row>
    <row r="58" spans="1:45" s="153" customFormat="1" ht="43.5" customHeight="1" thickBot="1">
      <c r="A58" s="1620"/>
      <c r="B58" s="1707"/>
      <c r="C58" s="195">
        <v>15.799999999999999</v>
      </c>
      <c r="D58" s="261" t="s">
        <v>888</v>
      </c>
      <c r="E58" s="259">
        <v>0</v>
      </c>
      <c r="F58" s="192" t="s">
        <v>538</v>
      </c>
      <c r="G58" s="191" t="s">
        <v>532</v>
      </c>
      <c r="H58" s="209"/>
      <c r="I58" s="207">
        <f t="shared" si="34"/>
        <v>0</v>
      </c>
      <c r="J58" s="171">
        <f t="shared" si="35"/>
        <v>0</v>
      </c>
      <c r="K58" s="209"/>
      <c r="L58" s="207">
        <f t="shared" si="36"/>
        <v>0</v>
      </c>
      <c r="M58" s="171">
        <f t="shared" si="37"/>
        <v>0</v>
      </c>
      <c r="N58" s="209"/>
      <c r="O58" s="207">
        <f t="shared" si="41"/>
        <v>0</v>
      </c>
      <c r="P58" s="171">
        <f t="shared" si="38"/>
        <v>0</v>
      </c>
      <c r="Q58" s="208"/>
      <c r="R58" s="207">
        <f t="shared" si="39"/>
        <v>0</v>
      </c>
      <c r="S58" s="171">
        <f t="shared" si="40"/>
        <v>0</v>
      </c>
      <c r="T58" s="206">
        <f t="shared" si="30"/>
        <v>0</v>
      </c>
      <c r="U58" s="205">
        <f t="shared" si="33"/>
        <v>0</v>
      </c>
      <c r="V58" s="171">
        <f t="shared" si="42"/>
        <v>0</v>
      </c>
      <c r="W58" s="170">
        <f t="shared" si="32"/>
        <v>0</v>
      </c>
      <c r="X58" s="204" t="s">
        <v>887</v>
      </c>
      <c r="Y58" s="204" t="s">
        <v>886</v>
      </c>
      <c r="Z58" s="189"/>
      <c r="AA58" s="300" t="s">
        <v>542</v>
      </c>
      <c r="AB58" s="288"/>
      <c r="AC58" s="186"/>
      <c r="AD58" s="185"/>
      <c r="AE58" s="184" t="s">
        <v>872</v>
      </c>
      <c r="AF58" s="183"/>
      <c r="AG58" s="182"/>
      <c r="AH58" s="181"/>
      <c r="AI58" s="230"/>
      <c r="AJ58" s="229"/>
      <c r="AK58" s="228" t="s">
        <v>872</v>
      </c>
      <c r="AL58" s="156"/>
      <c r="AM58" s="155"/>
      <c r="AN58" s="228"/>
    </row>
    <row r="59" spans="1:45" s="153" customFormat="1" ht="49.5" customHeight="1" thickBot="1">
      <c r="A59" s="1620"/>
      <c r="B59" s="1707"/>
      <c r="C59" s="195">
        <v>15.899999999999999</v>
      </c>
      <c r="D59" s="261" t="s">
        <v>885</v>
      </c>
      <c r="E59" s="259">
        <v>0</v>
      </c>
      <c r="F59" s="192" t="s">
        <v>538</v>
      </c>
      <c r="G59" s="191" t="s">
        <v>532</v>
      </c>
      <c r="H59" s="209">
        <v>0</v>
      </c>
      <c r="I59" s="207">
        <f t="shared" si="34"/>
        <v>0</v>
      </c>
      <c r="J59" s="171">
        <f t="shared" si="35"/>
        <v>0</v>
      </c>
      <c r="K59" s="209"/>
      <c r="L59" s="207">
        <f t="shared" si="36"/>
        <v>0</v>
      </c>
      <c r="M59" s="171">
        <f t="shared" si="37"/>
        <v>0</v>
      </c>
      <c r="N59" s="209"/>
      <c r="O59" s="207">
        <f t="shared" si="41"/>
        <v>0</v>
      </c>
      <c r="P59" s="171">
        <f t="shared" si="38"/>
        <v>0</v>
      </c>
      <c r="Q59" s="208"/>
      <c r="R59" s="207">
        <f t="shared" si="39"/>
        <v>0</v>
      </c>
      <c r="S59" s="171">
        <f t="shared" si="40"/>
        <v>0</v>
      </c>
      <c r="T59" s="206">
        <f t="shared" si="30"/>
        <v>0</v>
      </c>
      <c r="U59" s="205">
        <f t="shared" si="33"/>
        <v>0</v>
      </c>
      <c r="V59" s="171">
        <f t="shared" si="42"/>
        <v>0</v>
      </c>
      <c r="W59" s="170">
        <f t="shared" si="32"/>
        <v>0</v>
      </c>
      <c r="X59" s="204" t="s">
        <v>884</v>
      </c>
      <c r="Y59" s="204" t="s">
        <v>883</v>
      </c>
      <c r="Z59" s="189"/>
      <c r="AA59" s="300" t="s">
        <v>542</v>
      </c>
      <c r="AB59" s="288"/>
      <c r="AC59" s="186"/>
      <c r="AD59" s="185"/>
      <c r="AE59" s="184" t="s">
        <v>872</v>
      </c>
      <c r="AF59" s="183"/>
      <c r="AG59" s="182"/>
      <c r="AH59" s="181"/>
      <c r="AI59" s="230"/>
      <c r="AJ59" s="229"/>
      <c r="AK59" s="228" t="s">
        <v>872</v>
      </c>
      <c r="AL59" s="156"/>
      <c r="AM59" s="155"/>
      <c r="AN59" s="228"/>
    </row>
    <row r="60" spans="1:45" s="153" customFormat="1" ht="78.75" customHeight="1" thickBot="1">
      <c r="A60" s="1620"/>
      <c r="B60" s="1707"/>
      <c r="C60" s="297">
        <v>15.1</v>
      </c>
      <c r="D60" s="261" t="s">
        <v>882</v>
      </c>
      <c r="E60" s="259">
        <v>0.01</v>
      </c>
      <c r="F60" s="192" t="s">
        <v>538</v>
      </c>
      <c r="G60" s="191" t="s">
        <v>532</v>
      </c>
      <c r="H60" s="209">
        <v>10</v>
      </c>
      <c r="I60" s="207">
        <f t="shared" si="34"/>
        <v>10</v>
      </c>
      <c r="J60" s="171">
        <f t="shared" si="35"/>
        <v>1</v>
      </c>
      <c r="K60" s="209">
        <v>10</v>
      </c>
      <c r="L60" s="207">
        <f t="shared" si="36"/>
        <v>10</v>
      </c>
      <c r="M60" s="171">
        <f t="shared" si="37"/>
        <v>1</v>
      </c>
      <c r="N60" s="209">
        <v>10</v>
      </c>
      <c r="O60" s="207">
        <f t="shared" si="41"/>
        <v>10</v>
      </c>
      <c r="P60" s="171">
        <f t="shared" si="38"/>
        <v>1</v>
      </c>
      <c r="Q60" s="208">
        <v>10</v>
      </c>
      <c r="R60" s="207">
        <f t="shared" si="39"/>
        <v>10</v>
      </c>
      <c r="S60" s="171">
        <f t="shared" si="40"/>
        <v>1</v>
      </c>
      <c r="T60" s="206">
        <f t="shared" si="30"/>
        <v>40</v>
      </c>
      <c r="U60" s="205">
        <f t="shared" si="33"/>
        <v>40</v>
      </c>
      <c r="V60" s="171">
        <f t="shared" si="42"/>
        <v>1</v>
      </c>
      <c r="W60" s="170">
        <f t="shared" si="32"/>
        <v>0.01</v>
      </c>
      <c r="X60" s="204" t="s">
        <v>881</v>
      </c>
      <c r="Y60" s="204" t="s">
        <v>880</v>
      </c>
      <c r="Z60" s="189"/>
      <c r="AA60" s="300" t="s">
        <v>542</v>
      </c>
      <c r="AB60" s="288" t="s">
        <v>879</v>
      </c>
      <c r="AC60" s="186">
        <v>10</v>
      </c>
      <c r="AD60" s="185">
        <v>10</v>
      </c>
      <c r="AE60" s="184" t="s">
        <v>878</v>
      </c>
      <c r="AF60" s="183">
        <v>10</v>
      </c>
      <c r="AG60" s="182">
        <v>10</v>
      </c>
      <c r="AH60" s="181" t="s">
        <v>877</v>
      </c>
      <c r="AI60" s="230">
        <v>10</v>
      </c>
      <c r="AJ60" s="229">
        <v>10</v>
      </c>
      <c r="AK60" s="228" t="s">
        <v>876</v>
      </c>
      <c r="AL60" s="156">
        <v>10</v>
      </c>
      <c r="AM60" s="155">
        <v>10</v>
      </c>
      <c r="AN60" s="228" t="s">
        <v>875</v>
      </c>
      <c r="AP60" s="1663"/>
      <c r="AQ60" s="1664"/>
      <c r="AR60" s="1664"/>
      <c r="AS60" s="1665"/>
    </row>
    <row r="61" spans="1:45" s="153" customFormat="1" ht="61.5" customHeight="1" thickBot="1">
      <c r="A61" s="1620"/>
      <c r="B61" s="1707"/>
      <c r="C61" s="297">
        <v>15.11</v>
      </c>
      <c r="D61" s="304" t="s">
        <v>874</v>
      </c>
      <c r="E61" s="259">
        <v>0</v>
      </c>
      <c r="F61" s="192" t="s">
        <v>538</v>
      </c>
      <c r="G61" s="191" t="s">
        <v>532</v>
      </c>
      <c r="H61" s="209"/>
      <c r="I61" s="207">
        <f t="shared" si="34"/>
        <v>0</v>
      </c>
      <c r="J61" s="171">
        <f t="shared" si="35"/>
        <v>0</v>
      </c>
      <c r="K61" s="209"/>
      <c r="L61" s="207">
        <f t="shared" si="36"/>
        <v>0</v>
      </c>
      <c r="M61" s="171">
        <f t="shared" si="37"/>
        <v>0</v>
      </c>
      <c r="N61" s="209"/>
      <c r="O61" s="207">
        <f t="shared" si="41"/>
        <v>0</v>
      </c>
      <c r="P61" s="171">
        <f t="shared" si="38"/>
        <v>0</v>
      </c>
      <c r="Q61" s="208"/>
      <c r="R61" s="207">
        <f t="shared" si="39"/>
        <v>0</v>
      </c>
      <c r="S61" s="171">
        <f t="shared" si="40"/>
        <v>0</v>
      </c>
      <c r="T61" s="206">
        <f t="shared" si="30"/>
        <v>0</v>
      </c>
      <c r="U61" s="205">
        <f t="shared" si="33"/>
        <v>0</v>
      </c>
      <c r="V61" s="171">
        <f t="shared" si="42"/>
        <v>0</v>
      </c>
      <c r="W61" s="170">
        <f t="shared" si="32"/>
        <v>0</v>
      </c>
      <c r="X61" s="204" t="s">
        <v>873</v>
      </c>
      <c r="Y61" s="204" t="s">
        <v>873</v>
      </c>
      <c r="Z61" s="189"/>
      <c r="AA61" s="300" t="s">
        <v>542</v>
      </c>
      <c r="AB61" s="288"/>
      <c r="AC61" s="186"/>
      <c r="AD61" s="185"/>
      <c r="AE61" s="184" t="s">
        <v>872</v>
      </c>
      <c r="AF61" s="183"/>
      <c r="AG61" s="182"/>
      <c r="AH61" s="181"/>
      <c r="AI61" s="230"/>
      <c r="AJ61" s="229"/>
      <c r="AK61" s="228" t="s">
        <v>872</v>
      </c>
      <c r="AL61" s="156"/>
      <c r="AM61" s="155"/>
      <c r="AN61" s="228"/>
      <c r="AP61" s="1666"/>
      <c r="AQ61" s="1667"/>
      <c r="AR61" s="1667"/>
      <c r="AS61" s="1668"/>
    </row>
    <row r="62" spans="1:45" s="153" customFormat="1" ht="294" customHeight="1" thickBot="1">
      <c r="A62" s="1620"/>
      <c r="B62" s="1707"/>
      <c r="C62" s="297">
        <v>15.12</v>
      </c>
      <c r="D62" s="261" t="s">
        <v>871</v>
      </c>
      <c r="E62" s="259">
        <v>0.01</v>
      </c>
      <c r="F62" s="192" t="s">
        <v>538</v>
      </c>
      <c r="G62" s="191" t="s">
        <v>532</v>
      </c>
      <c r="H62" s="209">
        <v>6</v>
      </c>
      <c r="I62" s="207">
        <f t="shared" si="34"/>
        <v>6</v>
      </c>
      <c r="J62" s="171">
        <f t="shared" si="35"/>
        <v>1</v>
      </c>
      <c r="K62" s="209">
        <v>10</v>
      </c>
      <c r="L62" s="207">
        <f t="shared" si="36"/>
        <v>10</v>
      </c>
      <c r="M62" s="171">
        <f t="shared" si="37"/>
        <v>1</v>
      </c>
      <c r="N62" s="209">
        <v>8</v>
      </c>
      <c r="O62" s="207">
        <f t="shared" si="41"/>
        <v>8</v>
      </c>
      <c r="P62" s="171">
        <f t="shared" si="38"/>
        <v>1</v>
      </c>
      <c r="Q62" s="208">
        <v>6</v>
      </c>
      <c r="R62" s="207">
        <f t="shared" si="39"/>
        <v>6</v>
      </c>
      <c r="S62" s="171">
        <f t="shared" si="40"/>
        <v>1</v>
      </c>
      <c r="T62" s="206">
        <f t="shared" si="30"/>
        <v>30</v>
      </c>
      <c r="U62" s="205">
        <f t="shared" si="33"/>
        <v>30</v>
      </c>
      <c r="V62" s="171">
        <f t="shared" si="42"/>
        <v>1</v>
      </c>
      <c r="W62" s="170">
        <f t="shared" si="32"/>
        <v>0.01</v>
      </c>
      <c r="X62" s="303" t="s">
        <v>870</v>
      </c>
      <c r="Y62" s="303" t="s">
        <v>870</v>
      </c>
      <c r="Z62" s="189" t="s">
        <v>869</v>
      </c>
      <c r="AA62" s="300" t="s">
        <v>542</v>
      </c>
      <c r="AB62" s="288" t="s">
        <v>849</v>
      </c>
      <c r="AC62" s="186">
        <v>6</v>
      </c>
      <c r="AD62" s="185">
        <v>6</v>
      </c>
      <c r="AE62" s="184" t="s">
        <v>868</v>
      </c>
      <c r="AF62" s="183">
        <v>10</v>
      </c>
      <c r="AG62" s="182">
        <v>10</v>
      </c>
      <c r="AH62" s="181" t="s">
        <v>867</v>
      </c>
      <c r="AI62" s="230">
        <v>8</v>
      </c>
      <c r="AJ62" s="229">
        <v>8</v>
      </c>
      <c r="AK62" s="228" t="s">
        <v>866</v>
      </c>
      <c r="AL62" s="156">
        <v>6</v>
      </c>
      <c r="AM62" s="155">
        <v>6</v>
      </c>
      <c r="AN62" s="228" t="s">
        <v>865</v>
      </c>
      <c r="AP62" s="1666"/>
      <c r="AQ62" s="1667"/>
      <c r="AR62" s="1667"/>
      <c r="AS62" s="1668"/>
    </row>
    <row r="63" spans="1:45" s="153" customFormat="1" ht="75.75" customHeight="1" thickBot="1">
      <c r="A63" s="1620"/>
      <c r="B63" s="1707"/>
      <c r="C63" s="297">
        <v>15.129999999999999</v>
      </c>
      <c r="D63" s="261" t="s">
        <v>864</v>
      </c>
      <c r="E63" s="259">
        <v>0.01</v>
      </c>
      <c r="F63" s="192" t="s">
        <v>538</v>
      </c>
      <c r="G63" s="191" t="s">
        <v>532</v>
      </c>
      <c r="H63" s="209">
        <v>1</v>
      </c>
      <c r="I63" s="207">
        <f t="shared" si="34"/>
        <v>1</v>
      </c>
      <c r="J63" s="171">
        <f t="shared" si="35"/>
        <v>1</v>
      </c>
      <c r="K63" s="209">
        <v>1</v>
      </c>
      <c r="L63" s="207">
        <f t="shared" si="36"/>
        <v>2</v>
      </c>
      <c r="M63" s="171">
        <f t="shared" si="37"/>
        <v>2</v>
      </c>
      <c r="N63" s="209">
        <v>1</v>
      </c>
      <c r="O63" s="207">
        <f t="shared" si="41"/>
        <v>1</v>
      </c>
      <c r="P63" s="171">
        <f t="shared" si="38"/>
        <v>1</v>
      </c>
      <c r="Q63" s="208">
        <v>1</v>
      </c>
      <c r="R63" s="207">
        <f t="shared" si="39"/>
        <v>0</v>
      </c>
      <c r="S63" s="171">
        <f t="shared" si="40"/>
        <v>0</v>
      </c>
      <c r="T63" s="206">
        <f t="shared" si="30"/>
        <v>4</v>
      </c>
      <c r="U63" s="205">
        <f t="shared" si="33"/>
        <v>4</v>
      </c>
      <c r="V63" s="171">
        <f t="shared" si="42"/>
        <v>1</v>
      </c>
      <c r="W63" s="170">
        <f t="shared" si="32"/>
        <v>0.01</v>
      </c>
      <c r="X63" s="204" t="s">
        <v>863</v>
      </c>
      <c r="Y63" s="204" t="s">
        <v>862</v>
      </c>
      <c r="Z63" s="189"/>
      <c r="AA63" s="300" t="s">
        <v>542</v>
      </c>
      <c r="AB63" s="288" t="s">
        <v>849</v>
      </c>
      <c r="AC63" s="186">
        <v>1</v>
      </c>
      <c r="AD63" s="185">
        <v>1</v>
      </c>
      <c r="AE63" s="184" t="s">
        <v>856</v>
      </c>
      <c r="AF63" s="183">
        <v>2</v>
      </c>
      <c r="AG63" s="182">
        <v>2</v>
      </c>
      <c r="AH63" s="181" t="s">
        <v>861</v>
      </c>
      <c r="AI63" s="230">
        <v>1</v>
      </c>
      <c r="AJ63" s="229">
        <v>1</v>
      </c>
      <c r="AK63" s="228" t="s">
        <v>860</v>
      </c>
      <c r="AL63" s="156"/>
      <c r="AM63" s="155"/>
      <c r="AN63" s="228"/>
      <c r="AP63" s="1669"/>
      <c r="AQ63" s="1670"/>
      <c r="AR63" s="1670"/>
      <c r="AS63" s="1671"/>
    </row>
    <row r="64" spans="1:45" s="153" customFormat="1" ht="85.5" customHeight="1" thickBot="1">
      <c r="A64" s="1620"/>
      <c r="B64" s="1707"/>
      <c r="C64" s="297">
        <v>15.139999999999999</v>
      </c>
      <c r="D64" s="261" t="s">
        <v>859</v>
      </c>
      <c r="E64" s="259">
        <v>0.01</v>
      </c>
      <c r="F64" s="192" t="s">
        <v>538</v>
      </c>
      <c r="G64" s="191" t="s">
        <v>532</v>
      </c>
      <c r="H64" s="209">
        <v>1</v>
      </c>
      <c r="I64" s="207">
        <f t="shared" si="34"/>
        <v>1</v>
      </c>
      <c r="J64" s="171">
        <f t="shared" si="35"/>
        <v>1</v>
      </c>
      <c r="K64" s="209">
        <v>1</v>
      </c>
      <c r="L64" s="207">
        <f t="shared" si="36"/>
        <v>2</v>
      </c>
      <c r="M64" s="171">
        <f t="shared" si="37"/>
        <v>2</v>
      </c>
      <c r="N64" s="209">
        <v>1</v>
      </c>
      <c r="O64" s="207">
        <f t="shared" si="41"/>
        <v>1</v>
      </c>
      <c r="P64" s="171">
        <f t="shared" si="38"/>
        <v>1</v>
      </c>
      <c r="Q64" s="208">
        <v>1</v>
      </c>
      <c r="R64" s="207">
        <f t="shared" si="39"/>
        <v>0</v>
      </c>
      <c r="S64" s="171">
        <f t="shared" si="40"/>
        <v>0</v>
      </c>
      <c r="T64" s="206">
        <f t="shared" si="30"/>
        <v>4</v>
      </c>
      <c r="U64" s="205">
        <f t="shared" si="33"/>
        <v>4</v>
      </c>
      <c r="V64" s="171">
        <f t="shared" si="42"/>
        <v>1</v>
      </c>
      <c r="W64" s="170">
        <f t="shared" si="32"/>
        <v>0.01</v>
      </c>
      <c r="X64" s="303" t="s">
        <v>858</v>
      </c>
      <c r="Y64" s="303" t="s">
        <v>858</v>
      </c>
      <c r="Z64" s="189" t="s">
        <v>857</v>
      </c>
      <c r="AA64" s="300" t="s">
        <v>542</v>
      </c>
      <c r="AB64" s="288" t="s">
        <v>849</v>
      </c>
      <c r="AC64" s="186">
        <v>1</v>
      </c>
      <c r="AD64" s="185">
        <v>1</v>
      </c>
      <c r="AE64" s="184" t="s">
        <v>856</v>
      </c>
      <c r="AF64" s="183">
        <v>2</v>
      </c>
      <c r="AG64" s="182">
        <v>2</v>
      </c>
      <c r="AH64" s="181" t="s">
        <v>855</v>
      </c>
      <c r="AI64" s="230">
        <v>1</v>
      </c>
      <c r="AJ64" s="229">
        <v>1</v>
      </c>
      <c r="AK64" s="228" t="s">
        <v>854</v>
      </c>
      <c r="AL64" s="156"/>
      <c r="AM64" s="155"/>
      <c r="AN64" s="228"/>
    </row>
    <row r="65" spans="1:40" s="153" customFormat="1" ht="252.75" thickBot="1">
      <c r="A65" s="1620"/>
      <c r="B65" s="1708"/>
      <c r="C65" s="297">
        <v>15.149999999999999</v>
      </c>
      <c r="D65" s="261" t="s">
        <v>853</v>
      </c>
      <c r="E65" s="259">
        <v>0.01</v>
      </c>
      <c r="F65" s="192" t="s">
        <v>538</v>
      </c>
      <c r="G65" s="191" t="s">
        <v>532</v>
      </c>
      <c r="H65" s="209">
        <v>1</v>
      </c>
      <c r="I65" s="207">
        <f t="shared" si="34"/>
        <v>1</v>
      </c>
      <c r="J65" s="171">
        <f t="shared" si="35"/>
        <v>1</v>
      </c>
      <c r="K65" s="209">
        <v>1</v>
      </c>
      <c r="L65" s="207">
        <f t="shared" si="36"/>
        <v>2</v>
      </c>
      <c r="M65" s="171">
        <f t="shared" si="37"/>
        <v>2</v>
      </c>
      <c r="N65" s="209">
        <v>1</v>
      </c>
      <c r="O65" s="207">
        <f t="shared" si="41"/>
        <v>1</v>
      </c>
      <c r="P65" s="171">
        <f t="shared" si="38"/>
        <v>1</v>
      </c>
      <c r="Q65" s="208">
        <v>1</v>
      </c>
      <c r="R65" s="207">
        <f t="shared" si="39"/>
        <v>0</v>
      </c>
      <c r="S65" s="171">
        <f t="shared" si="40"/>
        <v>0</v>
      </c>
      <c r="T65" s="206">
        <f t="shared" si="30"/>
        <v>4</v>
      </c>
      <c r="U65" s="205">
        <f t="shared" si="33"/>
        <v>4</v>
      </c>
      <c r="V65" s="171">
        <f t="shared" si="42"/>
        <v>1</v>
      </c>
      <c r="W65" s="170">
        <f t="shared" ref="W65:W90" si="43">+V65*E65</f>
        <v>0.01</v>
      </c>
      <c r="X65" s="204" t="s">
        <v>852</v>
      </c>
      <c r="Y65" s="303" t="s">
        <v>851</v>
      </c>
      <c r="Z65" s="189" t="s">
        <v>850</v>
      </c>
      <c r="AA65" s="300" t="s">
        <v>542</v>
      </c>
      <c r="AB65" s="288" t="s">
        <v>849</v>
      </c>
      <c r="AC65" s="186">
        <v>1</v>
      </c>
      <c r="AD65" s="185">
        <v>1</v>
      </c>
      <c r="AE65" s="184" t="s">
        <v>848</v>
      </c>
      <c r="AF65" s="183">
        <v>2</v>
      </c>
      <c r="AG65" s="182">
        <v>2</v>
      </c>
      <c r="AH65" s="298" t="s">
        <v>847</v>
      </c>
      <c r="AI65" s="230">
        <v>1</v>
      </c>
      <c r="AJ65" s="229">
        <v>1</v>
      </c>
      <c r="AK65" s="228" t="s">
        <v>846</v>
      </c>
      <c r="AL65" s="156"/>
      <c r="AM65" s="155"/>
      <c r="AN65" s="228"/>
    </row>
    <row r="66" spans="1:40" s="153" customFormat="1" ht="63.75" thickBot="1">
      <c r="A66" s="1620"/>
      <c r="B66" s="1708"/>
      <c r="C66" s="297">
        <v>15.159999999999998</v>
      </c>
      <c r="D66" s="261" t="s">
        <v>845</v>
      </c>
      <c r="E66" s="259">
        <v>0.01</v>
      </c>
      <c r="F66" s="192" t="s">
        <v>538</v>
      </c>
      <c r="G66" s="191" t="s">
        <v>532</v>
      </c>
      <c r="H66" s="209">
        <v>1</v>
      </c>
      <c r="I66" s="207">
        <f t="shared" si="34"/>
        <v>1</v>
      </c>
      <c r="J66" s="171">
        <f t="shared" si="35"/>
        <v>1</v>
      </c>
      <c r="K66" s="209"/>
      <c r="L66" s="207">
        <f t="shared" si="36"/>
        <v>0</v>
      </c>
      <c r="M66" s="171">
        <f t="shared" si="37"/>
        <v>0</v>
      </c>
      <c r="N66" s="209"/>
      <c r="O66" s="207">
        <f t="shared" si="41"/>
        <v>0</v>
      </c>
      <c r="P66" s="171">
        <f t="shared" si="38"/>
        <v>0</v>
      </c>
      <c r="Q66" s="208"/>
      <c r="R66" s="207">
        <f t="shared" si="39"/>
        <v>0</v>
      </c>
      <c r="S66" s="171">
        <f t="shared" si="40"/>
        <v>0</v>
      </c>
      <c r="T66" s="206">
        <f t="shared" si="30"/>
        <v>1</v>
      </c>
      <c r="U66" s="205">
        <f t="shared" si="33"/>
        <v>1</v>
      </c>
      <c r="V66" s="171">
        <f t="shared" si="42"/>
        <v>1</v>
      </c>
      <c r="W66" s="170">
        <f t="shared" si="43"/>
        <v>0.01</v>
      </c>
      <c r="X66" s="204" t="s">
        <v>844</v>
      </c>
      <c r="Y66" s="204" t="s">
        <v>844</v>
      </c>
      <c r="Z66" s="204" t="s">
        <v>844</v>
      </c>
      <c r="AA66" s="300"/>
      <c r="AB66" s="288" t="s">
        <v>843</v>
      </c>
      <c r="AC66" s="186">
        <v>1</v>
      </c>
      <c r="AD66" s="185">
        <v>1</v>
      </c>
      <c r="AE66" s="184" t="s">
        <v>842</v>
      </c>
      <c r="AF66" s="183">
        <v>0</v>
      </c>
      <c r="AG66" s="182">
        <v>0</v>
      </c>
      <c r="AH66" s="181" t="s">
        <v>841</v>
      </c>
      <c r="AI66" s="230">
        <v>0</v>
      </c>
      <c r="AJ66" s="229">
        <v>0</v>
      </c>
      <c r="AK66" s="181" t="s">
        <v>841</v>
      </c>
      <c r="AL66" s="156"/>
      <c r="AM66" s="155"/>
      <c r="AN66" s="228"/>
    </row>
    <row r="67" spans="1:40" s="153" customFormat="1" ht="142.5" thickBot="1">
      <c r="A67" s="1620"/>
      <c r="B67" s="1708"/>
      <c r="C67" s="297">
        <v>15.169999999999998</v>
      </c>
      <c r="D67" s="261" t="s">
        <v>840</v>
      </c>
      <c r="E67" s="259">
        <v>0.02</v>
      </c>
      <c r="F67" s="192" t="s">
        <v>538</v>
      </c>
      <c r="G67" s="191" t="s">
        <v>532</v>
      </c>
      <c r="H67" s="209">
        <v>1</v>
      </c>
      <c r="I67" s="207">
        <f t="shared" si="34"/>
        <v>1</v>
      </c>
      <c r="J67" s="171">
        <f t="shared" si="35"/>
        <v>1</v>
      </c>
      <c r="K67" s="209"/>
      <c r="L67" s="207">
        <f t="shared" si="36"/>
        <v>0</v>
      </c>
      <c r="M67" s="171">
        <f t="shared" si="37"/>
        <v>0</v>
      </c>
      <c r="N67" s="209"/>
      <c r="O67" s="207">
        <f t="shared" si="41"/>
        <v>0</v>
      </c>
      <c r="P67" s="171">
        <f t="shared" si="38"/>
        <v>0</v>
      </c>
      <c r="Q67" s="208"/>
      <c r="R67" s="207">
        <f t="shared" si="39"/>
        <v>0</v>
      </c>
      <c r="S67" s="171">
        <f t="shared" si="40"/>
        <v>0</v>
      </c>
      <c r="T67" s="206">
        <f t="shared" si="30"/>
        <v>1</v>
      </c>
      <c r="U67" s="205">
        <f t="shared" si="33"/>
        <v>1</v>
      </c>
      <c r="V67" s="171">
        <f t="shared" si="42"/>
        <v>1</v>
      </c>
      <c r="W67" s="170">
        <f t="shared" si="43"/>
        <v>0.02</v>
      </c>
      <c r="X67" s="204" t="s">
        <v>834</v>
      </c>
      <c r="Y67" s="204" t="s">
        <v>834</v>
      </c>
      <c r="Z67" s="189"/>
      <c r="AA67" s="300" t="s">
        <v>542</v>
      </c>
      <c r="AB67" s="288" t="s">
        <v>839</v>
      </c>
      <c r="AC67" s="186">
        <v>1</v>
      </c>
      <c r="AD67" s="185">
        <v>1</v>
      </c>
      <c r="AE67" s="184" t="s">
        <v>838</v>
      </c>
      <c r="AF67" s="183">
        <v>0</v>
      </c>
      <c r="AG67" s="182">
        <v>0</v>
      </c>
      <c r="AH67" s="181" t="s">
        <v>837</v>
      </c>
      <c r="AI67" s="230">
        <v>0</v>
      </c>
      <c r="AJ67" s="229">
        <v>0</v>
      </c>
      <c r="AK67" s="181" t="s">
        <v>836</v>
      </c>
      <c r="AL67" s="156"/>
      <c r="AM67" s="155"/>
      <c r="AN67" s="228"/>
    </row>
    <row r="68" spans="1:40" s="153" customFormat="1" ht="95.25" thickBot="1">
      <c r="A68" s="1620"/>
      <c r="B68" s="1708"/>
      <c r="C68" s="297">
        <v>15.179999999999998</v>
      </c>
      <c r="D68" s="261" t="s">
        <v>835</v>
      </c>
      <c r="E68" s="259">
        <v>0.01</v>
      </c>
      <c r="F68" s="192" t="s">
        <v>538</v>
      </c>
      <c r="G68" s="191" t="s">
        <v>532</v>
      </c>
      <c r="H68" s="209" t="s">
        <v>824</v>
      </c>
      <c r="I68" s="207">
        <f t="shared" si="34"/>
        <v>1</v>
      </c>
      <c r="J68" s="171">
        <f t="shared" si="35"/>
        <v>0</v>
      </c>
      <c r="K68" s="209"/>
      <c r="L68" s="207">
        <f t="shared" si="36"/>
        <v>1</v>
      </c>
      <c r="M68" s="171">
        <f t="shared" si="37"/>
        <v>0</v>
      </c>
      <c r="N68" s="209">
        <v>1</v>
      </c>
      <c r="O68" s="207">
        <f t="shared" si="41"/>
        <v>0</v>
      </c>
      <c r="P68" s="171">
        <f t="shared" si="38"/>
        <v>0</v>
      </c>
      <c r="Q68" s="208" t="s">
        <v>824</v>
      </c>
      <c r="R68" s="207">
        <f t="shared" si="39"/>
        <v>0</v>
      </c>
      <c r="S68" s="171">
        <f t="shared" si="40"/>
        <v>0</v>
      </c>
      <c r="T68" s="206">
        <v>1</v>
      </c>
      <c r="U68" s="205">
        <f t="shared" si="33"/>
        <v>2</v>
      </c>
      <c r="V68" s="171">
        <f t="shared" si="42"/>
        <v>1</v>
      </c>
      <c r="W68" s="170">
        <f t="shared" si="43"/>
        <v>0.01</v>
      </c>
      <c r="X68" s="204" t="s">
        <v>834</v>
      </c>
      <c r="Y68" s="204" t="s">
        <v>834</v>
      </c>
      <c r="Z68" s="189"/>
      <c r="AA68" s="300"/>
      <c r="AB68" s="288" t="s">
        <v>833</v>
      </c>
      <c r="AC68" s="186">
        <v>1</v>
      </c>
      <c r="AD68" s="185" t="s">
        <v>824</v>
      </c>
      <c r="AE68" s="184" t="s">
        <v>832</v>
      </c>
      <c r="AF68" s="183">
        <v>1</v>
      </c>
      <c r="AG68" s="182">
        <v>1</v>
      </c>
      <c r="AH68" s="181" t="s">
        <v>831</v>
      </c>
      <c r="AI68" s="230">
        <v>0</v>
      </c>
      <c r="AJ68" s="229">
        <v>0</v>
      </c>
      <c r="AK68" s="181" t="s">
        <v>830</v>
      </c>
      <c r="AL68" s="156"/>
      <c r="AM68" s="155"/>
      <c r="AN68" s="228"/>
    </row>
    <row r="69" spans="1:40" s="153" customFormat="1" ht="73.5" customHeight="1" thickBot="1">
      <c r="A69" s="1620"/>
      <c r="B69" s="1708"/>
      <c r="C69" s="297">
        <v>15.189999999999998</v>
      </c>
      <c r="D69" s="261" t="s">
        <v>829</v>
      </c>
      <c r="E69" s="210">
        <v>0.02</v>
      </c>
      <c r="F69" s="192" t="s">
        <v>538</v>
      </c>
      <c r="G69" s="191" t="s">
        <v>532</v>
      </c>
      <c r="H69" s="209">
        <v>2</v>
      </c>
      <c r="I69" s="207">
        <f t="shared" si="34"/>
        <v>0</v>
      </c>
      <c r="J69" s="171">
        <f t="shared" si="35"/>
        <v>0</v>
      </c>
      <c r="K69" s="209">
        <v>0</v>
      </c>
      <c r="L69" s="207">
        <v>0</v>
      </c>
      <c r="M69" s="171">
        <f t="shared" si="37"/>
        <v>0</v>
      </c>
      <c r="N69" s="209">
        <v>2</v>
      </c>
      <c r="O69" s="207">
        <f t="shared" si="41"/>
        <v>2</v>
      </c>
      <c r="P69" s="171">
        <f t="shared" si="38"/>
        <v>1</v>
      </c>
      <c r="Q69" s="208">
        <v>0</v>
      </c>
      <c r="R69" s="207">
        <f t="shared" si="39"/>
        <v>0</v>
      </c>
      <c r="S69" s="171">
        <f t="shared" si="40"/>
        <v>0</v>
      </c>
      <c r="T69" s="206">
        <f>IF(G69="SUMA",(H69+K69+N69+Q69),(H69))</f>
        <v>4</v>
      </c>
      <c r="U69" s="205">
        <f t="shared" si="33"/>
        <v>2</v>
      </c>
      <c r="V69" s="171">
        <f t="shared" si="42"/>
        <v>0.5</v>
      </c>
      <c r="W69" s="170">
        <f t="shared" si="43"/>
        <v>0.01</v>
      </c>
      <c r="X69" s="204" t="s">
        <v>828</v>
      </c>
      <c r="Y69" s="303" t="s">
        <v>827</v>
      </c>
      <c r="Z69" s="189" t="s">
        <v>826</v>
      </c>
      <c r="AA69" s="300" t="s">
        <v>542</v>
      </c>
      <c r="AB69" s="302" t="s">
        <v>825</v>
      </c>
      <c r="AC69" s="186"/>
      <c r="AD69" s="185"/>
      <c r="AE69" s="184"/>
      <c r="AF69" s="183" t="s">
        <v>824</v>
      </c>
      <c r="AG69" s="182"/>
      <c r="AH69" s="181" t="s">
        <v>823</v>
      </c>
      <c r="AI69" s="230">
        <v>2</v>
      </c>
      <c r="AJ69" s="229">
        <v>2</v>
      </c>
      <c r="AK69" s="228" t="s">
        <v>822</v>
      </c>
      <c r="AL69" s="156"/>
      <c r="AM69" s="155"/>
      <c r="AN69" s="228"/>
    </row>
    <row r="70" spans="1:40" s="153" customFormat="1" ht="189.75" thickBot="1">
      <c r="A70" s="1620"/>
      <c r="B70" s="1708"/>
      <c r="C70" s="297">
        <v>15.199999999999998</v>
      </c>
      <c r="D70" s="296" t="s">
        <v>821</v>
      </c>
      <c r="E70" s="210">
        <v>0.01</v>
      </c>
      <c r="F70" s="192" t="s">
        <v>538</v>
      </c>
      <c r="G70" s="191" t="s">
        <v>532</v>
      </c>
      <c r="H70" s="209">
        <v>2</v>
      </c>
      <c r="I70" s="207">
        <f t="shared" si="34"/>
        <v>0</v>
      </c>
      <c r="J70" s="171">
        <f t="shared" si="35"/>
        <v>0</v>
      </c>
      <c r="K70" s="209">
        <v>1</v>
      </c>
      <c r="L70" s="207">
        <f t="shared" ref="L70:L90" si="44">IF($F70="Cantidad",AF70,IF(ISERROR(AF70/AG70),0,AF70/AG70))</f>
        <v>1</v>
      </c>
      <c r="M70" s="171">
        <f t="shared" si="37"/>
        <v>1</v>
      </c>
      <c r="N70" s="209">
        <v>0</v>
      </c>
      <c r="O70" s="207">
        <f t="shared" si="41"/>
        <v>1</v>
      </c>
      <c r="P70" s="171">
        <f t="shared" si="38"/>
        <v>0</v>
      </c>
      <c r="Q70" s="208">
        <v>1</v>
      </c>
      <c r="R70" s="207">
        <f t="shared" si="39"/>
        <v>0</v>
      </c>
      <c r="S70" s="171">
        <f t="shared" si="40"/>
        <v>0</v>
      </c>
      <c r="T70" s="206">
        <v>2</v>
      </c>
      <c r="U70" s="205">
        <f t="shared" si="33"/>
        <v>2</v>
      </c>
      <c r="V70" s="171">
        <f t="shared" si="42"/>
        <v>1</v>
      </c>
      <c r="W70" s="170">
        <f t="shared" si="43"/>
        <v>0.01</v>
      </c>
      <c r="X70" s="204" t="s">
        <v>820</v>
      </c>
      <c r="Y70" s="204" t="s">
        <v>819</v>
      </c>
      <c r="Z70" s="204" t="s">
        <v>818</v>
      </c>
      <c r="AA70" s="300" t="s">
        <v>542</v>
      </c>
      <c r="AB70" s="288" t="s">
        <v>797</v>
      </c>
      <c r="AC70" s="186"/>
      <c r="AD70" s="185"/>
      <c r="AE70" s="184" t="s">
        <v>817</v>
      </c>
      <c r="AF70" s="183">
        <v>1</v>
      </c>
      <c r="AG70" s="182">
        <v>1</v>
      </c>
      <c r="AH70" s="298" t="s">
        <v>816</v>
      </c>
      <c r="AI70" s="230">
        <v>1</v>
      </c>
      <c r="AJ70" s="229">
        <v>1</v>
      </c>
      <c r="AK70" s="298" t="s">
        <v>816</v>
      </c>
      <c r="AL70" s="156"/>
      <c r="AM70" s="155"/>
      <c r="AN70" s="228"/>
    </row>
    <row r="71" spans="1:40" s="153" customFormat="1" ht="66" customHeight="1" thickBot="1">
      <c r="A71" s="1620"/>
      <c r="B71" s="1708"/>
      <c r="C71" s="297">
        <v>15.209999999999997</v>
      </c>
      <c r="D71" s="296" t="s">
        <v>815</v>
      </c>
      <c r="E71" s="210">
        <v>0.01</v>
      </c>
      <c r="F71" s="192" t="s">
        <v>537</v>
      </c>
      <c r="G71" s="191" t="s">
        <v>531</v>
      </c>
      <c r="H71" s="257">
        <v>0.5</v>
      </c>
      <c r="I71" s="174">
        <f t="shared" si="34"/>
        <v>0</v>
      </c>
      <c r="J71" s="171">
        <f t="shared" si="35"/>
        <v>0</v>
      </c>
      <c r="K71" s="257">
        <v>0.5</v>
      </c>
      <c r="L71" s="174">
        <f t="shared" si="44"/>
        <v>0</v>
      </c>
      <c r="M71" s="171">
        <f t="shared" si="37"/>
        <v>0</v>
      </c>
      <c r="N71" s="257">
        <v>0.5</v>
      </c>
      <c r="O71" s="174">
        <f t="shared" si="41"/>
        <v>1</v>
      </c>
      <c r="P71" s="171">
        <f t="shared" si="38"/>
        <v>2</v>
      </c>
      <c r="Q71" s="257">
        <v>0.5</v>
      </c>
      <c r="R71" s="174">
        <f t="shared" si="39"/>
        <v>0</v>
      </c>
      <c r="S71" s="171">
        <f t="shared" si="40"/>
        <v>0</v>
      </c>
      <c r="T71" s="173">
        <f t="shared" ref="T71:T90" si="45">IF(G71="SUMA",(H71+K71+N71+Q71),(H71))</f>
        <v>0.5</v>
      </c>
      <c r="U71" s="172">
        <f t="shared" ref="U71:U90" si="46">IF(ISERROR(AVERAGE(I71,L71,O71,R71)),0,IF(G71="Suma",(I71+L71+O71+R71),AVERAGE(I71,L71,O71,R71)))</f>
        <v>0.25</v>
      </c>
      <c r="V71" s="171">
        <f t="shared" si="42"/>
        <v>0.5</v>
      </c>
      <c r="W71" s="170">
        <f t="shared" si="43"/>
        <v>5.0000000000000001E-3</v>
      </c>
      <c r="X71" s="292" t="s">
        <v>814</v>
      </c>
      <c r="Y71" s="292" t="s">
        <v>813</v>
      </c>
      <c r="Z71" s="292" t="s">
        <v>812</v>
      </c>
      <c r="AA71" s="300" t="s">
        <v>542</v>
      </c>
      <c r="AB71" s="301" t="s">
        <v>811</v>
      </c>
      <c r="AC71" s="299">
        <v>0.5</v>
      </c>
      <c r="AD71" s="233"/>
      <c r="AE71" s="232" t="s">
        <v>810</v>
      </c>
      <c r="AF71" s="231">
        <v>1</v>
      </c>
      <c r="AG71" s="182">
        <v>0</v>
      </c>
      <c r="AH71" s="181" t="s">
        <v>809</v>
      </c>
      <c r="AI71" s="230">
        <v>1</v>
      </c>
      <c r="AJ71" s="229">
        <v>1</v>
      </c>
      <c r="AK71" s="181" t="s">
        <v>808</v>
      </c>
      <c r="AL71" s="156"/>
      <c r="AM71" s="155"/>
      <c r="AN71" s="228"/>
    </row>
    <row r="72" spans="1:40" s="153" customFormat="1" ht="62.25" customHeight="1" thickBot="1">
      <c r="A72" s="1620"/>
      <c r="B72" s="1708"/>
      <c r="C72" s="297">
        <v>15.219999999999997</v>
      </c>
      <c r="D72" s="296" t="s">
        <v>807</v>
      </c>
      <c r="E72" s="210">
        <v>0.01</v>
      </c>
      <c r="F72" s="192" t="s">
        <v>537</v>
      </c>
      <c r="G72" s="191" t="s">
        <v>531</v>
      </c>
      <c r="H72" s="257">
        <v>0.5</v>
      </c>
      <c r="I72" s="174">
        <f t="shared" si="34"/>
        <v>0</v>
      </c>
      <c r="J72" s="171">
        <f t="shared" si="35"/>
        <v>0</v>
      </c>
      <c r="K72" s="257">
        <v>0.5</v>
      </c>
      <c r="L72" s="174">
        <f t="shared" si="44"/>
        <v>0</v>
      </c>
      <c r="M72" s="171">
        <f t="shared" si="37"/>
        <v>0</v>
      </c>
      <c r="N72" s="257">
        <v>0.5</v>
      </c>
      <c r="O72" s="174">
        <f t="shared" si="41"/>
        <v>1</v>
      </c>
      <c r="P72" s="171">
        <f t="shared" si="38"/>
        <v>2</v>
      </c>
      <c r="Q72" s="257">
        <v>0.5</v>
      </c>
      <c r="R72" s="174">
        <f t="shared" si="39"/>
        <v>0</v>
      </c>
      <c r="S72" s="171">
        <f t="shared" si="40"/>
        <v>0</v>
      </c>
      <c r="T72" s="173">
        <f t="shared" si="45"/>
        <v>0.5</v>
      </c>
      <c r="U72" s="172">
        <f t="shared" si="46"/>
        <v>0.25</v>
      </c>
      <c r="V72" s="171">
        <f t="shared" si="42"/>
        <v>0.5</v>
      </c>
      <c r="W72" s="170">
        <f t="shared" si="43"/>
        <v>5.0000000000000001E-3</v>
      </c>
      <c r="X72" s="292" t="s">
        <v>806</v>
      </c>
      <c r="Y72" s="292" t="s">
        <v>805</v>
      </c>
      <c r="Z72" s="292" t="s">
        <v>804</v>
      </c>
      <c r="AA72" s="300" t="s">
        <v>542</v>
      </c>
      <c r="AB72" s="288" t="s">
        <v>797</v>
      </c>
      <c r="AC72" s="299">
        <v>0.5</v>
      </c>
      <c r="AD72" s="233"/>
      <c r="AE72" s="232" t="s">
        <v>803</v>
      </c>
      <c r="AF72" s="231">
        <v>1</v>
      </c>
      <c r="AG72" s="182">
        <v>0</v>
      </c>
      <c r="AH72" s="298" t="s">
        <v>802</v>
      </c>
      <c r="AI72" s="230">
        <v>1</v>
      </c>
      <c r="AJ72" s="229">
        <v>1</v>
      </c>
      <c r="AK72" s="298" t="s">
        <v>802</v>
      </c>
      <c r="AL72" s="156"/>
      <c r="AM72" s="155"/>
      <c r="AN72" s="228"/>
    </row>
    <row r="73" spans="1:40" s="153" customFormat="1" ht="205.5" thickBot="1">
      <c r="A73" s="1620"/>
      <c r="B73" s="1709"/>
      <c r="C73" s="297">
        <v>15.229999999999997</v>
      </c>
      <c r="D73" s="296" t="s">
        <v>801</v>
      </c>
      <c r="E73" s="295">
        <v>0.02</v>
      </c>
      <c r="F73" s="294" t="s">
        <v>538</v>
      </c>
      <c r="G73" s="293" t="s">
        <v>532</v>
      </c>
      <c r="H73" s="242">
        <v>0</v>
      </c>
      <c r="I73" s="207">
        <f t="shared" si="34"/>
        <v>0</v>
      </c>
      <c r="J73" s="238">
        <f t="shared" si="35"/>
        <v>0</v>
      </c>
      <c r="K73" s="242">
        <v>1</v>
      </c>
      <c r="L73" s="207">
        <f t="shared" si="44"/>
        <v>2</v>
      </c>
      <c r="M73" s="238">
        <f t="shared" si="37"/>
        <v>2</v>
      </c>
      <c r="N73" s="242">
        <v>1</v>
      </c>
      <c r="O73" s="207">
        <f t="shared" si="41"/>
        <v>2</v>
      </c>
      <c r="P73" s="238">
        <f t="shared" si="38"/>
        <v>2</v>
      </c>
      <c r="Q73" s="241">
        <v>0</v>
      </c>
      <c r="R73" s="207">
        <f t="shared" si="39"/>
        <v>0</v>
      </c>
      <c r="S73" s="238">
        <f t="shared" si="40"/>
        <v>0</v>
      </c>
      <c r="T73" s="240">
        <f t="shared" si="45"/>
        <v>2</v>
      </c>
      <c r="U73" s="239">
        <f t="shared" si="46"/>
        <v>4</v>
      </c>
      <c r="V73" s="238">
        <f t="shared" si="42"/>
        <v>1</v>
      </c>
      <c r="W73" s="237">
        <f t="shared" si="43"/>
        <v>0.02</v>
      </c>
      <c r="X73" s="292" t="s">
        <v>800</v>
      </c>
      <c r="Y73" s="291" t="s">
        <v>799</v>
      </c>
      <c r="Z73" s="290" t="s">
        <v>798</v>
      </c>
      <c r="AA73" s="289" t="s">
        <v>542</v>
      </c>
      <c r="AB73" s="288" t="s">
        <v>797</v>
      </c>
      <c r="AC73" s="234"/>
      <c r="AD73" s="233"/>
      <c r="AE73" s="184" t="s">
        <v>796</v>
      </c>
      <c r="AF73" s="231">
        <v>2</v>
      </c>
      <c r="AG73" s="287">
        <v>0</v>
      </c>
      <c r="AH73" s="286" t="s">
        <v>795</v>
      </c>
      <c r="AI73" s="285">
        <v>2</v>
      </c>
      <c r="AJ73" s="284">
        <v>1</v>
      </c>
      <c r="AK73" s="281" t="s">
        <v>794</v>
      </c>
      <c r="AL73" s="283"/>
      <c r="AM73" s="282"/>
      <c r="AN73" s="281"/>
    </row>
    <row r="74" spans="1:40" s="153" customFormat="1" ht="42" customHeight="1" thickBot="1">
      <c r="A74" s="1658" t="s">
        <v>524</v>
      </c>
      <c r="B74" s="1733" t="s">
        <v>632</v>
      </c>
      <c r="C74" s="280">
        <v>16.100000000000001</v>
      </c>
      <c r="D74" s="279" t="s">
        <v>793</v>
      </c>
      <c r="E74" s="278">
        <v>0.03</v>
      </c>
      <c r="F74" s="277" t="s">
        <v>538</v>
      </c>
      <c r="G74" s="276" t="s">
        <v>532</v>
      </c>
      <c r="H74" s="227">
        <v>0</v>
      </c>
      <c r="I74" s="207">
        <f t="shared" si="34"/>
        <v>0</v>
      </c>
      <c r="J74" s="223">
        <f t="shared" si="35"/>
        <v>0</v>
      </c>
      <c r="K74" s="227">
        <v>0</v>
      </c>
      <c r="L74" s="207">
        <f t="shared" si="44"/>
        <v>0</v>
      </c>
      <c r="M74" s="223">
        <f t="shared" si="37"/>
        <v>0</v>
      </c>
      <c r="N74" s="227">
        <v>1</v>
      </c>
      <c r="O74" s="207">
        <f t="shared" si="41"/>
        <v>1</v>
      </c>
      <c r="P74" s="223">
        <f t="shared" si="38"/>
        <v>1</v>
      </c>
      <c r="Q74" s="226">
        <v>0</v>
      </c>
      <c r="R74" s="207">
        <f t="shared" si="39"/>
        <v>0</v>
      </c>
      <c r="S74" s="223">
        <f t="shared" si="40"/>
        <v>0</v>
      </c>
      <c r="T74" s="225">
        <f t="shared" si="45"/>
        <v>1</v>
      </c>
      <c r="U74" s="224">
        <f t="shared" si="46"/>
        <v>1</v>
      </c>
      <c r="V74" s="223">
        <f t="shared" si="42"/>
        <v>1</v>
      </c>
      <c r="W74" s="222">
        <f t="shared" si="43"/>
        <v>0.03</v>
      </c>
      <c r="X74" s="275" t="s">
        <v>792</v>
      </c>
      <c r="Y74" s="274"/>
      <c r="Z74" s="273"/>
      <c r="AA74" s="272" t="s">
        <v>542</v>
      </c>
      <c r="AB74" s="271" t="s">
        <v>791</v>
      </c>
      <c r="AC74" s="270"/>
      <c r="AD74" s="269"/>
      <c r="AE74" s="268"/>
      <c r="AF74" s="267"/>
      <c r="AG74" s="266"/>
      <c r="AH74" s="181" t="s">
        <v>732</v>
      </c>
      <c r="AI74" s="265">
        <v>1</v>
      </c>
      <c r="AJ74" s="264">
        <v>1</v>
      </c>
      <c r="AK74" s="263" t="s">
        <v>790</v>
      </c>
      <c r="AL74" s="262">
        <v>0</v>
      </c>
      <c r="AM74" s="262">
        <v>0</v>
      </c>
      <c r="AN74" s="262" t="s">
        <v>736</v>
      </c>
    </row>
    <row r="75" spans="1:40" s="153" customFormat="1" ht="56.25" customHeight="1" thickBot="1">
      <c r="A75" s="1659"/>
      <c r="B75" s="1734"/>
      <c r="C75" s="252">
        <v>16.200000000000003</v>
      </c>
      <c r="D75" s="261" t="s">
        <v>789</v>
      </c>
      <c r="E75" s="210">
        <v>0.02</v>
      </c>
      <c r="F75" s="192" t="s">
        <v>538</v>
      </c>
      <c r="G75" s="249" t="s">
        <v>532</v>
      </c>
      <c r="H75" s="209">
        <v>0</v>
      </c>
      <c r="I75" s="207">
        <f t="shared" si="34"/>
        <v>0</v>
      </c>
      <c r="J75" s="171">
        <f t="shared" si="35"/>
        <v>0</v>
      </c>
      <c r="K75" s="209">
        <v>0</v>
      </c>
      <c r="L75" s="207">
        <f t="shared" si="44"/>
        <v>0</v>
      </c>
      <c r="M75" s="171">
        <f t="shared" si="37"/>
        <v>0</v>
      </c>
      <c r="N75" s="209">
        <v>1</v>
      </c>
      <c r="O75" s="207">
        <f t="shared" si="41"/>
        <v>0</v>
      </c>
      <c r="P75" s="171">
        <f t="shared" si="38"/>
        <v>0</v>
      </c>
      <c r="Q75" s="208">
        <v>0</v>
      </c>
      <c r="R75" s="207">
        <f t="shared" si="39"/>
        <v>1</v>
      </c>
      <c r="S75" s="171">
        <f t="shared" si="40"/>
        <v>0</v>
      </c>
      <c r="T75" s="206">
        <f t="shared" si="45"/>
        <v>1</v>
      </c>
      <c r="U75" s="205">
        <f t="shared" si="46"/>
        <v>1</v>
      </c>
      <c r="V75" s="171">
        <f t="shared" si="42"/>
        <v>1</v>
      </c>
      <c r="W75" s="170">
        <f t="shared" si="43"/>
        <v>0.02</v>
      </c>
      <c r="X75" s="190" t="s">
        <v>788</v>
      </c>
      <c r="Y75" s="204" t="s">
        <v>787</v>
      </c>
      <c r="Z75" s="189"/>
      <c r="AA75" s="248" t="s">
        <v>542</v>
      </c>
      <c r="AB75" s="247" t="s">
        <v>786</v>
      </c>
      <c r="AC75" s="186"/>
      <c r="AD75" s="185"/>
      <c r="AE75" s="184"/>
      <c r="AF75" s="183"/>
      <c r="AG75" s="182"/>
      <c r="AH75" s="181" t="s">
        <v>732</v>
      </c>
      <c r="AI75" s="230">
        <v>0</v>
      </c>
      <c r="AJ75" s="229">
        <v>0</v>
      </c>
      <c r="AK75" s="228" t="s">
        <v>785</v>
      </c>
      <c r="AL75" s="156">
        <v>1</v>
      </c>
      <c r="AM75" s="155">
        <v>1</v>
      </c>
      <c r="AN75" s="228" t="s">
        <v>784</v>
      </c>
    </row>
    <row r="76" spans="1:40" s="153" customFormat="1" ht="49.5" customHeight="1" thickBot="1">
      <c r="A76" s="1659"/>
      <c r="B76" s="1734"/>
      <c r="C76" s="252">
        <v>16.300000000000004</v>
      </c>
      <c r="D76" s="260" t="s">
        <v>783</v>
      </c>
      <c r="E76" s="259">
        <v>0.01</v>
      </c>
      <c r="F76" s="192" t="s">
        <v>538</v>
      </c>
      <c r="G76" s="249" t="s">
        <v>532</v>
      </c>
      <c r="H76" s="209">
        <v>22</v>
      </c>
      <c r="I76" s="207">
        <f t="shared" si="34"/>
        <v>22</v>
      </c>
      <c r="J76" s="171">
        <f t="shared" si="35"/>
        <v>1</v>
      </c>
      <c r="K76" s="209">
        <v>13</v>
      </c>
      <c r="L76" s="207">
        <f t="shared" si="44"/>
        <v>5</v>
      </c>
      <c r="M76" s="171">
        <f t="shared" si="37"/>
        <v>0.38461538461538464</v>
      </c>
      <c r="N76" s="209">
        <v>0</v>
      </c>
      <c r="O76" s="207">
        <f t="shared" si="41"/>
        <v>13</v>
      </c>
      <c r="P76" s="171">
        <f t="shared" si="38"/>
        <v>0</v>
      </c>
      <c r="Q76" s="208">
        <v>0</v>
      </c>
      <c r="R76" s="207">
        <f t="shared" si="39"/>
        <v>0</v>
      </c>
      <c r="S76" s="171">
        <f t="shared" si="40"/>
        <v>0</v>
      </c>
      <c r="T76" s="206">
        <f t="shared" si="45"/>
        <v>35</v>
      </c>
      <c r="U76" s="205">
        <f t="shared" si="46"/>
        <v>40</v>
      </c>
      <c r="V76" s="171">
        <f t="shared" si="42"/>
        <v>1</v>
      </c>
      <c r="W76" s="170">
        <f t="shared" si="43"/>
        <v>0.01</v>
      </c>
      <c r="X76" s="190" t="s">
        <v>782</v>
      </c>
      <c r="Y76" s="204" t="s">
        <v>782</v>
      </c>
      <c r="Z76" s="204" t="s">
        <v>781</v>
      </c>
      <c r="AA76" s="248" t="s">
        <v>542</v>
      </c>
      <c r="AB76" s="258" t="s">
        <v>780</v>
      </c>
      <c r="AC76" s="186">
        <v>22</v>
      </c>
      <c r="AD76" s="185">
        <v>22</v>
      </c>
      <c r="AE76" s="184" t="s">
        <v>779</v>
      </c>
      <c r="AF76" s="183">
        <v>5</v>
      </c>
      <c r="AG76" s="182">
        <v>13</v>
      </c>
      <c r="AH76" s="181" t="s">
        <v>778</v>
      </c>
      <c r="AI76" s="230">
        <v>13</v>
      </c>
      <c r="AJ76" s="229">
        <v>13</v>
      </c>
      <c r="AK76" s="228" t="s">
        <v>777</v>
      </c>
      <c r="AL76" s="156">
        <v>0</v>
      </c>
      <c r="AM76" s="156">
        <v>0</v>
      </c>
      <c r="AN76" s="156" t="s">
        <v>736</v>
      </c>
    </row>
    <row r="77" spans="1:40" s="153" customFormat="1" ht="69" customHeight="1" thickBot="1">
      <c r="A77" s="1659"/>
      <c r="B77" s="1734"/>
      <c r="C77" s="252">
        <v>16.400000000000006</v>
      </c>
      <c r="D77" s="260" t="s">
        <v>776</v>
      </c>
      <c r="E77" s="259">
        <v>0.01</v>
      </c>
      <c r="F77" s="192" t="s">
        <v>538</v>
      </c>
      <c r="G77" s="249" t="s">
        <v>532</v>
      </c>
      <c r="H77" s="209">
        <v>0</v>
      </c>
      <c r="I77" s="207">
        <f t="shared" si="34"/>
        <v>0</v>
      </c>
      <c r="J77" s="171">
        <f t="shared" si="35"/>
        <v>0</v>
      </c>
      <c r="K77" s="209">
        <v>0</v>
      </c>
      <c r="L77" s="207">
        <f t="shared" si="44"/>
        <v>0</v>
      </c>
      <c r="M77" s="171">
        <f t="shared" si="37"/>
        <v>0</v>
      </c>
      <c r="N77" s="209">
        <v>0</v>
      </c>
      <c r="O77" s="207">
        <f t="shared" si="41"/>
        <v>1</v>
      </c>
      <c r="P77" s="171">
        <f t="shared" si="38"/>
        <v>0</v>
      </c>
      <c r="Q77" s="208">
        <v>1</v>
      </c>
      <c r="R77" s="207">
        <f t="shared" si="39"/>
        <v>0</v>
      </c>
      <c r="S77" s="171">
        <f t="shared" si="40"/>
        <v>0</v>
      </c>
      <c r="T77" s="206">
        <f t="shared" si="45"/>
        <v>1</v>
      </c>
      <c r="U77" s="205">
        <f t="shared" si="46"/>
        <v>1</v>
      </c>
      <c r="V77" s="171">
        <f t="shared" si="42"/>
        <v>1</v>
      </c>
      <c r="W77" s="170">
        <f t="shared" si="43"/>
        <v>0.01</v>
      </c>
      <c r="X77" s="190" t="s">
        <v>775</v>
      </c>
      <c r="Y77" s="204" t="s">
        <v>775</v>
      </c>
      <c r="Z77" s="204"/>
      <c r="AA77" s="248" t="s">
        <v>542</v>
      </c>
      <c r="AB77" s="258" t="s">
        <v>771</v>
      </c>
      <c r="AC77" s="186"/>
      <c r="AD77" s="185"/>
      <c r="AE77" s="184"/>
      <c r="AF77" s="183"/>
      <c r="AG77" s="182"/>
      <c r="AH77" s="181" t="s">
        <v>732</v>
      </c>
      <c r="AI77" s="230">
        <v>1</v>
      </c>
      <c r="AJ77" s="229">
        <v>1</v>
      </c>
      <c r="AK77" s="228" t="s">
        <v>762</v>
      </c>
      <c r="AL77" s="156">
        <v>0</v>
      </c>
      <c r="AM77" s="156">
        <v>0</v>
      </c>
      <c r="AN77" s="156" t="s">
        <v>736</v>
      </c>
    </row>
    <row r="78" spans="1:40" s="153" customFormat="1" ht="51.75" customHeight="1" thickBot="1">
      <c r="A78" s="1659"/>
      <c r="B78" s="1734"/>
      <c r="C78" s="252">
        <v>16.500000000000007</v>
      </c>
      <c r="D78" s="260" t="s">
        <v>774</v>
      </c>
      <c r="E78" s="259">
        <v>0.01</v>
      </c>
      <c r="F78" s="192" t="s">
        <v>538</v>
      </c>
      <c r="G78" s="249" t="s">
        <v>532</v>
      </c>
      <c r="H78" s="209">
        <v>0</v>
      </c>
      <c r="I78" s="207">
        <f t="shared" si="34"/>
        <v>0</v>
      </c>
      <c r="J78" s="171">
        <f t="shared" si="35"/>
        <v>0</v>
      </c>
      <c r="K78" s="209">
        <v>1</v>
      </c>
      <c r="L78" s="207">
        <f t="shared" si="44"/>
        <v>1</v>
      </c>
      <c r="M78" s="171">
        <f t="shared" si="37"/>
        <v>1</v>
      </c>
      <c r="N78" s="209">
        <v>0</v>
      </c>
      <c r="O78" s="207">
        <f t="shared" si="41"/>
        <v>1</v>
      </c>
      <c r="P78" s="171">
        <f t="shared" si="38"/>
        <v>0</v>
      </c>
      <c r="Q78" s="208">
        <v>1</v>
      </c>
      <c r="R78" s="207">
        <f t="shared" si="39"/>
        <v>1</v>
      </c>
      <c r="S78" s="171">
        <f t="shared" si="40"/>
        <v>1</v>
      </c>
      <c r="T78" s="206">
        <f t="shared" si="45"/>
        <v>2</v>
      </c>
      <c r="U78" s="205">
        <f t="shared" si="46"/>
        <v>3</v>
      </c>
      <c r="V78" s="171">
        <f t="shared" si="42"/>
        <v>1</v>
      </c>
      <c r="W78" s="170">
        <f t="shared" si="43"/>
        <v>0.01</v>
      </c>
      <c r="X78" s="190" t="s">
        <v>773</v>
      </c>
      <c r="Y78" s="204" t="s">
        <v>773</v>
      </c>
      <c r="Z78" s="204" t="s">
        <v>772</v>
      </c>
      <c r="AA78" s="248" t="s">
        <v>542</v>
      </c>
      <c r="AB78" s="258" t="s">
        <v>771</v>
      </c>
      <c r="AC78" s="186"/>
      <c r="AD78" s="185"/>
      <c r="AE78" s="184"/>
      <c r="AF78" s="183">
        <v>1</v>
      </c>
      <c r="AG78" s="182">
        <v>1</v>
      </c>
      <c r="AH78" s="181" t="s">
        <v>770</v>
      </c>
      <c r="AI78" s="230">
        <v>1</v>
      </c>
      <c r="AJ78" s="229">
        <v>1</v>
      </c>
      <c r="AK78" s="228" t="s">
        <v>769</v>
      </c>
      <c r="AL78" s="253">
        <v>1</v>
      </c>
      <c r="AM78" s="229">
        <v>1</v>
      </c>
      <c r="AN78" s="228" t="s">
        <v>762</v>
      </c>
    </row>
    <row r="79" spans="1:40" s="153" customFormat="1" ht="174" thickBot="1">
      <c r="A79" s="1659"/>
      <c r="B79" s="1734"/>
      <c r="C79" s="252">
        <v>16.600000000000009</v>
      </c>
      <c r="D79" s="251" t="s">
        <v>768</v>
      </c>
      <c r="E79" s="250">
        <v>0.02</v>
      </c>
      <c r="F79" s="192" t="s">
        <v>537</v>
      </c>
      <c r="G79" s="191" t="s">
        <v>531</v>
      </c>
      <c r="H79" s="257">
        <v>0.98</v>
      </c>
      <c r="I79" s="174">
        <f t="shared" si="34"/>
        <v>1</v>
      </c>
      <c r="J79" s="171">
        <f t="shared" si="35"/>
        <v>1.0204081632653061</v>
      </c>
      <c r="K79" s="257">
        <v>0.98</v>
      </c>
      <c r="L79" s="174">
        <f t="shared" si="44"/>
        <v>1</v>
      </c>
      <c r="M79" s="171">
        <f t="shared" si="37"/>
        <v>1.0204081632653061</v>
      </c>
      <c r="N79" s="257">
        <v>0.98</v>
      </c>
      <c r="O79" s="174">
        <f t="shared" si="41"/>
        <v>1</v>
      </c>
      <c r="P79" s="171">
        <f t="shared" si="38"/>
        <v>1.0204081632653061</v>
      </c>
      <c r="Q79" s="256">
        <v>0.98</v>
      </c>
      <c r="R79" s="174">
        <f t="shared" si="39"/>
        <v>1</v>
      </c>
      <c r="S79" s="171">
        <f t="shared" si="40"/>
        <v>1.0204081632653061</v>
      </c>
      <c r="T79" s="173">
        <f t="shared" si="45"/>
        <v>0.98</v>
      </c>
      <c r="U79" s="172">
        <f t="shared" si="46"/>
        <v>1</v>
      </c>
      <c r="V79" s="171">
        <f t="shared" si="42"/>
        <v>1</v>
      </c>
      <c r="W79" s="170">
        <f t="shared" si="43"/>
        <v>0.02</v>
      </c>
      <c r="X79" s="190" t="s">
        <v>767</v>
      </c>
      <c r="Y79" s="204" t="s">
        <v>767</v>
      </c>
      <c r="Z79" s="204"/>
      <c r="AA79" s="248" t="s">
        <v>542</v>
      </c>
      <c r="AB79" s="247" t="s">
        <v>766</v>
      </c>
      <c r="AC79" s="186">
        <v>25</v>
      </c>
      <c r="AD79" s="185">
        <v>25</v>
      </c>
      <c r="AE79" s="184" t="s">
        <v>765</v>
      </c>
      <c r="AF79" s="183">
        <v>98</v>
      </c>
      <c r="AG79" s="182">
        <v>98</v>
      </c>
      <c r="AH79" s="198" t="s">
        <v>764</v>
      </c>
      <c r="AI79" s="230">
        <v>98</v>
      </c>
      <c r="AJ79" s="229">
        <v>98</v>
      </c>
      <c r="AK79" s="198" t="s">
        <v>763</v>
      </c>
      <c r="AL79" s="255">
        <v>1</v>
      </c>
      <c r="AM79" s="254">
        <v>1</v>
      </c>
      <c r="AN79" s="228" t="s">
        <v>762</v>
      </c>
    </row>
    <row r="80" spans="1:40" s="153" customFormat="1" ht="53.25" customHeight="1" thickBot="1">
      <c r="A80" s="1659"/>
      <c r="B80" s="1734"/>
      <c r="C80" s="252">
        <v>16.70000000000001</v>
      </c>
      <c r="D80" s="251" t="s">
        <v>761</v>
      </c>
      <c r="E80" s="250">
        <v>0.01</v>
      </c>
      <c r="F80" s="192" t="s">
        <v>538</v>
      </c>
      <c r="G80" s="249" t="s">
        <v>532</v>
      </c>
      <c r="H80" s="209">
        <v>0</v>
      </c>
      <c r="I80" s="207">
        <f t="shared" si="34"/>
        <v>0</v>
      </c>
      <c r="J80" s="171">
        <f t="shared" si="35"/>
        <v>0</v>
      </c>
      <c r="K80" s="209">
        <v>1</v>
      </c>
      <c r="L80" s="207">
        <f t="shared" si="44"/>
        <v>1</v>
      </c>
      <c r="M80" s="171">
        <f t="shared" si="37"/>
        <v>1</v>
      </c>
      <c r="N80" s="209">
        <v>0</v>
      </c>
      <c r="O80" s="207">
        <f t="shared" si="41"/>
        <v>1</v>
      </c>
      <c r="P80" s="171">
        <f t="shared" si="38"/>
        <v>0</v>
      </c>
      <c r="Q80" s="208">
        <v>1</v>
      </c>
      <c r="R80" s="207">
        <f t="shared" si="39"/>
        <v>1</v>
      </c>
      <c r="S80" s="171">
        <f t="shared" si="40"/>
        <v>1</v>
      </c>
      <c r="T80" s="206">
        <f t="shared" si="45"/>
        <v>2</v>
      </c>
      <c r="U80" s="205">
        <f t="shared" si="46"/>
        <v>3</v>
      </c>
      <c r="V80" s="171">
        <f t="shared" si="42"/>
        <v>1</v>
      </c>
      <c r="W80" s="170">
        <f t="shared" si="43"/>
        <v>0.01</v>
      </c>
      <c r="X80" s="190" t="s">
        <v>760</v>
      </c>
      <c r="Y80" s="204" t="s">
        <v>760</v>
      </c>
      <c r="Z80" s="189"/>
      <c r="AA80" s="248" t="s">
        <v>542</v>
      </c>
      <c r="AB80" s="247" t="s">
        <v>759</v>
      </c>
      <c r="AC80" s="186"/>
      <c r="AD80" s="185"/>
      <c r="AE80" s="184"/>
      <c r="AF80" s="183">
        <v>1</v>
      </c>
      <c r="AG80" s="182">
        <v>1</v>
      </c>
      <c r="AH80" s="181" t="s">
        <v>758</v>
      </c>
      <c r="AI80" s="230">
        <v>1</v>
      </c>
      <c r="AJ80" s="229">
        <v>1</v>
      </c>
      <c r="AK80" s="181" t="s">
        <v>757</v>
      </c>
      <c r="AL80" s="253">
        <v>1</v>
      </c>
      <c r="AM80" s="229">
        <v>1</v>
      </c>
      <c r="AN80" s="181" t="s">
        <v>757</v>
      </c>
    </row>
    <row r="81" spans="1:40" s="153" customFormat="1" ht="126.75" thickBot="1">
      <c r="A81" s="1659"/>
      <c r="B81" s="1734"/>
      <c r="C81" s="252">
        <v>16.800000000000011</v>
      </c>
      <c r="D81" s="251" t="s">
        <v>756</v>
      </c>
      <c r="E81" s="250">
        <v>0.02</v>
      </c>
      <c r="F81" s="192" t="s">
        <v>538</v>
      </c>
      <c r="G81" s="249" t="s">
        <v>532</v>
      </c>
      <c r="H81" s="209">
        <v>1</v>
      </c>
      <c r="I81" s="207">
        <f t="shared" si="34"/>
        <v>1</v>
      </c>
      <c r="J81" s="171">
        <f t="shared" si="35"/>
        <v>1</v>
      </c>
      <c r="K81" s="209">
        <v>0</v>
      </c>
      <c r="L81" s="207">
        <f t="shared" si="44"/>
        <v>0</v>
      </c>
      <c r="M81" s="171">
        <f t="shared" si="37"/>
        <v>0</v>
      </c>
      <c r="N81" s="209">
        <v>0</v>
      </c>
      <c r="O81" s="207">
        <f t="shared" si="41"/>
        <v>0</v>
      </c>
      <c r="P81" s="171">
        <f t="shared" si="38"/>
        <v>0</v>
      </c>
      <c r="Q81" s="208">
        <v>1</v>
      </c>
      <c r="R81" s="207">
        <f t="shared" si="39"/>
        <v>1</v>
      </c>
      <c r="S81" s="171">
        <f t="shared" si="40"/>
        <v>1</v>
      </c>
      <c r="T81" s="206">
        <f t="shared" si="45"/>
        <v>2</v>
      </c>
      <c r="U81" s="205">
        <f t="shared" si="46"/>
        <v>2</v>
      </c>
      <c r="V81" s="171">
        <f t="shared" si="42"/>
        <v>1</v>
      </c>
      <c r="W81" s="170">
        <f t="shared" si="43"/>
        <v>0.02</v>
      </c>
      <c r="X81" s="190" t="s">
        <v>755</v>
      </c>
      <c r="Y81" s="204"/>
      <c r="Z81" s="189"/>
      <c r="AA81" s="248" t="s">
        <v>542</v>
      </c>
      <c r="AB81" s="247" t="s">
        <v>754</v>
      </c>
      <c r="AC81" s="186">
        <v>1</v>
      </c>
      <c r="AD81" s="185">
        <v>1</v>
      </c>
      <c r="AE81" s="184" t="s">
        <v>753</v>
      </c>
      <c r="AF81" s="183"/>
      <c r="AG81" s="182"/>
      <c r="AH81" s="181" t="s">
        <v>732</v>
      </c>
      <c r="AI81" s="230"/>
      <c r="AJ81" s="229"/>
      <c r="AK81" s="181" t="s">
        <v>732</v>
      </c>
      <c r="AL81" s="253">
        <v>1</v>
      </c>
      <c r="AM81" s="253">
        <v>1</v>
      </c>
      <c r="AN81" s="228" t="s">
        <v>707</v>
      </c>
    </row>
    <row r="82" spans="1:40" s="153" customFormat="1" ht="62.25" customHeight="1" thickBot="1">
      <c r="A82" s="1659"/>
      <c r="B82" s="1734"/>
      <c r="C82" s="252">
        <v>16.899999999999999</v>
      </c>
      <c r="D82" s="251" t="s">
        <v>752</v>
      </c>
      <c r="E82" s="250">
        <v>0.02</v>
      </c>
      <c r="F82" s="192" t="s">
        <v>538</v>
      </c>
      <c r="G82" s="249" t="s">
        <v>532</v>
      </c>
      <c r="H82" s="209">
        <v>0</v>
      </c>
      <c r="I82" s="207">
        <f t="shared" si="34"/>
        <v>0</v>
      </c>
      <c r="J82" s="171">
        <f t="shared" si="35"/>
        <v>0</v>
      </c>
      <c r="K82" s="209">
        <v>0</v>
      </c>
      <c r="L82" s="207">
        <f t="shared" si="44"/>
        <v>0</v>
      </c>
      <c r="M82" s="171">
        <f t="shared" si="37"/>
        <v>0</v>
      </c>
      <c r="N82" s="209">
        <v>0</v>
      </c>
      <c r="O82" s="207">
        <f t="shared" si="41"/>
        <v>0</v>
      </c>
      <c r="P82" s="171">
        <f t="shared" si="38"/>
        <v>0</v>
      </c>
      <c r="Q82" s="208">
        <v>1</v>
      </c>
      <c r="R82" s="207">
        <f t="shared" si="39"/>
        <v>1</v>
      </c>
      <c r="S82" s="171">
        <f t="shared" si="40"/>
        <v>1</v>
      </c>
      <c r="T82" s="206">
        <f t="shared" si="45"/>
        <v>1</v>
      </c>
      <c r="U82" s="205">
        <f t="shared" si="46"/>
        <v>1</v>
      </c>
      <c r="V82" s="171">
        <f t="shared" si="42"/>
        <v>1</v>
      </c>
      <c r="W82" s="170">
        <f t="shared" si="43"/>
        <v>0.02</v>
      </c>
      <c r="X82" s="190" t="s">
        <v>751</v>
      </c>
      <c r="Y82" s="204" t="s">
        <v>751</v>
      </c>
      <c r="Z82" s="189"/>
      <c r="AA82" s="248" t="s">
        <v>542</v>
      </c>
      <c r="AB82" s="247" t="s">
        <v>750</v>
      </c>
      <c r="AC82" s="186">
        <v>0</v>
      </c>
      <c r="AD82" s="185">
        <v>0</v>
      </c>
      <c r="AE82" s="184" t="s">
        <v>749</v>
      </c>
      <c r="AF82" s="246"/>
      <c r="AG82" s="182"/>
      <c r="AH82" s="181" t="s">
        <v>732</v>
      </c>
      <c r="AI82" s="230"/>
      <c r="AJ82" s="229"/>
      <c r="AK82" s="181" t="s">
        <v>732</v>
      </c>
      <c r="AL82" s="156">
        <v>1</v>
      </c>
      <c r="AM82" s="156">
        <v>1</v>
      </c>
      <c r="AN82" s="228" t="s">
        <v>748</v>
      </c>
    </row>
    <row r="83" spans="1:40" s="153" customFormat="1" ht="111" thickBot="1">
      <c r="A83" s="1660"/>
      <c r="B83" s="1735"/>
      <c r="C83" s="245">
        <v>16.100000000000001</v>
      </c>
      <c r="D83" s="244" t="s">
        <v>747</v>
      </c>
      <c r="E83" s="243">
        <v>0.01</v>
      </c>
      <c r="F83" s="177" t="s">
        <v>538</v>
      </c>
      <c r="G83" s="176" t="s">
        <v>532</v>
      </c>
      <c r="H83" s="242">
        <v>1</v>
      </c>
      <c r="I83" s="207">
        <f t="shared" si="34"/>
        <v>1</v>
      </c>
      <c r="J83" s="238">
        <f t="shared" si="35"/>
        <v>1</v>
      </c>
      <c r="K83" s="242">
        <v>0</v>
      </c>
      <c r="L83" s="207">
        <f t="shared" si="44"/>
        <v>0</v>
      </c>
      <c r="M83" s="238">
        <f t="shared" si="37"/>
        <v>0</v>
      </c>
      <c r="N83" s="242">
        <v>0</v>
      </c>
      <c r="O83" s="207">
        <f t="shared" si="41"/>
        <v>0</v>
      </c>
      <c r="P83" s="238">
        <f t="shared" si="38"/>
        <v>0</v>
      </c>
      <c r="Q83" s="241">
        <v>1</v>
      </c>
      <c r="R83" s="207">
        <f t="shared" si="39"/>
        <v>1</v>
      </c>
      <c r="S83" s="238">
        <f t="shared" si="40"/>
        <v>1</v>
      </c>
      <c r="T83" s="240">
        <f t="shared" si="45"/>
        <v>2</v>
      </c>
      <c r="U83" s="239">
        <f t="shared" si="46"/>
        <v>2</v>
      </c>
      <c r="V83" s="238">
        <f t="shared" si="42"/>
        <v>1</v>
      </c>
      <c r="W83" s="237">
        <f t="shared" si="43"/>
        <v>0.01</v>
      </c>
      <c r="X83" s="169" t="s">
        <v>746</v>
      </c>
      <c r="Y83" s="168" t="s">
        <v>746</v>
      </c>
      <c r="Z83" s="167"/>
      <c r="AA83" s="236" t="s">
        <v>542</v>
      </c>
      <c r="AB83" s="235" t="s">
        <v>745</v>
      </c>
      <c r="AC83" s="234">
        <v>1</v>
      </c>
      <c r="AD83" s="233">
        <v>1</v>
      </c>
      <c r="AE83" s="232" t="s">
        <v>744</v>
      </c>
      <c r="AF83" s="231"/>
      <c r="AG83" s="182"/>
      <c r="AH83" s="181" t="s">
        <v>732</v>
      </c>
      <c r="AI83" s="230"/>
      <c r="AJ83" s="229"/>
      <c r="AK83" s="181" t="s">
        <v>732</v>
      </c>
      <c r="AL83" s="156">
        <v>1</v>
      </c>
      <c r="AM83" s="155">
        <v>1</v>
      </c>
      <c r="AN83" s="228" t="s">
        <v>707</v>
      </c>
    </row>
    <row r="84" spans="1:40" s="153" customFormat="1" ht="95.25" thickBot="1">
      <c r="A84" s="1744" t="s">
        <v>524</v>
      </c>
      <c r="B84" s="1726" t="s">
        <v>743</v>
      </c>
      <c r="C84" s="195">
        <v>17.100000000000001</v>
      </c>
      <c r="D84" s="211" t="s">
        <v>742</v>
      </c>
      <c r="E84" s="210">
        <v>0.02</v>
      </c>
      <c r="F84" s="192" t="s">
        <v>538</v>
      </c>
      <c r="G84" s="191" t="s">
        <v>532</v>
      </c>
      <c r="H84" s="227">
        <v>1</v>
      </c>
      <c r="I84" s="207">
        <f t="shared" si="34"/>
        <v>1</v>
      </c>
      <c r="J84" s="223">
        <f t="shared" si="35"/>
        <v>1</v>
      </c>
      <c r="K84" s="227">
        <v>0</v>
      </c>
      <c r="L84" s="207">
        <f t="shared" si="44"/>
        <v>0</v>
      </c>
      <c r="M84" s="223">
        <f t="shared" si="37"/>
        <v>0</v>
      </c>
      <c r="N84" s="227">
        <v>0</v>
      </c>
      <c r="O84" s="207">
        <f t="shared" si="41"/>
        <v>0</v>
      </c>
      <c r="P84" s="223">
        <f t="shared" si="38"/>
        <v>0</v>
      </c>
      <c r="Q84" s="226">
        <v>0</v>
      </c>
      <c r="R84" s="207">
        <f t="shared" si="39"/>
        <v>0</v>
      </c>
      <c r="S84" s="223">
        <f t="shared" si="40"/>
        <v>0</v>
      </c>
      <c r="T84" s="225">
        <f t="shared" si="45"/>
        <v>1</v>
      </c>
      <c r="U84" s="224">
        <f t="shared" si="46"/>
        <v>1</v>
      </c>
      <c r="V84" s="223">
        <f t="shared" si="42"/>
        <v>1</v>
      </c>
      <c r="W84" s="222">
        <f t="shared" si="43"/>
        <v>0.02</v>
      </c>
      <c r="X84" s="190" t="s">
        <v>741</v>
      </c>
      <c r="Y84" s="204" t="s">
        <v>741</v>
      </c>
      <c r="Z84" s="204"/>
      <c r="AA84" s="188" t="s">
        <v>542</v>
      </c>
      <c r="AB84" s="218" t="s">
        <v>740</v>
      </c>
      <c r="AC84" s="217">
        <v>1</v>
      </c>
      <c r="AD84" s="216">
        <v>1</v>
      </c>
      <c r="AE84" s="215" t="s">
        <v>739</v>
      </c>
      <c r="AF84" s="214"/>
      <c r="AG84" s="182"/>
      <c r="AH84" s="181" t="s">
        <v>732</v>
      </c>
      <c r="AI84" s="221"/>
      <c r="AJ84" s="220"/>
      <c r="AK84" s="181" t="s">
        <v>732</v>
      </c>
      <c r="AL84" s="219"/>
      <c r="AM84" s="219"/>
      <c r="AN84" s="219" t="s">
        <v>736</v>
      </c>
    </row>
    <row r="85" spans="1:40" s="153" customFormat="1" ht="49.5" customHeight="1" thickBot="1">
      <c r="A85" s="1745"/>
      <c r="B85" s="1727"/>
      <c r="C85" s="195">
        <v>17.2</v>
      </c>
      <c r="D85" s="211" t="s">
        <v>738</v>
      </c>
      <c r="E85" s="210">
        <v>0.02</v>
      </c>
      <c r="F85" s="192" t="s">
        <v>538</v>
      </c>
      <c r="G85" s="191" t="s">
        <v>532</v>
      </c>
      <c r="H85" s="209">
        <v>0</v>
      </c>
      <c r="I85" s="207">
        <f t="shared" si="34"/>
        <v>0</v>
      </c>
      <c r="J85" s="171">
        <f t="shared" si="35"/>
        <v>0</v>
      </c>
      <c r="K85" s="209">
        <v>0</v>
      </c>
      <c r="L85" s="207">
        <f t="shared" si="44"/>
        <v>0</v>
      </c>
      <c r="M85" s="171">
        <f t="shared" si="37"/>
        <v>0</v>
      </c>
      <c r="N85" s="209">
        <v>1</v>
      </c>
      <c r="O85" s="207">
        <f t="shared" si="41"/>
        <v>0</v>
      </c>
      <c r="P85" s="171">
        <f t="shared" si="38"/>
        <v>0</v>
      </c>
      <c r="Q85" s="208">
        <v>0</v>
      </c>
      <c r="R85" s="207">
        <f t="shared" si="39"/>
        <v>0</v>
      </c>
      <c r="S85" s="171">
        <f t="shared" si="40"/>
        <v>0</v>
      </c>
      <c r="T85" s="206">
        <f t="shared" si="45"/>
        <v>1</v>
      </c>
      <c r="U85" s="205">
        <f t="shared" si="46"/>
        <v>0</v>
      </c>
      <c r="V85" s="171">
        <f t="shared" si="42"/>
        <v>0</v>
      </c>
      <c r="W85" s="170">
        <f t="shared" si="43"/>
        <v>0</v>
      </c>
      <c r="X85" s="190" t="s">
        <v>737</v>
      </c>
      <c r="Y85" s="204" t="s">
        <v>737</v>
      </c>
      <c r="Z85" s="204"/>
      <c r="AA85" s="188" t="s">
        <v>542</v>
      </c>
      <c r="AB85" s="218" t="s">
        <v>733</v>
      </c>
      <c r="AC85" s="217"/>
      <c r="AD85" s="216"/>
      <c r="AE85" s="215"/>
      <c r="AF85" s="214"/>
      <c r="AG85" s="182"/>
      <c r="AH85" s="181" t="s">
        <v>732</v>
      </c>
      <c r="AI85" s="221"/>
      <c r="AJ85" s="220"/>
      <c r="AK85" s="181" t="s">
        <v>732</v>
      </c>
      <c r="AL85" s="219"/>
      <c r="AM85" s="219"/>
      <c r="AN85" s="219" t="s">
        <v>736</v>
      </c>
    </row>
    <row r="86" spans="1:40" s="153" customFormat="1" ht="65.25" customHeight="1" thickBot="1">
      <c r="A86" s="1745"/>
      <c r="B86" s="1727"/>
      <c r="C86" s="195">
        <v>17.3</v>
      </c>
      <c r="D86" s="211" t="s">
        <v>735</v>
      </c>
      <c r="E86" s="210">
        <v>0.01</v>
      </c>
      <c r="F86" s="192" t="s">
        <v>538</v>
      </c>
      <c r="G86" s="191" t="s">
        <v>532</v>
      </c>
      <c r="H86" s="209">
        <v>0</v>
      </c>
      <c r="I86" s="207">
        <f t="shared" si="34"/>
        <v>0</v>
      </c>
      <c r="J86" s="171">
        <f t="shared" si="35"/>
        <v>0</v>
      </c>
      <c r="K86" s="209">
        <v>0</v>
      </c>
      <c r="L86" s="207">
        <f t="shared" si="44"/>
        <v>0</v>
      </c>
      <c r="M86" s="171">
        <f t="shared" si="37"/>
        <v>0</v>
      </c>
      <c r="N86" s="209">
        <v>0</v>
      </c>
      <c r="O86" s="207">
        <f t="shared" si="41"/>
        <v>0</v>
      </c>
      <c r="P86" s="171">
        <f t="shared" si="38"/>
        <v>0</v>
      </c>
      <c r="Q86" s="208">
        <v>1</v>
      </c>
      <c r="R86" s="207">
        <f t="shared" si="39"/>
        <v>0</v>
      </c>
      <c r="S86" s="171">
        <f t="shared" si="40"/>
        <v>0</v>
      </c>
      <c r="T86" s="206">
        <f t="shared" si="45"/>
        <v>1</v>
      </c>
      <c r="U86" s="205">
        <f t="shared" si="46"/>
        <v>0</v>
      </c>
      <c r="V86" s="171">
        <f t="shared" si="42"/>
        <v>0</v>
      </c>
      <c r="W86" s="170">
        <f t="shared" si="43"/>
        <v>0</v>
      </c>
      <c r="X86" s="190" t="s">
        <v>734</v>
      </c>
      <c r="Y86" s="204" t="s">
        <v>734</v>
      </c>
      <c r="Z86" s="204"/>
      <c r="AA86" s="188" t="s">
        <v>542</v>
      </c>
      <c r="AB86" s="218" t="s">
        <v>733</v>
      </c>
      <c r="AC86" s="217"/>
      <c r="AD86" s="216"/>
      <c r="AE86" s="215"/>
      <c r="AF86" s="214"/>
      <c r="AG86" s="182"/>
      <c r="AH86" s="181" t="s">
        <v>732</v>
      </c>
      <c r="AI86" s="213"/>
      <c r="AJ86" s="212"/>
      <c r="AK86" s="181" t="s">
        <v>732</v>
      </c>
      <c r="AL86" s="197"/>
      <c r="AM86" s="196"/>
      <c r="AN86" s="154" t="s">
        <v>707</v>
      </c>
    </row>
    <row r="87" spans="1:40" s="153" customFormat="1" ht="76.5" customHeight="1" thickBot="1">
      <c r="A87" s="1745"/>
      <c r="B87" s="1727"/>
      <c r="C87" s="195">
        <v>17.399999999999999</v>
      </c>
      <c r="D87" s="211" t="s">
        <v>731</v>
      </c>
      <c r="E87" s="210">
        <v>0.02</v>
      </c>
      <c r="F87" s="192" t="s">
        <v>538</v>
      </c>
      <c r="G87" s="191" t="s">
        <v>532</v>
      </c>
      <c r="H87" s="209">
        <v>3</v>
      </c>
      <c r="I87" s="207">
        <f t="shared" si="34"/>
        <v>3</v>
      </c>
      <c r="J87" s="171">
        <f t="shared" si="35"/>
        <v>1</v>
      </c>
      <c r="K87" s="209">
        <v>3</v>
      </c>
      <c r="L87" s="207">
        <f t="shared" si="44"/>
        <v>3</v>
      </c>
      <c r="M87" s="171">
        <f t="shared" si="37"/>
        <v>1</v>
      </c>
      <c r="N87" s="209">
        <v>3</v>
      </c>
      <c r="O87" s="207">
        <f t="shared" si="41"/>
        <v>3</v>
      </c>
      <c r="P87" s="171">
        <f t="shared" si="38"/>
        <v>1</v>
      </c>
      <c r="Q87" s="208">
        <v>3</v>
      </c>
      <c r="R87" s="207">
        <f t="shared" si="39"/>
        <v>0</v>
      </c>
      <c r="S87" s="171">
        <f t="shared" si="40"/>
        <v>0</v>
      </c>
      <c r="T87" s="206">
        <f t="shared" si="45"/>
        <v>12</v>
      </c>
      <c r="U87" s="205">
        <f t="shared" si="46"/>
        <v>9</v>
      </c>
      <c r="V87" s="171">
        <f t="shared" si="42"/>
        <v>0.75</v>
      </c>
      <c r="W87" s="170">
        <f t="shared" si="43"/>
        <v>1.4999999999999999E-2</v>
      </c>
      <c r="X87" s="190" t="s">
        <v>730</v>
      </c>
      <c r="Y87" s="204" t="s">
        <v>729</v>
      </c>
      <c r="Z87" s="189" t="s">
        <v>728</v>
      </c>
      <c r="AA87" s="188" t="s">
        <v>542</v>
      </c>
      <c r="AB87" s="203" t="s">
        <v>723</v>
      </c>
      <c r="AC87" s="186">
        <v>3</v>
      </c>
      <c r="AD87" s="185">
        <v>3</v>
      </c>
      <c r="AE87" s="184" t="s">
        <v>726</v>
      </c>
      <c r="AF87" s="183">
        <v>3</v>
      </c>
      <c r="AG87" s="202">
        <v>3</v>
      </c>
      <c r="AH87" s="201" t="s">
        <v>727</v>
      </c>
      <c r="AI87" s="200">
        <v>3</v>
      </c>
      <c r="AJ87" s="199">
        <v>3</v>
      </c>
      <c r="AK87" s="198" t="s">
        <v>726</v>
      </c>
      <c r="AL87" s="197"/>
      <c r="AM87" s="196"/>
      <c r="AN87" s="154" t="s">
        <v>707</v>
      </c>
    </row>
    <row r="88" spans="1:40" s="153" customFormat="1" ht="81" customHeight="1" thickBot="1">
      <c r="A88" s="1745"/>
      <c r="B88" s="1727"/>
      <c r="C88" s="195">
        <v>17.5</v>
      </c>
      <c r="D88" s="211" t="s">
        <v>725</v>
      </c>
      <c r="E88" s="210">
        <v>0.01</v>
      </c>
      <c r="F88" s="192" t="s">
        <v>538</v>
      </c>
      <c r="G88" s="191" t="s">
        <v>532</v>
      </c>
      <c r="H88" s="209">
        <v>1</v>
      </c>
      <c r="I88" s="207">
        <f t="shared" si="34"/>
        <v>1</v>
      </c>
      <c r="J88" s="171">
        <f t="shared" si="35"/>
        <v>1</v>
      </c>
      <c r="K88" s="209">
        <v>1</v>
      </c>
      <c r="L88" s="207">
        <f t="shared" si="44"/>
        <v>1</v>
      </c>
      <c r="M88" s="171">
        <f t="shared" si="37"/>
        <v>1</v>
      </c>
      <c r="N88" s="209">
        <v>1</v>
      </c>
      <c r="O88" s="207">
        <f t="shared" si="41"/>
        <v>1</v>
      </c>
      <c r="P88" s="171">
        <f t="shared" si="38"/>
        <v>1</v>
      </c>
      <c r="Q88" s="208">
        <v>1</v>
      </c>
      <c r="R88" s="207">
        <f t="shared" si="39"/>
        <v>0</v>
      </c>
      <c r="S88" s="171">
        <f t="shared" si="40"/>
        <v>0</v>
      </c>
      <c r="T88" s="206">
        <f t="shared" si="45"/>
        <v>4</v>
      </c>
      <c r="U88" s="205">
        <f t="shared" si="46"/>
        <v>3</v>
      </c>
      <c r="V88" s="171">
        <f t="shared" si="42"/>
        <v>0.75</v>
      </c>
      <c r="W88" s="170">
        <f t="shared" si="43"/>
        <v>7.4999999999999997E-3</v>
      </c>
      <c r="X88" s="190" t="s">
        <v>724</v>
      </c>
      <c r="Y88" s="204" t="s">
        <v>724</v>
      </c>
      <c r="Z88" s="189"/>
      <c r="AA88" s="188" t="s">
        <v>542</v>
      </c>
      <c r="AB88" s="203" t="s">
        <v>723</v>
      </c>
      <c r="AC88" s="186">
        <v>1</v>
      </c>
      <c r="AD88" s="185">
        <v>1</v>
      </c>
      <c r="AE88" s="184" t="s">
        <v>721</v>
      </c>
      <c r="AF88" s="183">
        <v>1</v>
      </c>
      <c r="AG88" s="202">
        <v>1</v>
      </c>
      <c r="AH88" s="201" t="s">
        <v>722</v>
      </c>
      <c r="AI88" s="200">
        <v>1</v>
      </c>
      <c r="AJ88" s="199">
        <v>1</v>
      </c>
      <c r="AK88" s="198" t="s">
        <v>721</v>
      </c>
      <c r="AL88" s="197"/>
      <c r="AM88" s="196"/>
      <c r="AN88" s="154" t="s">
        <v>707</v>
      </c>
    </row>
    <row r="89" spans="1:40" s="153" customFormat="1" ht="60" customHeight="1" thickBot="1">
      <c r="A89" s="1745"/>
      <c r="B89" s="1727"/>
      <c r="C89" s="195">
        <v>17.600000000000001</v>
      </c>
      <c r="D89" s="194" t="s">
        <v>720</v>
      </c>
      <c r="E89" s="193">
        <v>0.01</v>
      </c>
      <c r="F89" s="192" t="s">
        <v>537</v>
      </c>
      <c r="G89" s="191" t="s">
        <v>531</v>
      </c>
      <c r="H89" s="175">
        <v>0.7</v>
      </c>
      <c r="I89" s="174">
        <f t="shared" si="34"/>
        <v>1</v>
      </c>
      <c r="J89" s="171">
        <f t="shared" si="35"/>
        <v>1.4285714285714286</v>
      </c>
      <c r="K89" s="175">
        <v>0.7</v>
      </c>
      <c r="L89" s="174">
        <f t="shared" si="44"/>
        <v>1</v>
      </c>
      <c r="M89" s="171">
        <f t="shared" si="37"/>
        <v>1.4285714285714286</v>
      </c>
      <c r="N89" s="175">
        <v>0.7</v>
      </c>
      <c r="O89" s="174">
        <f t="shared" si="41"/>
        <v>1</v>
      </c>
      <c r="P89" s="171">
        <f t="shared" si="38"/>
        <v>1.4285714285714286</v>
      </c>
      <c r="Q89" s="175">
        <v>0.7</v>
      </c>
      <c r="R89" s="174">
        <f t="shared" si="39"/>
        <v>0</v>
      </c>
      <c r="S89" s="171">
        <f t="shared" si="40"/>
        <v>0</v>
      </c>
      <c r="T89" s="173">
        <f t="shared" si="45"/>
        <v>0.7</v>
      </c>
      <c r="U89" s="172">
        <f t="shared" si="46"/>
        <v>0.75</v>
      </c>
      <c r="V89" s="171">
        <f t="shared" si="42"/>
        <v>1</v>
      </c>
      <c r="W89" s="170">
        <f t="shared" si="43"/>
        <v>0.01</v>
      </c>
      <c r="X89" s="190" t="s">
        <v>719</v>
      </c>
      <c r="Y89" s="189" t="s">
        <v>718</v>
      </c>
      <c r="Z89" s="189" t="s">
        <v>717</v>
      </c>
      <c r="AA89" s="188" t="s">
        <v>542</v>
      </c>
      <c r="AB89" s="187" t="s">
        <v>710</v>
      </c>
      <c r="AC89" s="186">
        <v>25</v>
      </c>
      <c r="AD89" s="185">
        <v>25</v>
      </c>
      <c r="AE89" s="184" t="s">
        <v>716</v>
      </c>
      <c r="AF89" s="183">
        <v>70</v>
      </c>
      <c r="AG89" s="182">
        <v>70</v>
      </c>
      <c r="AH89" s="181" t="s">
        <v>715</v>
      </c>
      <c r="AI89" s="183">
        <v>70</v>
      </c>
      <c r="AJ89" s="182">
        <v>70</v>
      </c>
      <c r="AK89" s="181" t="s">
        <v>715</v>
      </c>
      <c r="AL89" s="156"/>
      <c r="AM89" s="155"/>
      <c r="AN89" s="154" t="s">
        <v>707</v>
      </c>
    </row>
    <row r="90" spans="1:40" s="153" customFormat="1" ht="94.5" customHeight="1" thickBot="1">
      <c r="A90" s="1746"/>
      <c r="B90" s="1728"/>
      <c r="C90" s="180">
        <v>17.7</v>
      </c>
      <c r="D90" s="179" t="s">
        <v>714</v>
      </c>
      <c r="E90" s="178">
        <v>0.01</v>
      </c>
      <c r="F90" s="177" t="s">
        <v>537</v>
      </c>
      <c r="G90" s="176" t="s">
        <v>531</v>
      </c>
      <c r="H90" s="175">
        <v>0.7</v>
      </c>
      <c r="I90" s="174">
        <f t="shared" si="34"/>
        <v>1</v>
      </c>
      <c r="J90" s="171">
        <f t="shared" si="35"/>
        <v>1.4285714285714286</v>
      </c>
      <c r="K90" s="175">
        <v>0.7</v>
      </c>
      <c r="L90" s="174">
        <f t="shared" si="44"/>
        <v>1</v>
      </c>
      <c r="M90" s="171">
        <f t="shared" si="37"/>
        <v>1.4285714285714286</v>
      </c>
      <c r="N90" s="175">
        <v>0.7</v>
      </c>
      <c r="O90" s="174">
        <f t="shared" si="41"/>
        <v>1</v>
      </c>
      <c r="P90" s="171">
        <f t="shared" si="38"/>
        <v>1.4285714285714286</v>
      </c>
      <c r="Q90" s="175">
        <v>0.7</v>
      </c>
      <c r="R90" s="174">
        <f t="shared" si="39"/>
        <v>0</v>
      </c>
      <c r="S90" s="171">
        <f t="shared" si="40"/>
        <v>0</v>
      </c>
      <c r="T90" s="173">
        <f t="shared" si="45"/>
        <v>0.7</v>
      </c>
      <c r="U90" s="172">
        <f t="shared" si="46"/>
        <v>0.75</v>
      </c>
      <c r="V90" s="171">
        <f t="shared" si="42"/>
        <v>1</v>
      </c>
      <c r="W90" s="170">
        <f t="shared" si="43"/>
        <v>0.01</v>
      </c>
      <c r="X90" s="169" t="s">
        <v>713</v>
      </c>
      <c r="Y90" s="168" t="s">
        <v>712</v>
      </c>
      <c r="Z90" s="167" t="s">
        <v>711</v>
      </c>
      <c r="AA90" s="166" t="s">
        <v>542</v>
      </c>
      <c r="AB90" s="165" t="s">
        <v>710</v>
      </c>
      <c r="AC90" s="164">
        <v>25</v>
      </c>
      <c r="AD90" s="163">
        <v>25</v>
      </c>
      <c r="AE90" s="162" t="s">
        <v>708</v>
      </c>
      <c r="AF90" s="161">
        <v>70</v>
      </c>
      <c r="AG90" s="160">
        <v>70</v>
      </c>
      <c r="AH90" s="157" t="s">
        <v>709</v>
      </c>
      <c r="AI90" s="159">
        <v>25</v>
      </c>
      <c r="AJ90" s="158">
        <v>25</v>
      </c>
      <c r="AK90" s="157" t="s">
        <v>708</v>
      </c>
      <c r="AL90" s="156"/>
      <c r="AM90" s="155"/>
      <c r="AN90" s="154" t="s">
        <v>707</v>
      </c>
    </row>
    <row r="91" spans="1:40">
      <c r="E91" s="152">
        <f>SUM(E11:E90)</f>
        <v>1.0000000000000007</v>
      </c>
      <c r="J91" s="151"/>
      <c r="AC91" s="150"/>
      <c r="AD91" s="150"/>
    </row>
    <row r="92" spans="1:40" s="135" customFormat="1">
      <c r="A92" s="136"/>
      <c r="B92" s="136"/>
      <c r="C92" s="1729"/>
      <c r="D92" s="1729"/>
      <c r="E92" s="144"/>
      <c r="F92" s="136"/>
      <c r="G92" s="136"/>
      <c r="H92" s="137"/>
      <c r="I92" s="137"/>
      <c r="J92" s="149"/>
      <c r="K92" s="144"/>
      <c r="L92" s="136"/>
      <c r="M92" s="136"/>
      <c r="N92" s="136"/>
      <c r="O92" s="136"/>
      <c r="P92" s="136"/>
      <c r="Q92" s="136"/>
      <c r="R92" s="136"/>
      <c r="S92" s="136"/>
      <c r="T92" s="136"/>
      <c r="U92" s="136"/>
      <c r="V92" s="136"/>
      <c r="W92" s="144"/>
      <c r="X92" s="138"/>
      <c r="Y92" s="138"/>
      <c r="Z92" s="138"/>
      <c r="AA92" s="136"/>
      <c r="AB92" s="136"/>
      <c r="AC92" s="139"/>
      <c r="AD92" s="139"/>
      <c r="AE92" s="139"/>
      <c r="AF92" s="137"/>
      <c r="AG92" s="137"/>
      <c r="AH92" s="136"/>
      <c r="AI92" s="136"/>
      <c r="AJ92" s="136"/>
      <c r="AK92" s="136"/>
      <c r="AL92" s="136"/>
      <c r="AM92" s="136"/>
      <c r="AN92" s="136"/>
    </row>
    <row r="93" spans="1:40" s="135" customFormat="1">
      <c r="A93" s="136"/>
      <c r="B93" s="136"/>
      <c r="C93" s="137"/>
      <c r="D93" s="136"/>
      <c r="E93" s="144"/>
      <c r="F93" s="136"/>
      <c r="G93" s="136"/>
      <c r="H93" s="136"/>
      <c r="I93" s="136"/>
      <c r="J93" s="144"/>
      <c r="K93" s="136"/>
      <c r="L93" s="136"/>
      <c r="M93" s="136"/>
      <c r="N93" s="136"/>
      <c r="O93" s="136"/>
      <c r="P93" s="136"/>
      <c r="Q93" s="136"/>
      <c r="R93" s="136"/>
      <c r="S93" s="136"/>
      <c r="T93" s="136"/>
      <c r="U93" s="136"/>
      <c r="V93" s="136"/>
      <c r="W93" s="136"/>
      <c r="X93" s="138"/>
      <c r="Y93" s="138"/>
      <c r="Z93" s="138"/>
      <c r="AA93" s="136"/>
      <c r="AB93" s="136"/>
      <c r="AC93" s="139"/>
      <c r="AD93" s="139"/>
      <c r="AE93" s="139"/>
      <c r="AF93" s="137"/>
      <c r="AG93" s="137"/>
      <c r="AH93" s="136"/>
      <c r="AI93" s="136"/>
      <c r="AJ93" s="136"/>
      <c r="AK93" s="136"/>
      <c r="AL93" s="136"/>
      <c r="AM93" s="136"/>
      <c r="AN93" s="136"/>
    </row>
    <row r="94" spans="1:40" s="135" customFormat="1">
      <c r="A94" s="136"/>
      <c r="B94" s="136"/>
      <c r="C94" s="1730"/>
      <c r="D94" s="1730"/>
      <c r="E94" s="1730"/>
      <c r="F94" s="136"/>
      <c r="G94" s="136"/>
      <c r="H94" s="136"/>
      <c r="I94" s="136"/>
      <c r="J94" s="144"/>
      <c r="K94" s="136"/>
      <c r="L94" s="136"/>
      <c r="M94" s="136"/>
      <c r="N94" s="136"/>
      <c r="O94" s="136"/>
      <c r="P94" s="136"/>
      <c r="Q94" s="136"/>
      <c r="R94" s="136"/>
      <c r="S94" s="136"/>
      <c r="T94" s="136"/>
      <c r="U94" s="136"/>
      <c r="V94" s="136"/>
      <c r="W94" s="136"/>
      <c r="X94" s="148"/>
      <c r="Y94" s="138"/>
      <c r="Z94" s="138"/>
      <c r="AA94" s="136"/>
      <c r="AB94" s="136"/>
      <c r="AC94" s="139"/>
      <c r="AD94" s="139"/>
      <c r="AE94" s="139"/>
      <c r="AF94" s="137"/>
      <c r="AG94" s="137"/>
      <c r="AH94" s="136"/>
      <c r="AI94" s="136"/>
      <c r="AJ94" s="136"/>
      <c r="AK94" s="136"/>
      <c r="AL94" s="136"/>
      <c r="AM94" s="136"/>
      <c r="AN94" s="136"/>
    </row>
    <row r="95" spans="1:40" s="135" customFormat="1">
      <c r="A95" s="136"/>
      <c r="B95" s="136"/>
      <c r="C95" s="147"/>
      <c r="D95" s="141"/>
      <c r="E95" s="141"/>
      <c r="F95" s="136"/>
      <c r="G95" s="136"/>
      <c r="H95" s="146"/>
      <c r="I95" s="145"/>
      <c r="J95" s="144"/>
      <c r="K95" s="136"/>
      <c r="L95" s="136"/>
      <c r="M95" s="136"/>
      <c r="N95" s="136"/>
      <c r="O95" s="136"/>
      <c r="P95" s="136"/>
      <c r="Q95" s="136"/>
      <c r="R95" s="136"/>
      <c r="S95" s="136"/>
      <c r="T95" s="136"/>
      <c r="U95" s="136"/>
      <c r="V95" s="136"/>
      <c r="W95" s="136"/>
      <c r="X95" s="138"/>
      <c r="Y95" s="138"/>
      <c r="Z95" s="138"/>
      <c r="AA95" s="136"/>
      <c r="AB95" s="136"/>
      <c r="AC95" s="139"/>
      <c r="AD95" s="139"/>
      <c r="AE95" s="139"/>
      <c r="AF95" s="137"/>
      <c r="AG95" s="137"/>
      <c r="AH95" s="136"/>
      <c r="AI95" s="136"/>
      <c r="AJ95" s="136"/>
      <c r="AK95" s="136"/>
      <c r="AL95" s="136"/>
      <c r="AM95" s="136"/>
      <c r="AN95" s="136"/>
    </row>
    <row r="96" spans="1:40" s="135" customFormat="1">
      <c r="A96" s="136"/>
      <c r="B96" s="136"/>
      <c r="C96" s="1730"/>
      <c r="D96" s="143"/>
      <c r="E96" s="142"/>
      <c r="F96" s="136"/>
      <c r="G96" s="136"/>
      <c r="H96" s="136"/>
      <c r="I96" s="136"/>
      <c r="J96" s="136"/>
      <c r="K96" s="136"/>
      <c r="L96" s="136"/>
      <c r="M96" s="136"/>
      <c r="N96" s="136"/>
      <c r="O96" s="136"/>
      <c r="P96" s="136"/>
      <c r="Q96" s="136"/>
      <c r="R96" s="136"/>
      <c r="S96" s="136"/>
      <c r="T96" s="136"/>
      <c r="U96" s="136"/>
      <c r="V96" s="136"/>
      <c r="W96" s="136"/>
      <c r="X96" s="138"/>
      <c r="Y96" s="138"/>
      <c r="Z96" s="138"/>
      <c r="AA96" s="136"/>
      <c r="AB96" s="136"/>
      <c r="AC96" s="139"/>
      <c r="AD96" s="139"/>
      <c r="AE96" s="139"/>
      <c r="AF96" s="137"/>
      <c r="AG96" s="137"/>
      <c r="AH96" s="136"/>
      <c r="AI96" s="136"/>
      <c r="AJ96" s="136"/>
      <c r="AK96" s="136"/>
      <c r="AL96" s="136"/>
      <c r="AM96" s="136"/>
      <c r="AN96" s="136"/>
    </row>
    <row r="97" spans="1:40" s="135" customFormat="1">
      <c r="A97" s="136"/>
      <c r="B97" s="136"/>
      <c r="C97" s="1730"/>
      <c r="D97" s="141"/>
      <c r="E97" s="141"/>
      <c r="F97" s="136"/>
      <c r="G97" s="136"/>
      <c r="H97" s="136"/>
      <c r="I97" s="136"/>
      <c r="J97" s="136"/>
      <c r="K97" s="136"/>
      <c r="L97" s="136"/>
      <c r="M97" s="136"/>
      <c r="N97" s="136"/>
      <c r="O97" s="136"/>
      <c r="P97" s="136"/>
      <c r="Q97" s="136"/>
      <c r="R97" s="136"/>
      <c r="S97" s="136"/>
      <c r="T97" s="136"/>
      <c r="U97" s="136"/>
      <c r="V97" s="136"/>
      <c r="W97" s="136"/>
      <c r="X97" s="138"/>
      <c r="Y97" s="138"/>
      <c r="Z97" s="138"/>
      <c r="AA97" s="136"/>
      <c r="AB97" s="136"/>
      <c r="AC97" s="139"/>
      <c r="AD97" s="139"/>
      <c r="AE97" s="139"/>
      <c r="AF97" s="137"/>
      <c r="AG97" s="137"/>
      <c r="AH97" s="136"/>
      <c r="AI97" s="136"/>
      <c r="AJ97" s="136"/>
      <c r="AK97" s="136"/>
      <c r="AL97" s="136"/>
      <c r="AM97" s="136"/>
      <c r="AN97" s="136"/>
    </row>
    <row r="98" spans="1:40" s="135" customFormat="1">
      <c r="A98" s="136"/>
      <c r="B98" s="136"/>
      <c r="C98" s="1730"/>
      <c r="D98" s="141"/>
      <c r="E98" s="141"/>
      <c r="F98" s="136"/>
      <c r="G98" s="136"/>
      <c r="H98" s="136"/>
      <c r="I98" s="136"/>
      <c r="J98" s="136"/>
      <c r="K98" s="136"/>
      <c r="L98" s="136"/>
      <c r="M98" s="136"/>
      <c r="N98" s="136"/>
      <c r="O98" s="136"/>
      <c r="P98" s="136"/>
      <c r="Q98" s="136"/>
      <c r="R98" s="136"/>
      <c r="S98" s="136"/>
      <c r="T98" s="136"/>
      <c r="U98" s="136"/>
      <c r="V98" s="136"/>
      <c r="W98" s="136"/>
      <c r="X98" s="138"/>
      <c r="Y98" s="138"/>
      <c r="Z98" s="138"/>
      <c r="AA98" s="136"/>
      <c r="AB98" s="136"/>
      <c r="AC98" s="139"/>
      <c r="AD98" s="139"/>
      <c r="AE98" s="139"/>
      <c r="AF98" s="137"/>
      <c r="AG98" s="137"/>
      <c r="AH98" s="136"/>
      <c r="AI98" s="136"/>
      <c r="AJ98" s="136"/>
      <c r="AK98" s="136"/>
      <c r="AL98" s="136"/>
      <c r="AM98" s="136"/>
      <c r="AN98" s="136"/>
    </row>
    <row r="99" spans="1:40" s="135" customFormat="1">
      <c r="A99" s="136"/>
      <c r="B99" s="136"/>
      <c r="C99" s="1730"/>
      <c r="D99" s="140"/>
      <c r="E99" s="140"/>
      <c r="F99" s="136"/>
      <c r="G99" s="136"/>
      <c r="H99" s="136"/>
      <c r="I99" s="136"/>
      <c r="J99" s="136"/>
      <c r="K99" s="136"/>
      <c r="L99" s="136"/>
      <c r="M99" s="136"/>
      <c r="N99" s="136"/>
      <c r="O99" s="136"/>
      <c r="P99" s="136"/>
      <c r="Q99" s="136"/>
      <c r="R99" s="136"/>
      <c r="S99" s="136"/>
      <c r="T99" s="136"/>
      <c r="U99" s="136"/>
      <c r="V99" s="136"/>
      <c r="W99" s="136"/>
      <c r="X99" s="138"/>
      <c r="Y99" s="138"/>
      <c r="Z99" s="138"/>
      <c r="AA99" s="136"/>
      <c r="AB99" s="136"/>
      <c r="AC99" s="139"/>
      <c r="AD99" s="139"/>
      <c r="AE99" s="139"/>
      <c r="AF99" s="137"/>
      <c r="AG99" s="137"/>
      <c r="AH99" s="136"/>
      <c r="AI99" s="136"/>
      <c r="AJ99" s="136"/>
      <c r="AK99" s="136"/>
      <c r="AL99" s="136"/>
      <c r="AM99" s="136"/>
      <c r="AN99" s="136"/>
    </row>
    <row r="100" spans="1:40" s="135" customFormat="1">
      <c r="A100" s="136"/>
      <c r="B100" s="136"/>
      <c r="C100" s="137"/>
      <c r="D100" s="136"/>
      <c r="E100" s="136"/>
      <c r="F100" s="136"/>
      <c r="G100" s="136"/>
      <c r="H100" s="136"/>
      <c r="I100" s="136"/>
      <c r="J100" s="136"/>
      <c r="K100" s="136"/>
      <c r="L100" s="136"/>
      <c r="M100" s="136"/>
      <c r="N100" s="136"/>
      <c r="O100" s="136"/>
      <c r="P100" s="136"/>
      <c r="Q100" s="136"/>
      <c r="R100" s="136"/>
      <c r="S100" s="136"/>
      <c r="T100" s="136"/>
      <c r="U100" s="136"/>
      <c r="V100" s="136"/>
      <c r="W100" s="136"/>
      <c r="X100" s="138"/>
      <c r="Y100" s="138"/>
      <c r="Z100" s="138"/>
      <c r="AA100" s="136"/>
      <c r="AB100" s="136"/>
      <c r="AC100" s="136"/>
      <c r="AD100" s="136"/>
      <c r="AE100" s="136"/>
      <c r="AF100" s="137"/>
      <c r="AG100" s="137"/>
      <c r="AH100" s="136"/>
      <c r="AI100" s="136"/>
      <c r="AJ100" s="136"/>
      <c r="AK100" s="136"/>
      <c r="AL100" s="136"/>
      <c r="AM100" s="136"/>
      <c r="AN100" s="136"/>
    </row>
    <row r="134" spans="1:48">
      <c r="A134" s="47"/>
      <c r="B134" s="47"/>
      <c r="C134" s="50"/>
      <c r="D134" s="47"/>
      <c r="E134" s="48"/>
      <c r="F134" s="47"/>
      <c r="G134" s="47"/>
      <c r="H134" s="47"/>
      <c r="I134" s="47"/>
      <c r="J134" s="47"/>
      <c r="K134" s="47"/>
    </row>
    <row r="135" spans="1:48">
      <c r="A135" s="47"/>
      <c r="B135" s="47"/>
      <c r="C135" s="50"/>
      <c r="D135" s="47"/>
      <c r="E135" s="48"/>
      <c r="F135" s="47"/>
      <c r="G135" s="47"/>
      <c r="H135" s="47"/>
      <c r="I135" s="47"/>
      <c r="J135" s="47"/>
      <c r="K135" s="47"/>
    </row>
    <row r="136" spans="1:48">
      <c r="A136" s="47"/>
      <c r="B136" s="47"/>
      <c r="C136" s="50"/>
      <c r="D136" s="47"/>
      <c r="E136" s="48"/>
      <c r="F136" s="47"/>
      <c r="G136" s="47"/>
      <c r="H136" s="47"/>
      <c r="I136" s="47"/>
      <c r="J136" s="47"/>
      <c r="K136" s="47"/>
    </row>
    <row r="137" spans="1:48">
      <c r="A137" s="47"/>
      <c r="B137" s="47"/>
      <c r="C137" s="50"/>
      <c r="D137" s="47"/>
      <c r="E137" s="48"/>
      <c r="F137" s="47"/>
      <c r="G137" s="47"/>
      <c r="H137" s="47"/>
      <c r="I137" s="47"/>
      <c r="J137" s="47"/>
      <c r="K137" s="47"/>
    </row>
    <row r="138" spans="1:48" s="119" customFormat="1">
      <c r="A138" s="96"/>
      <c r="B138" s="105"/>
      <c r="C138" s="104" t="s">
        <v>703</v>
      </c>
      <c r="D138" s="134"/>
      <c r="E138" s="68"/>
      <c r="F138" s="68"/>
      <c r="G138" s="68"/>
      <c r="H138" s="68"/>
      <c r="I138" s="68"/>
      <c r="J138" s="68"/>
      <c r="K138" s="134"/>
      <c r="L138" s="68"/>
      <c r="M138" s="96"/>
      <c r="N138" s="96"/>
      <c r="O138" s="96"/>
      <c r="P138" s="96"/>
      <c r="Q138" s="96"/>
      <c r="R138" s="96"/>
      <c r="S138" s="96"/>
      <c r="T138" s="96"/>
      <c r="U138" s="96"/>
      <c r="V138" s="96"/>
      <c r="W138" s="96"/>
      <c r="X138" s="96"/>
      <c r="Y138" s="96"/>
      <c r="Z138" s="96"/>
      <c r="AA138" s="96"/>
      <c r="AB138" s="96"/>
      <c r="AC138" s="60"/>
      <c r="AD138" s="60"/>
      <c r="AE138" s="60"/>
      <c r="AF138" s="96"/>
      <c r="AG138" s="121"/>
      <c r="AH138" s="121"/>
      <c r="AJ138" s="88"/>
      <c r="AK138" s="88"/>
      <c r="AL138" s="88"/>
      <c r="AM138" s="88"/>
      <c r="AN138" s="120"/>
      <c r="AO138" s="120"/>
      <c r="AP138" s="120"/>
      <c r="AQ138" s="120"/>
      <c r="AR138" s="120"/>
      <c r="AS138" s="120"/>
      <c r="AT138" s="120"/>
      <c r="AU138" s="120"/>
      <c r="AV138" s="120"/>
    </row>
    <row r="139" spans="1:48" s="128" customFormat="1">
      <c r="A139" s="47"/>
      <c r="B139" s="98" t="s">
        <v>706</v>
      </c>
      <c r="C139" s="133">
        <v>1</v>
      </c>
      <c r="D139" s="133">
        <v>2</v>
      </c>
      <c r="E139" s="133">
        <v>3</v>
      </c>
      <c r="F139" s="133" t="s">
        <v>705</v>
      </c>
      <c r="G139" s="133">
        <v>5</v>
      </c>
      <c r="H139" s="133">
        <v>6</v>
      </c>
      <c r="I139" s="133">
        <v>7</v>
      </c>
      <c r="J139" s="133">
        <v>8</v>
      </c>
      <c r="K139" s="133">
        <v>9</v>
      </c>
      <c r="L139" s="52"/>
      <c r="M139" s="47"/>
      <c r="N139" s="47"/>
      <c r="O139" s="130"/>
      <c r="P139" s="130"/>
      <c r="Q139" s="47"/>
      <c r="R139" s="47"/>
      <c r="S139" s="47"/>
      <c r="T139" s="47"/>
      <c r="U139" s="47"/>
      <c r="V139" s="47"/>
      <c r="W139" s="47"/>
      <c r="X139" s="47"/>
      <c r="Y139" s="132"/>
      <c r="Z139" s="132"/>
      <c r="AA139" s="132"/>
      <c r="AB139" s="96"/>
      <c r="AC139" s="131"/>
      <c r="AD139" s="130"/>
      <c r="AE139" s="43"/>
      <c r="AG139" s="129"/>
      <c r="AH139" s="129"/>
    </row>
    <row r="140" spans="1:48" s="119" customFormat="1" ht="45.75" customHeight="1">
      <c r="A140" s="96"/>
      <c r="B140" s="127" t="s">
        <v>704</v>
      </c>
      <c r="C140" s="126" t="s">
        <v>703</v>
      </c>
      <c r="D140" s="125" t="s">
        <v>702</v>
      </c>
      <c r="E140" s="124" t="s">
        <v>701</v>
      </c>
      <c r="F140" s="122"/>
      <c r="G140" s="123" t="s">
        <v>700</v>
      </c>
      <c r="H140" s="122"/>
      <c r="I140" s="1748" t="s">
        <v>699</v>
      </c>
      <c r="J140" s="1748"/>
      <c r="K140" s="1748" t="s">
        <v>698</v>
      </c>
      <c r="L140" s="1749"/>
      <c r="M140" s="96"/>
      <c r="N140" s="96"/>
      <c r="O140" s="96"/>
      <c r="P140" s="96"/>
      <c r="Q140" s="96"/>
      <c r="R140" s="96"/>
      <c r="S140" s="96"/>
      <c r="T140" s="96"/>
      <c r="U140" s="96"/>
      <c r="V140" s="96"/>
      <c r="W140" s="96"/>
      <c r="X140" s="96"/>
      <c r="Y140" s="96"/>
      <c r="Z140" s="96"/>
      <c r="AA140" s="96"/>
      <c r="AB140" s="96"/>
      <c r="AC140" s="60"/>
      <c r="AD140" s="60"/>
      <c r="AE140" s="60"/>
      <c r="AF140" s="96"/>
      <c r="AG140" s="121"/>
      <c r="AH140" s="121"/>
      <c r="AJ140" s="88"/>
      <c r="AK140" s="88"/>
      <c r="AL140" s="88"/>
      <c r="AM140" s="88"/>
      <c r="AN140" s="120"/>
      <c r="AO140" s="120"/>
      <c r="AP140" s="120"/>
      <c r="AQ140" s="120"/>
      <c r="AR140" s="120"/>
      <c r="AS140" s="120"/>
      <c r="AT140" s="120"/>
      <c r="AU140" s="120"/>
      <c r="AV140" s="120"/>
    </row>
    <row r="141" spans="1:48" s="56" customFormat="1">
      <c r="A141" s="96"/>
      <c r="B141" s="75"/>
      <c r="C141" s="112" t="s">
        <v>697</v>
      </c>
      <c r="D141" s="118"/>
      <c r="E141" s="116"/>
      <c r="F141" s="116"/>
      <c r="G141" s="116"/>
      <c r="H141" s="117"/>
      <c r="I141" s="1732"/>
      <c r="J141" s="1732"/>
      <c r="K141" s="83"/>
      <c r="L141" s="116"/>
      <c r="M141" s="60"/>
      <c r="N141" s="60"/>
      <c r="O141" s="60"/>
      <c r="P141" s="60"/>
      <c r="Q141" s="60"/>
      <c r="R141" s="60"/>
      <c r="S141" s="60"/>
      <c r="T141" s="60"/>
      <c r="U141" s="60"/>
      <c r="V141" s="60"/>
      <c r="W141" s="60"/>
      <c r="X141" s="60"/>
      <c r="Y141" s="60"/>
      <c r="Z141" s="60"/>
      <c r="AA141" s="60"/>
      <c r="AB141" s="60"/>
      <c r="AC141" s="60"/>
      <c r="AD141" s="60"/>
      <c r="AE141" s="60"/>
      <c r="AF141" s="60"/>
      <c r="AG141" s="59"/>
      <c r="AH141" s="59"/>
      <c r="AI141" s="58"/>
      <c r="AJ141" s="107"/>
      <c r="AK141" s="107"/>
      <c r="AL141" s="107"/>
      <c r="AM141" s="107"/>
      <c r="AN141" s="106"/>
      <c r="AO141" s="106"/>
      <c r="AP141" s="106"/>
      <c r="AQ141" s="106"/>
      <c r="AR141" s="106"/>
      <c r="AS141" s="106"/>
      <c r="AT141" s="106"/>
      <c r="AU141" s="106"/>
      <c r="AV141" s="106"/>
    </row>
    <row r="142" spans="1:48" s="56" customFormat="1" ht="53.25" customHeight="1">
      <c r="A142" s="96"/>
      <c r="B142" s="111">
        <v>1</v>
      </c>
      <c r="C142" s="109" t="s">
        <v>696</v>
      </c>
      <c r="D142" s="110">
        <v>1</v>
      </c>
      <c r="E142" s="113" t="s">
        <v>695</v>
      </c>
      <c r="F142" s="69" t="s">
        <v>694</v>
      </c>
      <c r="G142" s="1731" t="s">
        <v>642</v>
      </c>
      <c r="H142" s="1731"/>
      <c r="I142" s="1725" t="s">
        <v>687</v>
      </c>
      <c r="J142" s="1725"/>
      <c r="K142" s="1747" t="s">
        <v>693</v>
      </c>
      <c r="L142" s="1747"/>
      <c r="M142" s="62"/>
      <c r="N142" s="62"/>
      <c r="O142" s="62"/>
      <c r="P142" s="62"/>
      <c r="Q142" s="62"/>
      <c r="R142" s="62"/>
      <c r="S142" s="62"/>
      <c r="T142" s="62"/>
      <c r="U142" s="62"/>
      <c r="V142" s="60"/>
      <c r="W142" s="60"/>
      <c r="X142" s="60"/>
      <c r="Y142" s="60"/>
      <c r="Z142" s="60"/>
      <c r="AA142" s="60"/>
      <c r="AB142" s="60"/>
      <c r="AC142" s="60"/>
      <c r="AD142" s="60"/>
      <c r="AE142" s="60"/>
      <c r="AF142" s="60"/>
      <c r="AG142" s="59"/>
      <c r="AH142" s="59"/>
      <c r="AI142" s="58"/>
      <c r="AJ142" s="107"/>
      <c r="AK142" s="107"/>
      <c r="AL142" s="107"/>
      <c r="AM142" s="107"/>
      <c r="AN142" s="106"/>
      <c r="AO142" s="106"/>
      <c r="AP142" s="106"/>
      <c r="AQ142" s="106"/>
      <c r="AR142" s="106"/>
      <c r="AS142" s="106"/>
      <c r="AT142" s="106"/>
      <c r="AU142" s="106"/>
      <c r="AV142" s="106"/>
    </row>
    <row r="143" spans="1:48" s="56" customFormat="1" ht="105">
      <c r="A143" s="96"/>
      <c r="B143" s="111">
        <v>2</v>
      </c>
      <c r="C143" s="109" t="s">
        <v>692</v>
      </c>
      <c r="D143" s="110">
        <v>2</v>
      </c>
      <c r="E143" s="113" t="s">
        <v>662</v>
      </c>
      <c r="F143" s="69" t="s">
        <v>691</v>
      </c>
      <c r="G143" s="1731" t="s">
        <v>642</v>
      </c>
      <c r="H143" s="1731"/>
      <c r="I143" s="1725" t="s">
        <v>687</v>
      </c>
      <c r="J143" s="1725"/>
      <c r="K143" s="1747" t="s">
        <v>690</v>
      </c>
      <c r="L143" s="1747"/>
      <c r="M143" s="62"/>
      <c r="N143" s="62"/>
      <c r="O143" s="62"/>
      <c r="P143" s="62"/>
      <c r="Q143" s="62"/>
      <c r="R143" s="62"/>
      <c r="S143" s="62"/>
      <c r="T143" s="62"/>
      <c r="U143" s="62"/>
      <c r="V143" s="62"/>
      <c r="W143" s="62"/>
      <c r="X143" s="62"/>
      <c r="Y143" s="62"/>
      <c r="Z143" s="62"/>
      <c r="AA143" s="62"/>
      <c r="AB143" s="62"/>
      <c r="AC143" s="62"/>
      <c r="AD143" s="62"/>
      <c r="AE143" s="62"/>
      <c r="AF143" s="62"/>
      <c r="AG143" s="89"/>
      <c r="AH143" s="89"/>
      <c r="AI143" s="88"/>
      <c r="AJ143" s="107"/>
      <c r="AK143" s="107"/>
      <c r="AL143" s="107"/>
      <c r="AM143" s="107"/>
      <c r="AN143" s="106"/>
      <c r="AO143" s="106"/>
      <c r="AP143" s="106"/>
      <c r="AQ143" s="106"/>
      <c r="AR143" s="106"/>
      <c r="AS143" s="106"/>
      <c r="AT143" s="106"/>
      <c r="AU143" s="106"/>
      <c r="AV143" s="106"/>
    </row>
    <row r="144" spans="1:48" s="56" customFormat="1" ht="105">
      <c r="A144" s="96"/>
      <c r="B144" s="111">
        <v>3</v>
      </c>
      <c r="C144" s="109" t="s">
        <v>689</v>
      </c>
      <c r="D144" s="110">
        <v>3</v>
      </c>
      <c r="E144" s="113" t="s">
        <v>662</v>
      </c>
      <c r="F144" s="69" t="s">
        <v>688</v>
      </c>
      <c r="G144" s="1731" t="s">
        <v>642</v>
      </c>
      <c r="H144" s="1731"/>
      <c r="I144" s="1725" t="s">
        <v>687</v>
      </c>
      <c r="J144" s="1725"/>
      <c r="K144" s="1747" t="s">
        <v>686</v>
      </c>
      <c r="L144" s="1747"/>
      <c r="M144" s="62"/>
      <c r="N144" s="62"/>
      <c r="O144" s="62"/>
      <c r="P144" s="62"/>
      <c r="Q144" s="62"/>
      <c r="R144" s="62"/>
      <c r="S144" s="62"/>
      <c r="T144" s="62"/>
      <c r="U144" s="62"/>
      <c r="V144" s="62"/>
      <c r="W144" s="62"/>
      <c r="X144" s="62"/>
      <c r="Y144" s="62"/>
      <c r="Z144" s="62"/>
      <c r="AA144" s="62"/>
      <c r="AB144" s="62"/>
      <c r="AC144" s="62"/>
      <c r="AD144" s="62"/>
      <c r="AE144" s="62"/>
      <c r="AF144" s="62"/>
      <c r="AG144" s="89"/>
      <c r="AH144" s="89"/>
      <c r="AI144" s="88"/>
      <c r="AJ144" s="107"/>
      <c r="AK144" s="107"/>
      <c r="AL144" s="107"/>
      <c r="AM144" s="107"/>
      <c r="AN144" s="106"/>
      <c r="AO144" s="106"/>
      <c r="AP144" s="106"/>
      <c r="AQ144" s="106"/>
      <c r="AR144" s="106"/>
      <c r="AS144" s="106"/>
      <c r="AT144" s="106"/>
      <c r="AU144" s="106"/>
      <c r="AV144" s="106"/>
    </row>
    <row r="145" spans="1:48" s="56" customFormat="1">
      <c r="A145" s="96"/>
      <c r="B145" s="111"/>
      <c r="C145" s="112" t="s">
        <v>674</v>
      </c>
      <c r="D145" s="110"/>
      <c r="E145" s="113"/>
      <c r="F145" s="69" t="s">
        <v>685</v>
      </c>
      <c r="G145" s="1731"/>
      <c r="H145" s="1731"/>
      <c r="I145" s="1725"/>
      <c r="J145" s="1725"/>
      <c r="K145" s="1747"/>
      <c r="L145" s="1747"/>
      <c r="M145" s="62"/>
      <c r="N145" s="62"/>
      <c r="O145" s="62"/>
      <c r="P145" s="62"/>
      <c r="Q145" s="62"/>
      <c r="R145" s="62"/>
      <c r="S145" s="62"/>
      <c r="T145" s="62"/>
      <c r="U145" s="62"/>
      <c r="V145" s="62"/>
      <c r="W145" s="62"/>
      <c r="X145" s="62"/>
      <c r="Y145" s="62"/>
      <c r="Z145" s="62"/>
      <c r="AA145" s="62"/>
      <c r="AB145" s="62"/>
      <c r="AC145" s="62"/>
      <c r="AD145" s="62"/>
      <c r="AE145" s="62"/>
      <c r="AF145" s="62"/>
      <c r="AG145" s="89"/>
      <c r="AH145" s="89"/>
      <c r="AI145" s="88"/>
      <c r="AJ145" s="107"/>
      <c r="AK145" s="107"/>
      <c r="AL145" s="107"/>
      <c r="AM145" s="107"/>
      <c r="AN145" s="106"/>
      <c r="AO145" s="106"/>
      <c r="AP145" s="106"/>
      <c r="AQ145" s="106"/>
      <c r="AR145" s="106"/>
      <c r="AS145" s="106"/>
      <c r="AT145" s="106"/>
      <c r="AU145" s="106"/>
      <c r="AV145" s="106"/>
    </row>
    <row r="146" spans="1:48" s="56" customFormat="1" ht="90">
      <c r="A146" s="96"/>
      <c r="B146" s="111">
        <v>8</v>
      </c>
      <c r="C146" s="109" t="s">
        <v>684</v>
      </c>
      <c r="D146" s="110">
        <v>8</v>
      </c>
      <c r="E146" s="113" t="s">
        <v>683</v>
      </c>
      <c r="F146" s="69" t="s">
        <v>682</v>
      </c>
      <c r="G146" s="1731" t="s">
        <v>642</v>
      </c>
      <c r="H146" s="1731"/>
      <c r="I146" s="1725" t="s">
        <v>674</v>
      </c>
      <c r="J146" s="1725"/>
      <c r="K146" s="1747" t="s">
        <v>681</v>
      </c>
      <c r="L146" s="1747"/>
      <c r="M146" s="62"/>
      <c r="N146" s="62"/>
      <c r="O146" s="62"/>
      <c r="P146" s="62"/>
      <c r="Q146" s="62"/>
      <c r="R146" s="62"/>
      <c r="S146" s="62"/>
      <c r="T146" s="62"/>
      <c r="U146" s="62"/>
      <c r="V146" s="62"/>
      <c r="W146" s="62"/>
      <c r="X146" s="62"/>
      <c r="Y146" s="62"/>
      <c r="Z146" s="62"/>
      <c r="AA146" s="62"/>
      <c r="AB146" s="62"/>
      <c r="AC146" s="62"/>
      <c r="AD146" s="62"/>
      <c r="AE146" s="62"/>
      <c r="AF146" s="62"/>
      <c r="AG146" s="89"/>
      <c r="AH146" s="89"/>
      <c r="AI146" s="88"/>
      <c r="AJ146" s="107"/>
      <c r="AK146" s="107"/>
      <c r="AL146" s="107"/>
      <c r="AM146" s="107"/>
      <c r="AN146" s="106"/>
      <c r="AO146" s="106"/>
      <c r="AP146" s="106"/>
      <c r="AQ146" s="106"/>
      <c r="AR146" s="106"/>
      <c r="AS146" s="106"/>
      <c r="AT146" s="106"/>
      <c r="AU146" s="106"/>
      <c r="AV146" s="106"/>
    </row>
    <row r="147" spans="1:48" s="56" customFormat="1" ht="15.75" customHeight="1">
      <c r="A147" s="96"/>
      <c r="B147" s="111">
        <v>9</v>
      </c>
      <c r="C147" s="109" t="s">
        <v>680</v>
      </c>
      <c r="D147" s="110">
        <v>9</v>
      </c>
      <c r="E147" s="113" t="s">
        <v>679</v>
      </c>
      <c r="F147" s="69" t="s">
        <v>678</v>
      </c>
      <c r="G147" s="1731" t="s">
        <v>642</v>
      </c>
      <c r="H147" s="1731"/>
      <c r="I147" s="1725" t="s">
        <v>674</v>
      </c>
      <c r="J147" s="1725"/>
      <c r="K147" s="1747" t="s">
        <v>677</v>
      </c>
      <c r="L147" s="1747"/>
      <c r="M147" s="62"/>
      <c r="N147" s="62"/>
      <c r="O147" s="62"/>
      <c r="P147" s="62"/>
      <c r="Q147" s="62"/>
      <c r="R147" s="62"/>
      <c r="S147" s="62"/>
      <c r="T147" s="62"/>
      <c r="U147" s="62"/>
      <c r="V147" s="62"/>
      <c r="W147" s="62"/>
      <c r="X147" s="62"/>
      <c r="Y147" s="62"/>
      <c r="Z147" s="62"/>
      <c r="AA147" s="62"/>
      <c r="AB147" s="62"/>
      <c r="AC147" s="62"/>
      <c r="AD147" s="62"/>
      <c r="AE147" s="62"/>
      <c r="AF147" s="62"/>
      <c r="AG147" s="89"/>
      <c r="AH147" s="89"/>
      <c r="AI147" s="88"/>
      <c r="AJ147" s="107"/>
      <c r="AK147" s="107"/>
      <c r="AL147" s="107"/>
      <c r="AM147" s="107"/>
      <c r="AN147" s="106"/>
      <c r="AO147" s="106"/>
      <c r="AP147" s="106"/>
      <c r="AQ147" s="106"/>
      <c r="AR147" s="106"/>
      <c r="AS147" s="106"/>
      <c r="AT147" s="106"/>
      <c r="AU147" s="106"/>
      <c r="AV147" s="106"/>
    </row>
    <row r="148" spans="1:48" s="56" customFormat="1" ht="15.75" customHeight="1">
      <c r="A148" s="96"/>
      <c r="B148" s="111">
        <v>10</v>
      </c>
      <c r="C148" s="109" t="s">
        <v>482</v>
      </c>
      <c r="D148" s="110">
        <v>10</v>
      </c>
      <c r="E148" s="113" t="s">
        <v>676</v>
      </c>
      <c r="F148" s="69" t="s">
        <v>675</v>
      </c>
      <c r="G148" s="1731" t="s">
        <v>642</v>
      </c>
      <c r="H148" s="1731"/>
      <c r="I148" s="1725" t="s">
        <v>674</v>
      </c>
      <c r="J148" s="1725"/>
      <c r="K148" s="1747" t="s">
        <v>673</v>
      </c>
      <c r="L148" s="1747"/>
      <c r="M148" s="62"/>
      <c r="N148" s="62"/>
      <c r="O148" s="62"/>
      <c r="P148" s="62"/>
      <c r="Q148" s="62"/>
      <c r="R148" s="62"/>
      <c r="S148" s="62"/>
      <c r="T148" s="62"/>
      <c r="U148" s="62"/>
      <c r="V148" s="62"/>
      <c r="W148" s="62"/>
      <c r="X148" s="62"/>
      <c r="Y148" s="62"/>
      <c r="Z148" s="62"/>
      <c r="AA148" s="62"/>
      <c r="AB148" s="62"/>
      <c r="AC148" s="62"/>
      <c r="AD148" s="62"/>
      <c r="AE148" s="62"/>
      <c r="AF148" s="62"/>
      <c r="AG148" s="89"/>
      <c r="AH148" s="89"/>
      <c r="AI148" s="88"/>
      <c r="AJ148" s="107"/>
      <c r="AK148" s="107"/>
      <c r="AL148" s="107"/>
      <c r="AM148" s="107"/>
      <c r="AN148" s="106"/>
      <c r="AO148" s="106"/>
      <c r="AP148" s="106"/>
      <c r="AQ148" s="106"/>
      <c r="AR148" s="106"/>
      <c r="AS148" s="106"/>
      <c r="AT148" s="106"/>
      <c r="AU148" s="106"/>
      <c r="AV148" s="106"/>
    </row>
    <row r="149" spans="1:48" s="56" customFormat="1">
      <c r="A149" s="96"/>
      <c r="B149" s="115"/>
      <c r="C149" s="112" t="s">
        <v>660</v>
      </c>
      <c r="D149" s="114"/>
      <c r="E149" s="113"/>
      <c r="F149" s="69" t="s">
        <v>672</v>
      </c>
      <c r="G149" s="1731"/>
      <c r="H149" s="1731"/>
      <c r="I149" s="1725"/>
      <c r="J149" s="1725"/>
      <c r="K149" s="1747"/>
      <c r="L149" s="1747"/>
      <c r="M149" s="62"/>
      <c r="N149" s="62"/>
      <c r="O149" s="62"/>
      <c r="P149" s="62"/>
      <c r="Q149" s="62"/>
      <c r="R149" s="62"/>
      <c r="S149" s="62"/>
      <c r="T149" s="62"/>
      <c r="U149" s="62"/>
      <c r="V149" s="62"/>
      <c r="W149" s="62"/>
      <c r="X149" s="62"/>
      <c r="Y149" s="62"/>
      <c r="Z149" s="62"/>
      <c r="AA149" s="62"/>
      <c r="AB149" s="62"/>
      <c r="AC149" s="62"/>
      <c r="AD149" s="62"/>
      <c r="AE149" s="62"/>
      <c r="AF149" s="62"/>
      <c r="AG149" s="89"/>
      <c r="AH149" s="89"/>
      <c r="AI149" s="88"/>
      <c r="AJ149" s="107"/>
      <c r="AK149" s="107"/>
      <c r="AL149" s="107"/>
      <c r="AM149" s="107"/>
      <c r="AN149" s="106"/>
      <c r="AO149" s="106"/>
      <c r="AP149" s="106"/>
      <c r="AQ149" s="106"/>
      <c r="AR149" s="106"/>
      <c r="AS149" s="106"/>
      <c r="AT149" s="106"/>
      <c r="AU149" s="106"/>
      <c r="AV149" s="106"/>
    </row>
    <row r="150" spans="1:48" s="56" customFormat="1" ht="15.75" customHeight="1">
      <c r="A150" s="96"/>
      <c r="B150" s="111">
        <v>11</v>
      </c>
      <c r="C150" s="109" t="s">
        <v>671</v>
      </c>
      <c r="D150" s="110">
        <v>11</v>
      </c>
      <c r="E150" s="113" t="s">
        <v>670</v>
      </c>
      <c r="F150" s="69" t="s">
        <v>669</v>
      </c>
      <c r="G150" s="1731" t="s">
        <v>642</v>
      </c>
      <c r="H150" s="1731"/>
      <c r="I150" s="1725" t="s">
        <v>660</v>
      </c>
      <c r="J150" s="1725"/>
      <c r="K150" s="1747" t="s">
        <v>668</v>
      </c>
      <c r="L150" s="1747"/>
      <c r="M150" s="62"/>
      <c r="N150" s="62"/>
      <c r="O150" s="62"/>
      <c r="P150" s="62"/>
      <c r="Q150" s="62"/>
      <c r="R150" s="62"/>
      <c r="S150" s="62"/>
      <c r="T150" s="62"/>
      <c r="U150" s="62"/>
      <c r="V150" s="62"/>
      <c r="W150" s="62"/>
      <c r="X150" s="62"/>
      <c r="Y150" s="62"/>
      <c r="Z150" s="62"/>
      <c r="AA150" s="62"/>
      <c r="AB150" s="62"/>
      <c r="AC150" s="62"/>
      <c r="AD150" s="62"/>
      <c r="AE150" s="62"/>
      <c r="AF150" s="62"/>
      <c r="AG150" s="89"/>
      <c r="AH150" s="89"/>
      <c r="AI150" s="88"/>
      <c r="AJ150" s="107"/>
      <c r="AK150" s="107"/>
      <c r="AL150" s="107"/>
      <c r="AM150" s="107"/>
      <c r="AN150" s="106"/>
      <c r="AO150" s="106"/>
      <c r="AP150" s="106"/>
      <c r="AQ150" s="106"/>
      <c r="AR150" s="106"/>
      <c r="AS150" s="106"/>
      <c r="AT150" s="106"/>
      <c r="AU150" s="106"/>
      <c r="AV150" s="106"/>
    </row>
    <row r="151" spans="1:48" s="56" customFormat="1" ht="15.75" customHeight="1">
      <c r="A151" s="96"/>
      <c r="B151" s="111">
        <v>12</v>
      </c>
      <c r="C151" s="109" t="s">
        <v>667</v>
      </c>
      <c r="D151" s="110">
        <v>12</v>
      </c>
      <c r="E151" s="113" t="s">
        <v>666</v>
      </c>
      <c r="F151" s="69" t="s">
        <v>665</v>
      </c>
      <c r="G151" s="1731" t="s">
        <v>642</v>
      </c>
      <c r="H151" s="1731"/>
      <c r="I151" s="1725" t="s">
        <v>660</v>
      </c>
      <c r="J151" s="1725"/>
      <c r="K151" s="1747" t="s">
        <v>664</v>
      </c>
      <c r="L151" s="1747"/>
      <c r="M151" s="62"/>
      <c r="N151" s="62"/>
      <c r="O151" s="62"/>
      <c r="P151" s="62"/>
      <c r="Q151" s="62"/>
      <c r="R151" s="62"/>
      <c r="S151" s="62"/>
      <c r="T151" s="62"/>
      <c r="U151" s="62"/>
      <c r="V151" s="62"/>
      <c r="W151" s="62"/>
      <c r="X151" s="62"/>
      <c r="Y151" s="62"/>
      <c r="Z151" s="62"/>
      <c r="AA151" s="62"/>
      <c r="AB151" s="62"/>
      <c r="AC151" s="62"/>
      <c r="AD151" s="62"/>
      <c r="AE151" s="62"/>
      <c r="AF151" s="62"/>
      <c r="AG151" s="89"/>
      <c r="AH151" s="89"/>
      <c r="AI151" s="88"/>
      <c r="AJ151" s="107"/>
      <c r="AK151" s="107"/>
      <c r="AL151" s="107"/>
      <c r="AM151" s="107"/>
      <c r="AN151" s="106"/>
      <c r="AO151" s="106"/>
      <c r="AP151" s="106"/>
      <c r="AQ151" s="106"/>
      <c r="AR151" s="106"/>
      <c r="AS151" s="106"/>
      <c r="AT151" s="106"/>
      <c r="AU151" s="106"/>
      <c r="AV151" s="106"/>
    </row>
    <row r="152" spans="1:48" s="56" customFormat="1" ht="15.75" customHeight="1">
      <c r="A152" s="60"/>
      <c r="B152" s="111">
        <v>13</v>
      </c>
      <c r="C152" s="109" t="s">
        <v>663</v>
      </c>
      <c r="D152" s="110">
        <v>13</v>
      </c>
      <c r="E152" s="113" t="s">
        <v>662</v>
      </c>
      <c r="F152" s="69" t="s">
        <v>661</v>
      </c>
      <c r="G152" s="1731" t="s">
        <v>642</v>
      </c>
      <c r="H152" s="1731"/>
      <c r="I152" s="1725" t="s">
        <v>660</v>
      </c>
      <c r="J152" s="1725"/>
      <c r="K152" s="1747" t="s">
        <v>659</v>
      </c>
      <c r="L152" s="1747"/>
      <c r="M152" s="62"/>
      <c r="N152" s="62"/>
      <c r="O152" s="62"/>
      <c r="P152" s="62"/>
      <c r="Q152" s="62"/>
      <c r="R152" s="62"/>
      <c r="S152" s="62"/>
      <c r="T152" s="62"/>
      <c r="U152" s="62"/>
      <c r="V152" s="62"/>
      <c r="W152" s="62"/>
      <c r="X152" s="62"/>
      <c r="Y152" s="62"/>
      <c r="Z152" s="62"/>
      <c r="AA152" s="62"/>
      <c r="AB152" s="62"/>
      <c r="AC152" s="62"/>
      <c r="AD152" s="62"/>
      <c r="AE152" s="62"/>
      <c r="AF152" s="62"/>
      <c r="AG152" s="89"/>
      <c r="AH152" s="89"/>
      <c r="AI152" s="88"/>
      <c r="AJ152" s="107"/>
      <c r="AK152" s="107"/>
      <c r="AL152" s="107"/>
      <c r="AM152" s="107"/>
      <c r="AN152" s="106"/>
      <c r="AO152" s="106"/>
      <c r="AP152" s="106"/>
      <c r="AQ152" s="106"/>
      <c r="AR152" s="106"/>
      <c r="AS152" s="106"/>
      <c r="AT152" s="106"/>
      <c r="AU152" s="106"/>
      <c r="AV152" s="106"/>
    </row>
    <row r="153" spans="1:48" s="56" customFormat="1">
      <c r="A153" s="60"/>
      <c r="B153" s="115"/>
      <c r="C153" s="112" t="s">
        <v>658</v>
      </c>
      <c r="D153" s="114"/>
      <c r="E153" s="113"/>
      <c r="F153" s="69" t="s">
        <v>657</v>
      </c>
      <c r="G153" s="1731"/>
      <c r="H153" s="1731"/>
      <c r="I153" s="1725"/>
      <c r="J153" s="1725"/>
      <c r="K153" s="1747"/>
      <c r="L153" s="1747"/>
      <c r="M153" s="62"/>
      <c r="N153" s="62"/>
      <c r="O153" s="62"/>
      <c r="P153" s="62"/>
      <c r="Q153" s="62"/>
      <c r="R153" s="62"/>
      <c r="S153" s="62"/>
      <c r="T153" s="62"/>
      <c r="U153" s="62"/>
      <c r="V153" s="62"/>
      <c r="W153" s="62"/>
      <c r="X153" s="62"/>
      <c r="Y153" s="62"/>
      <c r="Z153" s="62"/>
      <c r="AA153" s="62"/>
      <c r="AB153" s="62"/>
      <c r="AC153" s="62"/>
      <c r="AD153" s="62"/>
      <c r="AE153" s="62"/>
      <c r="AF153" s="62"/>
      <c r="AG153" s="89"/>
      <c r="AH153" s="89"/>
      <c r="AI153" s="88"/>
      <c r="AJ153" s="107"/>
      <c r="AK153" s="107"/>
      <c r="AL153" s="107"/>
      <c r="AM153" s="107"/>
      <c r="AN153" s="106"/>
      <c r="AO153" s="106"/>
      <c r="AP153" s="106"/>
      <c r="AQ153" s="106"/>
      <c r="AR153" s="106"/>
      <c r="AS153" s="106"/>
      <c r="AT153" s="106"/>
      <c r="AU153" s="106"/>
      <c r="AV153" s="106"/>
    </row>
    <row r="154" spans="1:48" s="56" customFormat="1">
      <c r="A154" s="60"/>
      <c r="B154" s="115"/>
      <c r="C154" s="112" t="s">
        <v>656</v>
      </c>
      <c r="D154" s="114"/>
      <c r="E154" s="113"/>
      <c r="F154" s="69" t="s">
        <v>655</v>
      </c>
      <c r="G154" s="1731"/>
      <c r="H154" s="1731"/>
      <c r="I154" s="1725"/>
      <c r="J154" s="1725"/>
      <c r="K154" s="1747"/>
      <c r="L154" s="1747"/>
      <c r="M154" s="62"/>
      <c r="N154" s="62"/>
      <c r="O154" s="62"/>
      <c r="P154" s="62"/>
      <c r="Q154" s="62"/>
      <c r="R154" s="62"/>
      <c r="S154" s="62"/>
      <c r="T154" s="62"/>
      <c r="U154" s="62"/>
      <c r="V154" s="62"/>
      <c r="W154" s="62"/>
      <c r="X154" s="62"/>
      <c r="Y154" s="62"/>
      <c r="Z154" s="62"/>
      <c r="AA154" s="62"/>
      <c r="AB154" s="62"/>
      <c r="AC154" s="62"/>
      <c r="AD154" s="62"/>
      <c r="AE154" s="62"/>
      <c r="AF154" s="62"/>
      <c r="AG154" s="89"/>
      <c r="AH154" s="89"/>
      <c r="AI154" s="88"/>
      <c r="AJ154" s="107"/>
      <c r="AK154" s="107"/>
      <c r="AL154" s="107"/>
      <c r="AM154" s="107"/>
      <c r="AN154" s="106"/>
      <c r="AO154" s="106"/>
      <c r="AP154" s="106"/>
      <c r="AQ154" s="106"/>
      <c r="AR154" s="106"/>
      <c r="AS154" s="106"/>
      <c r="AT154" s="106"/>
      <c r="AU154" s="106"/>
      <c r="AV154" s="106"/>
    </row>
    <row r="155" spans="1:48" s="56" customFormat="1" ht="15.75" customHeight="1">
      <c r="A155" s="60"/>
      <c r="B155" s="111">
        <v>4</v>
      </c>
      <c r="C155" s="109" t="s">
        <v>654</v>
      </c>
      <c r="D155" s="110">
        <v>4</v>
      </c>
      <c r="E155" s="113" t="s">
        <v>618</v>
      </c>
      <c r="F155" s="69" t="s">
        <v>653</v>
      </c>
      <c r="G155" s="1731" t="s">
        <v>642</v>
      </c>
      <c r="H155" s="1731"/>
      <c r="I155" s="1725" t="s">
        <v>602</v>
      </c>
      <c r="J155" s="1725"/>
      <c r="K155" s="1747" t="s">
        <v>652</v>
      </c>
      <c r="L155" s="1747"/>
      <c r="M155" s="62"/>
      <c r="N155" s="62"/>
      <c r="O155" s="62"/>
      <c r="P155" s="62"/>
      <c r="Q155" s="62"/>
      <c r="R155" s="62"/>
      <c r="S155" s="62"/>
      <c r="T155" s="62"/>
      <c r="U155" s="62"/>
      <c r="V155" s="62"/>
      <c r="W155" s="62"/>
      <c r="X155" s="62"/>
      <c r="Y155" s="62"/>
      <c r="Z155" s="62"/>
      <c r="AA155" s="62"/>
      <c r="AB155" s="62"/>
      <c r="AC155" s="62"/>
      <c r="AD155" s="62"/>
      <c r="AE155" s="62"/>
      <c r="AF155" s="62"/>
      <c r="AG155" s="89"/>
      <c r="AH155" s="89"/>
      <c r="AI155" s="88"/>
      <c r="AJ155" s="107"/>
      <c r="AK155" s="107"/>
      <c r="AL155" s="107"/>
      <c r="AM155" s="107"/>
      <c r="AN155" s="106"/>
      <c r="AO155" s="106"/>
      <c r="AP155" s="106"/>
      <c r="AQ155" s="106"/>
      <c r="AR155" s="106"/>
      <c r="AS155" s="106"/>
      <c r="AT155" s="106"/>
      <c r="AU155" s="106"/>
      <c r="AV155" s="106"/>
    </row>
    <row r="156" spans="1:48" s="56" customFormat="1" ht="15.75" customHeight="1">
      <c r="A156" s="60"/>
      <c r="B156" s="111">
        <v>5</v>
      </c>
      <c r="C156" s="109" t="s">
        <v>651</v>
      </c>
      <c r="D156" s="110">
        <v>5</v>
      </c>
      <c r="E156" s="113" t="s">
        <v>618</v>
      </c>
      <c r="F156" s="69" t="s">
        <v>650</v>
      </c>
      <c r="G156" s="1731" t="s">
        <v>642</v>
      </c>
      <c r="H156" s="1731"/>
      <c r="I156" s="1725" t="s">
        <v>602</v>
      </c>
      <c r="J156" s="1725"/>
      <c r="K156" s="1747" t="s">
        <v>649</v>
      </c>
      <c r="L156" s="1747"/>
      <c r="M156" s="62"/>
      <c r="N156" s="62"/>
      <c r="O156" s="62"/>
      <c r="P156" s="62"/>
      <c r="Q156" s="62"/>
      <c r="R156" s="62"/>
      <c r="S156" s="62"/>
      <c r="T156" s="62"/>
      <c r="U156" s="62"/>
      <c r="V156" s="62"/>
      <c r="W156" s="62"/>
      <c r="X156" s="62"/>
      <c r="Y156" s="62"/>
      <c r="Z156" s="62"/>
      <c r="AA156" s="62"/>
      <c r="AB156" s="62"/>
      <c r="AC156" s="62"/>
      <c r="AD156" s="62"/>
      <c r="AE156" s="62"/>
      <c r="AF156" s="62"/>
      <c r="AG156" s="89"/>
      <c r="AH156" s="89"/>
      <c r="AI156" s="88"/>
      <c r="AJ156" s="107"/>
      <c r="AK156" s="107"/>
      <c r="AL156" s="107"/>
      <c r="AM156" s="107"/>
      <c r="AN156" s="106"/>
      <c r="AO156" s="106"/>
      <c r="AP156" s="106"/>
      <c r="AQ156" s="106"/>
      <c r="AR156" s="106"/>
      <c r="AS156" s="106"/>
      <c r="AT156" s="106"/>
      <c r="AU156" s="106"/>
      <c r="AV156" s="106"/>
    </row>
    <row r="157" spans="1:48" s="56" customFormat="1" ht="15.75" customHeight="1">
      <c r="A157" s="60"/>
      <c r="B157" s="111">
        <v>6</v>
      </c>
      <c r="C157" s="109" t="s">
        <v>648</v>
      </c>
      <c r="D157" s="110">
        <v>6</v>
      </c>
      <c r="E157" s="113" t="s">
        <v>618</v>
      </c>
      <c r="F157" s="69" t="s">
        <v>647</v>
      </c>
      <c r="G157" s="1731" t="s">
        <v>642</v>
      </c>
      <c r="H157" s="1731"/>
      <c r="I157" s="1725" t="s">
        <v>602</v>
      </c>
      <c r="J157" s="1725"/>
      <c r="K157" s="1747" t="s">
        <v>646</v>
      </c>
      <c r="L157" s="1747"/>
      <c r="M157" s="62"/>
      <c r="N157" s="62"/>
      <c r="O157" s="62"/>
      <c r="P157" s="62"/>
      <c r="Q157" s="62"/>
      <c r="R157" s="62"/>
      <c r="S157" s="62"/>
      <c r="T157" s="62"/>
      <c r="U157" s="62"/>
      <c r="V157" s="62"/>
      <c r="W157" s="62"/>
      <c r="X157" s="62"/>
      <c r="Y157" s="62"/>
      <c r="Z157" s="62"/>
      <c r="AA157" s="62"/>
      <c r="AB157" s="62"/>
      <c r="AC157" s="62"/>
      <c r="AD157" s="62"/>
      <c r="AE157" s="62"/>
      <c r="AF157" s="62"/>
      <c r="AG157" s="89"/>
      <c r="AH157" s="89"/>
      <c r="AI157" s="88"/>
      <c r="AJ157" s="107"/>
      <c r="AK157" s="107"/>
      <c r="AL157" s="107"/>
      <c r="AM157" s="107"/>
      <c r="AN157" s="106"/>
      <c r="AO157" s="106"/>
      <c r="AP157" s="106"/>
      <c r="AQ157" s="106"/>
      <c r="AR157" s="106"/>
      <c r="AS157" s="106"/>
      <c r="AT157" s="106"/>
      <c r="AU157" s="106"/>
      <c r="AV157" s="106"/>
    </row>
    <row r="158" spans="1:48" s="56" customFormat="1" ht="15.75" customHeight="1">
      <c r="A158" s="60"/>
      <c r="B158" s="111">
        <v>7</v>
      </c>
      <c r="C158" s="109" t="s">
        <v>645</v>
      </c>
      <c r="D158" s="110">
        <v>7</v>
      </c>
      <c r="E158" s="113" t="s">
        <v>644</v>
      </c>
      <c r="F158" s="69" t="s">
        <v>643</v>
      </c>
      <c r="G158" s="1731" t="s">
        <v>642</v>
      </c>
      <c r="H158" s="1731"/>
      <c r="I158" s="1725" t="s">
        <v>602</v>
      </c>
      <c r="J158" s="1725"/>
      <c r="K158" s="1747" t="s">
        <v>641</v>
      </c>
      <c r="L158" s="1747"/>
      <c r="M158" s="62"/>
      <c r="N158" s="62"/>
      <c r="O158" s="62"/>
      <c r="P158" s="62"/>
      <c r="Q158" s="62"/>
      <c r="R158" s="62"/>
      <c r="S158" s="62"/>
      <c r="T158" s="62"/>
      <c r="U158" s="62"/>
      <c r="V158" s="62"/>
      <c r="W158" s="62"/>
      <c r="X158" s="62"/>
      <c r="Y158" s="62"/>
      <c r="Z158" s="62"/>
      <c r="AA158" s="62"/>
      <c r="AB158" s="62"/>
      <c r="AC158" s="62"/>
      <c r="AD158" s="62"/>
      <c r="AE158" s="62"/>
      <c r="AF158" s="62"/>
      <c r="AG158" s="89"/>
      <c r="AH158" s="89"/>
      <c r="AI158" s="88"/>
      <c r="AJ158" s="107"/>
      <c r="AK158" s="107"/>
      <c r="AL158" s="107"/>
      <c r="AM158" s="107"/>
      <c r="AN158" s="106"/>
      <c r="AO158" s="106"/>
      <c r="AP158" s="106"/>
      <c r="AQ158" s="106"/>
      <c r="AR158" s="106"/>
      <c r="AS158" s="106"/>
      <c r="AT158" s="106"/>
      <c r="AU158" s="106"/>
      <c r="AV158" s="106"/>
    </row>
    <row r="159" spans="1:48" s="56" customFormat="1">
      <c r="A159" s="60"/>
      <c r="B159" s="111"/>
      <c r="C159" s="112" t="s">
        <v>640</v>
      </c>
      <c r="D159" s="110"/>
      <c r="E159" s="113"/>
      <c r="F159" s="69" t="s">
        <v>639</v>
      </c>
      <c r="G159" s="1731"/>
      <c r="H159" s="1731"/>
      <c r="I159" s="1725"/>
      <c r="J159" s="1725"/>
      <c r="K159" s="1747"/>
      <c r="L159" s="1747"/>
      <c r="M159" s="62"/>
      <c r="N159" s="62"/>
      <c r="O159" s="62"/>
      <c r="P159" s="62"/>
      <c r="Q159" s="62"/>
      <c r="R159" s="62"/>
      <c r="S159" s="62"/>
      <c r="T159" s="62"/>
      <c r="U159" s="62"/>
      <c r="V159" s="62"/>
      <c r="W159" s="62"/>
      <c r="X159" s="62"/>
      <c r="Y159" s="62"/>
      <c r="Z159" s="62"/>
      <c r="AA159" s="62"/>
      <c r="AB159" s="62"/>
      <c r="AC159" s="62"/>
      <c r="AD159" s="62"/>
      <c r="AE159" s="62"/>
      <c r="AF159" s="62"/>
      <c r="AG159" s="89"/>
      <c r="AH159" s="89"/>
      <c r="AI159" s="88"/>
      <c r="AJ159" s="107"/>
      <c r="AK159" s="107"/>
      <c r="AL159" s="107"/>
      <c r="AM159" s="107"/>
      <c r="AN159" s="106"/>
      <c r="AO159" s="106"/>
      <c r="AP159" s="106"/>
      <c r="AQ159" s="106"/>
      <c r="AR159" s="106"/>
      <c r="AS159" s="106"/>
      <c r="AT159" s="106"/>
      <c r="AU159" s="106"/>
      <c r="AV159" s="106"/>
    </row>
    <row r="160" spans="1:48" s="56" customFormat="1" ht="45">
      <c r="A160" s="60"/>
      <c r="B160" s="111">
        <v>14</v>
      </c>
      <c r="C160" s="109" t="s">
        <v>638</v>
      </c>
      <c r="D160" s="110">
        <v>14</v>
      </c>
      <c r="E160" s="113" t="s">
        <v>628</v>
      </c>
      <c r="F160" s="69" t="s">
        <v>637</v>
      </c>
      <c r="G160" s="1731" t="s">
        <v>626</v>
      </c>
      <c r="H160" s="1731"/>
      <c r="I160" s="1725" t="s">
        <v>602</v>
      </c>
      <c r="J160" s="1725"/>
      <c r="K160" s="1747" t="s">
        <v>636</v>
      </c>
      <c r="L160" s="1747"/>
      <c r="M160" s="62"/>
      <c r="N160" s="62"/>
      <c r="O160" s="62"/>
      <c r="P160" s="62"/>
      <c r="Q160" s="62"/>
      <c r="R160" s="62"/>
      <c r="S160" s="62"/>
      <c r="T160" s="62"/>
      <c r="U160" s="62"/>
      <c r="V160" s="62"/>
      <c r="W160" s="62"/>
      <c r="X160" s="62"/>
      <c r="Y160" s="62"/>
      <c r="Z160" s="62"/>
      <c r="AA160" s="62"/>
      <c r="AB160" s="62"/>
      <c r="AC160" s="62"/>
      <c r="AD160" s="62"/>
      <c r="AE160" s="62"/>
      <c r="AF160" s="62"/>
      <c r="AG160" s="89"/>
      <c r="AH160" s="89"/>
      <c r="AI160" s="88"/>
      <c r="AJ160" s="107"/>
      <c r="AK160" s="107"/>
      <c r="AL160" s="107"/>
      <c r="AM160" s="107"/>
      <c r="AN160" s="106"/>
      <c r="AO160" s="106"/>
      <c r="AP160" s="106"/>
      <c r="AQ160" s="106"/>
      <c r="AR160" s="106"/>
      <c r="AS160" s="106"/>
      <c r="AT160" s="106"/>
      <c r="AU160" s="106"/>
      <c r="AV160" s="106"/>
    </row>
    <row r="161" spans="1:48" s="56" customFormat="1" ht="45">
      <c r="A161" s="60"/>
      <c r="B161" s="111">
        <v>15</v>
      </c>
      <c r="C161" s="109" t="s">
        <v>635</v>
      </c>
      <c r="D161" s="110">
        <v>15</v>
      </c>
      <c r="E161" s="113" t="s">
        <v>628</v>
      </c>
      <c r="F161" s="69" t="s">
        <v>634</v>
      </c>
      <c r="G161" s="1731" t="s">
        <v>626</v>
      </c>
      <c r="H161" s="1731"/>
      <c r="I161" s="1725" t="s">
        <v>602</v>
      </c>
      <c r="J161" s="1725"/>
      <c r="K161" s="1747" t="s">
        <v>633</v>
      </c>
      <c r="L161" s="1747"/>
      <c r="M161" s="62"/>
      <c r="N161" s="62"/>
      <c r="O161" s="62"/>
      <c r="P161" s="62"/>
      <c r="Q161" s="62"/>
      <c r="R161" s="62"/>
      <c r="S161" s="62"/>
      <c r="T161" s="62"/>
      <c r="U161" s="62"/>
      <c r="V161" s="62"/>
      <c r="W161" s="62"/>
      <c r="X161" s="62"/>
      <c r="Y161" s="62"/>
      <c r="Z161" s="62"/>
      <c r="AA161" s="62"/>
      <c r="AB161" s="62"/>
      <c r="AC161" s="62"/>
      <c r="AD161" s="62"/>
      <c r="AE161" s="62"/>
      <c r="AF161" s="62"/>
      <c r="AG161" s="89"/>
      <c r="AH161" s="89"/>
      <c r="AI161" s="88"/>
      <c r="AJ161" s="107"/>
      <c r="AK161" s="107"/>
      <c r="AL161" s="107"/>
      <c r="AM161" s="107"/>
      <c r="AN161" s="106"/>
      <c r="AO161" s="106"/>
      <c r="AP161" s="106"/>
      <c r="AQ161" s="106"/>
      <c r="AR161" s="106"/>
      <c r="AS161" s="106"/>
      <c r="AT161" s="106"/>
      <c r="AU161" s="106"/>
      <c r="AV161" s="106"/>
    </row>
    <row r="162" spans="1:48" s="56" customFormat="1" ht="45">
      <c r="A162" s="60"/>
      <c r="B162" s="111">
        <v>16</v>
      </c>
      <c r="C162" s="109" t="s">
        <v>632</v>
      </c>
      <c r="D162" s="110">
        <v>16</v>
      </c>
      <c r="E162" s="113" t="s">
        <v>628</v>
      </c>
      <c r="F162" s="69" t="s">
        <v>631</v>
      </c>
      <c r="G162" s="1731" t="s">
        <v>626</v>
      </c>
      <c r="H162" s="1731"/>
      <c r="I162" s="1725" t="s">
        <v>602</v>
      </c>
      <c r="J162" s="1725"/>
      <c r="K162" s="1747" t="s">
        <v>630</v>
      </c>
      <c r="L162" s="1747"/>
      <c r="M162" s="62"/>
      <c r="N162" s="62"/>
      <c r="O162" s="62"/>
      <c r="P162" s="62"/>
      <c r="Q162" s="62"/>
      <c r="R162" s="62"/>
      <c r="S162" s="62"/>
      <c r="T162" s="62"/>
      <c r="U162" s="62"/>
      <c r="V162" s="62"/>
      <c r="W162" s="62"/>
      <c r="X162" s="62"/>
      <c r="Y162" s="62"/>
      <c r="Z162" s="62"/>
      <c r="AA162" s="62"/>
      <c r="AB162" s="62"/>
      <c r="AC162" s="62"/>
      <c r="AD162" s="62"/>
      <c r="AE162" s="62"/>
      <c r="AF162" s="62"/>
      <c r="AG162" s="89"/>
      <c r="AH162" s="89"/>
      <c r="AI162" s="88"/>
      <c r="AJ162" s="107"/>
      <c r="AK162" s="107"/>
      <c r="AL162" s="107"/>
      <c r="AM162" s="107"/>
      <c r="AN162" s="106"/>
      <c r="AO162" s="106"/>
      <c r="AP162" s="106"/>
      <c r="AQ162" s="106"/>
      <c r="AR162" s="106"/>
      <c r="AS162" s="106"/>
      <c r="AT162" s="106"/>
      <c r="AU162" s="106"/>
      <c r="AV162" s="106"/>
    </row>
    <row r="163" spans="1:48" s="56" customFormat="1" ht="45">
      <c r="A163" s="60"/>
      <c r="B163" s="111">
        <v>17</v>
      </c>
      <c r="C163" s="109" t="s">
        <v>629</v>
      </c>
      <c r="D163" s="110">
        <v>17</v>
      </c>
      <c r="E163" s="113" t="s">
        <v>628</v>
      </c>
      <c r="F163" s="69" t="s">
        <v>627</v>
      </c>
      <c r="G163" s="1731" t="s">
        <v>626</v>
      </c>
      <c r="H163" s="1731"/>
      <c r="I163" s="1725" t="s">
        <v>602</v>
      </c>
      <c r="J163" s="1725"/>
      <c r="K163" s="1747" t="s">
        <v>625</v>
      </c>
      <c r="L163" s="1747"/>
      <c r="M163" s="62"/>
      <c r="N163" s="62"/>
      <c r="O163" s="62"/>
      <c r="P163" s="62"/>
      <c r="Q163" s="62"/>
      <c r="R163" s="62"/>
      <c r="S163" s="62"/>
      <c r="T163" s="62"/>
      <c r="U163" s="62"/>
      <c r="V163" s="62"/>
      <c r="W163" s="62"/>
      <c r="X163" s="62"/>
      <c r="Y163" s="62"/>
      <c r="Z163" s="62"/>
      <c r="AA163" s="62"/>
      <c r="AB163" s="62"/>
      <c r="AC163" s="62"/>
      <c r="AD163" s="62"/>
      <c r="AE163" s="62"/>
      <c r="AF163" s="62"/>
      <c r="AG163" s="89"/>
      <c r="AH163" s="89"/>
      <c r="AI163" s="88"/>
      <c r="AJ163" s="107"/>
      <c r="AK163" s="107"/>
      <c r="AL163" s="107"/>
      <c r="AM163" s="107"/>
      <c r="AN163" s="106"/>
      <c r="AO163" s="106"/>
      <c r="AP163" s="106"/>
      <c r="AQ163" s="106"/>
      <c r="AR163" s="106"/>
      <c r="AS163" s="106"/>
      <c r="AT163" s="106"/>
      <c r="AU163" s="106"/>
      <c r="AV163" s="106"/>
    </row>
    <row r="164" spans="1:48" s="56" customFormat="1">
      <c r="A164" s="60"/>
      <c r="B164" s="115"/>
      <c r="C164" s="112" t="s">
        <v>624</v>
      </c>
      <c r="D164" s="114"/>
      <c r="E164" s="113"/>
      <c r="F164" s="69" t="s">
        <v>623</v>
      </c>
      <c r="G164" s="1731"/>
      <c r="H164" s="1731"/>
      <c r="I164" s="1725"/>
      <c r="J164" s="1725"/>
      <c r="K164" s="1747"/>
      <c r="L164" s="1747"/>
      <c r="M164" s="62"/>
      <c r="N164" s="62"/>
      <c r="O164" s="62"/>
      <c r="P164" s="62"/>
      <c r="Q164" s="62"/>
      <c r="R164" s="62"/>
      <c r="S164" s="62"/>
      <c r="T164" s="62"/>
      <c r="U164" s="62"/>
      <c r="V164" s="62"/>
      <c r="W164" s="62"/>
      <c r="X164" s="62"/>
      <c r="Y164" s="62"/>
      <c r="Z164" s="62"/>
      <c r="AA164" s="62"/>
      <c r="AB164" s="62"/>
      <c r="AC164" s="62"/>
      <c r="AD164" s="62"/>
      <c r="AE164" s="62"/>
      <c r="AF164" s="62"/>
      <c r="AG164" s="89"/>
      <c r="AH164" s="89"/>
      <c r="AI164" s="88"/>
      <c r="AJ164" s="107"/>
      <c r="AK164" s="107"/>
      <c r="AL164" s="107"/>
      <c r="AM164" s="107"/>
      <c r="AN164" s="106"/>
      <c r="AO164" s="106"/>
      <c r="AP164" s="106"/>
      <c r="AQ164" s="106"/>
      <c r="AR164" s="106"/>
      <c r="AS164" s="106"/>
      <c r="AT164" s="106"/>
      <c r="AU164" s="106"/>
      <c r="AV164" s="106"/>
    </row>
    <row r="165" spans="1:48" s="56" customFormat="1" ht="15.75" customHeight="1">
      <c r="A165" s="60"/>
      <c r="B165" s="111">
        <v>18</v>
      </c>
      <c r="C165" s="109" t="s">
        <v>622</v>
      </c>
      <c r="D165" s="110">
        <v>18</v>
      </c>
      <c r="E165" s="109" t="s">
        <v>618</v>
      </c>
      <c r="F165" s="69" t="s">
        <v>621</v>
      </c>
      <c r="G165" s="1731" t="s">
        <v>616</v>
      </c>
      <c r="H165" s="1731"/>
      <c r="I165" s="1725" t="s">
        <v>602</v>
      </c>
      <c r="J165" s="1725"/>
      <c r="K165" s="1747" t="s">
        <v>620</v>
      </c>
      <c r="L165" s="1747"/>
      <c r="M165" s="62"/>
      <c r="N165" s="62"/>
      <c r="O165" s="62"/>
      <c r="P165" s="62"/>
      <c r="Q165" s="62"/>
      <c r="R165" s="62"/>
      <c r="S165" s="62"/>
      <c r="T165" s="62"/>
      <c r="U165" s="62"/>
      <c r="V165" s="62"/>
      <c r="W165" s="62"/>
      <c r="X165" s="62"/>
      <c r="Y165" s="62"/>
      <c r="Z165" s="62"/>
      <c r="AA165" s="62"/>
      <c r="AB165" s="62"/>
      <c r="AC165" s="62"/>
      <c r="AD165" s="62"/>
      <c r="AE165" s="62"/>
      <c r="AF165" s="62"/>
      <c r="AG165" s="89"/>
      <c r="AH165" s="89"/>
      <c r="AI165" s="88"/>
      <c r="AJ165" s="107"/>
      <c r="AK165" s="107"/>
      <c r="AL165" s="107"/>
      <c r="AM165" s="107"/>
      <c r="AN165" s="106"/>
      <c r="AO165" s="106"/>
      <c r="AP165" s="106"/>
      <c r="AQ165" s="106"/>
      <c r="AR165" s="106"/>
      <c r="AS165" s="106"/>
      <c r="AT165" s="106"/>
      <c r="AU165" s="106"/>
      <c r="AV165" s="106"/>
    </row>
    <row r="166" spans="1:48" s="56" customFormat="1" ht="15.75" customHeight="1">
      <c r="A166" s="60"/>
      <c r="B166" s="111">
        <v>19</v>
      </c>
      <c r="C166" s="109" t="s">
        <v>619</v>
      </c>
      <c r="D166" s="110">
        <v>19</v>
      </c>
      <c r="E166" s="109" t="s">
        <v>618</v>
      </c>
      <c r="F166" s="69" t="s">
        <v>617</v>
      </c>
      <c r="G166" s="1731" t="s">
        <v>616</v>
      </c>
      <c r="H166" s="1731"/>
      <c r="I166" s="1725" t="s">
        <v>602</v>
      </c>
      <c r="J166" s="1725"/>
      <c r="K166" s="1747" t="s">
        <v>615</v>
      </c>
      <c r="L166" s="1747"/>
      <c r="M166" s="62"/>
      <c r="N166" s="62"/>
      <c r="O166" s="62"/>
      <c r="P166" s="62"/>
      <c r="Q166" s="62"/>
      <c r="R166" s="62"/>
      <c r="S166" s="62"/>
      <c r="T166" s="62"/>
      <c r="U166" s="62"/>
      <c r="V166" s="62"/>
      <c r="W166" s="62"/>
      <c r="X166" s="62"/>
      <c r="Y166" s="62"/>
      <c r="Z166" s="62"/>
      <c r="AA166" s="62"/>
      <c r="AB166" s="62"/>
      <c r="AC166" s="62"/>
      <c r="AD166" s="62"/>
      <c r="AE166" s="62"/>
      <c r="AF166" s="62"/>
      <c r="AG166" s="89"/>
      <c r="AH166" s="89"/>
      <c r="AI166" s="88"/>
      <c r="AJ166" s="107"/>
      <c r="AK166" s="107"/>
      <c r="AL166" s="107"/>
      <c r="AM166" s="107"/>
      <c r="AN166" s="106"/>
      <c r="AO166" s="106"/>
      <c r="AP166" s="106"/>
      <c r="AQ166" s="106"/>
      <c r="AR166" s="106"/>
      <c r="AS166" s="106"/>
      <c r="AT166" s="106"/>
      <c r="AU166" s="106"/>
      <c r="AV166" s="106"/>
    </row>
    <row r="167" spans="1:48" s="56" customFormat="1" ht="12.75" customHeight="1">
      <c r="A167" s="60"/>
      <c r="B167" s="111"/>
      <c r="C167" s="112" t="s">
        <v>614</v>
      </c>
      <c r="D167" s="110"/>
      <c r="E167" s="109"/>
      <c r="F167" s="69" t="s">
        <v>613</v>
      </c>
      <c r="G167" s="1731"/>
      <c r="H167" s="1731"/>
      <c r="I167" s="1725"/>
      <c r="J167" s="1725"/>
      <c r="K167" s="1747"/>
      <c r="L167" s="1747"/>
      <c r="M167" s="62"/>
      <c r="N167" s="62"/>
      <c r="O167" s="62"/>
      <c r="P167" s="62"/>
      <c r="Q167" s="62"/>
      <c r="R167" s="62"/>
      <c r="S167" s="62"/>
      <c r="T167" s="62"/>
      <c r="U167" s="62"/>
      <c r="V167" s="62"/>
      <c r="W167" s="62"/>
      <c r="X167" s="62"/>
      <c r="Y167" s="62"/>
      <c r="Z167" s="62"/>
      <c r="AA167" s="62"/>
      <c r="AB167" s="62"/>
      <c r="AC167" s="62"/>
      <c r="AD167" s="62"/>
      <c r="AE167" s="62"/>
      <c r="AF167" s="62"/>
      <c r="AG167" s="89"/>
      <c r="AH167" s="89"/>
      <c r="AI167" s="88"/>
      <c r="AJ167" s="107"/>
      <c r="AK167" s="107"/>
      <c r="AL167" s="107"/>
      <c r="AM167" s="107"/>
      <c r="AN167" s="106"/>
      <c r="AO167" s="106"/>
      <c r="AP167" s="106"/>
      <c r="AQ167" s="106"/>
      <c r="AR167" s="106"/>
      <c r="AS167" s="106"/>
      <c r="AT167" s="106"/>
      <c r="AU167" s="106"/>
      <c r="AV167" s="106"/>
    </row>
    <row r="168" spans="1:48" s="56" customFormat="1" ht="15.75" customHeight="1">
      <c r="A168" s="60"/>
      <c r="B168" s="111">
        <v>20</v>
      </c>
      <c r="C168" s="109" t="s">
        <v>612</v>
      </c>
      <c r="D168" s="110">
        <v>20</v>
      </c>
      <c r="E168" s="109" t="s">
        <v>605</v>
      </c>
      <c r="F168" s="69" t="s">
        <v>611</v>
      </c>
      <c r="G168" s="1731" t="s">
        <v>603</v>
      </c>
      <c r="H168" s="1731"/>
      <c r="I168" s="1725" t="s">
        <v>602</v>
      </c>
      <c r="J168" s="1725"/>
      <c r="K168" s="1747" t="s">
        <v>610</v>
      </c>
      <c r="L168" s="1747"/>
      <c r="M168" s="62"/>
      <c r="N168" s="62"/>
      <c r="O168" s="62"/>
      <c r="P168" s="62"/>
      <c r="Q168" s="62"/>
      <c r="R168" s="62"/>
      <c r="S168" s="62"/>
      <c r="T168" s="62"/>
      <c r="U168" s="62"/>
      <c r="V168" s="62"/>
      <c r="W168" s="62"/>
      <c r="X168" s="62"/>
      <c r="Y168" s="62"/>
      <c r="Z168" s="62"/>
      <c r="AA168" s="62"/>
      <c r="AB168" s="62"/>
      <c r="AC168" s="62"/>
      <c r="AD168" s="62"/>
      <c r="AE168" s="62"/>
      <c r="AF168" s="62"/>
      <c r="AG168" s="89"/>
      <c r="AH168" s="89"/>
      <c r="AI168" s="88"/>
      <c r="AJ168" s="107"/>
      <c r="AK168" s="107"/>
      <c r="AL168" s="107"/>
      <c r="AM168" s="107"/>
      <c r="AN168" s="106"/>
      <c r="AO168" s="106"/>
      <c r="AP168" s="106"/>
      <c r="AQ168" s="106"/>
      <c r="AR168" s="106"/>
      <c r="AS168" s="106"/>
      <c r="AT168" s="106"/>
      <c r="AU168" s="106"/>
      <c r="AV168" s="106"/>
    </row>
    <row r="169" spans="1:48" s="56" customFormat="1" ht="15.75" customHeight="1">
      <c r="A169" s="60"/>
      <c r="B169" s="111">
        <v>21</v>
      </c>
      <c r="C169" s="109" t="s">
        <v>609</v>
      </c>
      <c r="D169" s="110">
        <v>21</v>
      </c>
      <c r="E169" s="109" t="s">
        <v>605</v>
      </c>
      <c r="F169" s="69" t="s">
        <v>608</v>
      </c>
      <c r="G169" s="1731" t="s">
        <v>603</v>
      </c>
      <c r="H169" s="1731"/>
      <c r="I169" s="1725" t="s">
        <v>602</v>
      </c>
      <c r="J169" s="1725"/>
      <c r="K169" s="1747" t="s">
        <v>607</v>
      </c>
      <c r="L169" s="1747"/>
      <c r="M169" s="62"/>
      <c r="N169" s="62"/>
      <c r="O169" s="62"/>
      <c r="P169" s="62"/>
      <c r="Q169" s="62"/>
      <c r="R169" s="62"/>
      <c r="S169" s="62"/>
      <c r="T169" s="62"/>
      <c r="U169" s="62"/>
      <c r="V169" s="62"/>
      <c r="W169" s="62"/>
      <c r="X169" s="62"/>
      <c r="Y169" s="62"/>
      <c r="Z169" s="62"/>
      <c r="AA169" s="62"/>
      <c r="AB169" s="62"/>
      <c r="AC169" s="62"/>
      <c r="AD169" s="62"/>
      <c r="AE169" s="62"/>
      <c r="AF169" s="62"/>
      <c r="AG169" s="89"/>
      <c r="AH169" s="89"/>
      <c r="AI169" s="88"/>
      <c r="AJ169" s="107"/>
      <c r="AK169" s="107"/>
      <c r="AL169" s="107"/>
      <c r="AM169" s="107"/>
      <c r="AN169" s="106"/>
      <c r="AO169" s="106"/>
      <c r="AP169" s="106"/>
      <c r="AQ169" s="106"/>
      <c r="AR169" s="106"/>
      <c r="AS169" s="106"/>
      <c r="AT169" s="106"/>
      <c r="AU169" s="106"/>
      <c r="AV169" s="106"/>
    </row>
    <row r="170" spans="1:48" s="56" customFormat="1" ht="16.5" customHeight="1">
      <c r="A170" s="60"/>
      <c r="B170" s="111">
        <v>22</v>
      </c>
      <c r="C170" s="109" t="s">
        <v>606</v>
      </c>
      <c r="D170" s="110">
        <v>22</v>
      </c>
      <c r="E170" s="109" t="s">
        <v>605</v>
      </c>
      <c r="F170" s="69" t="s">
        <v>604</v>
      </c>
      <c r="G170" s="1731" t="s">
        <v>603</v>
      </c>
      <c r="H170" s="1731"/>
      <c r="I170" s="1725" t="s">
        <v>602</v>
      </c>
      <c r="J170" s="1725"/>
      <c r="K170" s="1747" t="s">
        <v>601</v>
      </c>
      <c r="L170" s="1747"/>
      <c r="M170" s="62"/>
      <c r="N170" s="62"/>
      <c r="O170" s="62"/>
      <c r="P170" s="62"/>
      <c r="Q170" s="62"/>
      <c r="R170" s="62"/>
      <c r="S170" s="62"/>
      <c r="T170" s="62"/>
      <c r="U170" s="62"/>
      <c r="V170" s="62"/>
      <c r="W170" s="62"/>
      <c r="X170" s="62"/>
      <c r="Y170" s="62"/>
      <c r="Z170" s="62"/>
      <c r="AA170" s="62"/>
      <c r="AB170" s="62"/>
      <c r="AC170" s="62"/>
      <c r="AD170" s="62"/>
      <c r="AE170" s="62"/>
      <c r="AF170" s="62"/>
      <c r="AG170" s="89"/>
      <c r="AH170" s="89"/>
      <c r="AI170" s="88"/>
      <c r="AJ170" s="107"/>
      <c r="AK170" s="107"/>
      <c r="AL170" s="107"/>
      <c r="AM170" s="107"/>
      <c r="AN170" s="106"/>
      <c r="AO170" s="106"/>
      <c r="AP170" s="106"/>
      <c r="AQ170" s="106"/>
      <c r="AR170" s="106"/>
      <c r="AS170" s="106"/>
      <c r="AT170" s="106"/>
      <c r="AU170" s="106"/>
      <c r="AV170" s="106"/>
    </row>
    <row r="171" spans="1:48" s="56" customFormat="1" ht="15">
      <c r="A171" s="60"/>
      <c r="B171" s="73"/>
      <c r="C171" s="69"/>
      <c r="D171" s="91"/>
      <c r="E171" s="69"/>
      <c r="F171" s="69" t="s">
        <v>600</v>
      </c>
      <c r="G171" s="69"/>
      <c r="H171" s="68"/>
      <c r="I171" s="69"/>
      <c r="J171" s="108"/>
      <c r="K171" s="90"/>
      <c r="L171" s="62"/>
      <c r="M171" s="62"/>
      <c r="N171" s="62"/>
      <c r="O171" s="62"/>
      <c r="P171" s="62"/>
      <c r="Q171" s="62"/>
      <c r="R171" s="62"/>
      <c r="S171" s="62"/>
      <c r="T171" s="62"/>
      <c r="U171" s="62"/>
      <c r="V171" s="62"/>
      <c r="W171" s="62"/>
      <c r="X171" s="62"/>
      <c r="Y171" s="62"/>
      <c r="Z171" s="62"/>
      <c r="AA171" s="62"/>
      <c r="AB171" s="62"/>
      <c r="AC171" s="62"/>
      <c r="AD171" s="62"/>
      <c r="AE171" s="62"/>
      <c r="AF171" s="62"/>
      <c r="AG171" s="89"/>
      <c r="AH171" s="89"/>
      <c r="AI171" s="88"/>
      <c r="AJ171" s="107"/>
      <c r="AK171" s="107"/>
      <c r="AL171" s="107"/>
      <c r="AM171" s="107"/>
      <c r="AN171" s="106"/>
      <c r="AO171" s="106"/>
      <c r="AP171" s="106"/>
      <c r="AQ171" s="106"/>
      <c r="AR171" s="106"/>
      <c r="AS171" s="106"/>
      <c r="AT171" s="106"/>
      <c r="AU171" s="106"/>
      <c r="AV171" s="106"/>
    </row>
    <row r="172" spans="1:48" s="56" customFormat="1" ht="15">
      <c r="A172" s="60"/>
      <c r="B172" s="73"/>
      <c r="C172" s="69"/>
      <c r="D172" s="91"/>
      <c r="E172" s="69"/>
      <c r="F172" s="69" t="s">
        <v>599</v>
      </c>
      <c r="G172" s="69"/>
      <c r="H172" s="68"/>
      <c r="I172" s="69"/>
      <c r="J172" s="108"/>
      <c r="K172" s="90"/>
      <c r="L172" s="62"/>
      <c r="M172" s="62"/>
      <c r="N172" s="62"/>
      <c r="O172" s="62"/>
      <c r="P172" s="62"/>
      <c r="Q172" s="62"/>
      <c r="R172" s="62"/>
      <c r="S172" s="62"/>
      <c r="T172" s="62"/>
      <c r="U172" s="62"/>
      <c r="V172" s="62"/>
      <c r="W172" s="62"/>
      <c r="X172" s="62"/>
      <c r="Y172" s="62"/>
      <c r="Z172" s="62"/>
      <c r="AA172" s="62"/>
      <c r="AB172" s="62"/>
      <c r="AC172" s="62"/>
      <c r="AD172" s="62"/>
      <c r="AE172" s="62"/>
      <c r="AF172" s="62"/>
      <c r="AG172" s="89"/>
      <c r="AH172" s="89"/>
      <c r="AI172" s="88"/>
      <c r="AJ172" s="107"/>
      <c r="AK172" s="107"/>
      <c r="AL172" s="107"/>
      <c r="AM172" s="107"/>
      <c r="AN172" s="106"/>
      <c r="AO172" s="106"/>
      <c r="AP172" s="106"/>
      <c r="AQ172" s="106"/>
      <c r="AR172" s="106"/>
      <c r="AS172" s="106"/>
      <c r="AT172" s="106"/>
      <c r="AU172" s="106"/>
      <c r="AV172" s="106"/>
    </row>
    <row r="173" spans="1:48" s="56" customFormat="1">
      <c r="A173" s="60"/>
      <c r="B173" s="105"/>
      <c r="C173" s="104" t="s">
        <v>598</v>
      </c>
      <c r="D173" s="91"/>
      <c r="E173" s="103"/>
      <c r="F173" s="69" t="s">
        <v>597</v>
      </c>
      <c r="G173" s="102"/>
      <c r="H173" s="69"/>
      <c r="I173" s="68"/>
      <c r="J173" s="68"/>
      <c r="K173" s="90"/>
      <c r="L173" s="62"/>
      <c r="M173" s="62"/>
      <c r="N173" s="62"/>
      <c r="O173" s="62"/>
      <c r="P173" s="62"/>
      <c r="Q173" s="62"/>
      <c r="R173" s="62"/>
      <c r="S173" s="62"/>
      <c r="T173" s="62"/>
      <c r="U173" s="62"/>
      <c r="V173" s="62"/>
      <c r="W173" s="62"/>
      <c r="X173" s="62"/>
      <c r="Y173" s="62"/>
      <c r="Z173" s="62"/>
      <c r="AA173" s="62"/>
      <c r="AB173" s="62"/>
      <c r="AC173" s="62"/>
      <c r="AD173" s="62"/>
      <c r="AE173" s="62"/>
      <c r="AF173" s="62"/>
      <c r="AG173" s="89"/>
      <c r="AH173" s="89"/>
      <c r="AI173" s="88"/>
      <c r="AJ173" s="57"/>
      <c r="AK173" s="57"/>
      <c r="AL173" s="57"/>
      <c r="AM173" s="57"/>
    </row>
    <row r="174" spans="1:48" s="56" customFormat="1">
      <c r="A174" s="60"/>
      <c r="B174" s="100"/>
      <c r="C174" s="101" t="s">
        <v>596</v>
      </c>
      <c r="D174" s="91"/>
      <c r="E174" s="96"/>
      <c r="F174" s="69" t="s">
        <v>595</v>
      </c>
      <c r="G174" s="91"/>
      <c r="H174" s="101" t="s">
        <v>594</v>
      </c>
      <c r="I174" s="90" t="s">
        <v>593</v>
      </c>
      <c r="J174" s="68"/>
      <c r="K174" s="90"/>
      <c r="L174" s="62"/>
      <c r="M174" s="62"/>
      <c r="N174" s="62"/>
      <c r="O174" s="62"/>
      <c r="P174" s="62"/>
      <c r="Q174" s="62"/>
      <c r="R174" s="62"/>
      <c r="S174" s="62"/>
      <c r="T174" s="62"/>
      <c r="U174" s="62"/>
      <c r="V174" s="62"/>
      <c r="W174" s="62"/>
      <c r="X174" s="62"/>
      <c r="Y174" s="62"/>
      <c r="Z174" s="62"/>
      <c r="AA174" s="62"/>
      <c r="AB174" s="62"/>
      <c r="AC174" s="62"/>
      <c r="AD174" s="62"/>
      <c r="AE174" s="62"/>
      <c r="AF174" s="62"/>
      <c r="AG174" s="89"/>
      <c r="AH174" s="89"/>
      <c r="AI174" s="88"/>
      <c r="AJ174" s="57"/>
      <c r="AK174" s="57"/>
      <c r="AL174" s="57"/>
      <c r="AM174" s="57"/>
    </row>
    <row r="175" spans="1:48" s="56" customFormat="1">
      <c r="A175" s="60"/>
      <c r="B175" s="98">
        <v>1</v>
      </c>
      <c r="C175" s="99" t="s">
        <v>592</v>
      </c>
      <c r="D175" s="91"/>
      <c r="E175" s="96"/>
      <c r="F175" s="69" t="s">
        <v>591</v>
      </c>
      <c r="G175" s="95">
        <v>1</v>
      </c>
      <c r="H175" s="91" t="s">
        <v>504</v>
      </c>
      <c r="I175" s="94" t="s">
        <v>590</v>
      </c>
      <c r="J175" s="68"/>
      <c r="K175" s="90"/>
      <c r="L175" s="62"/>
      <c r="M175" s="62"/>
      <c r="N175" s="62"/>
      <c r="O175" s="62"/>
      <c r="P175" s="62"/>
      <c r="Q175" s="62"/>
      <c r="R175" s="62"/>
      <c r="S175" s="62"/>
      <c r="T175" s="62"/>
      <c r="U175" s="62"/>
      <c r="V175" s="62"/>
      <c r="W175" s="62"/>
      <c r="X175" s="62"/>
      <c r="Y175" s="62"/>
      <c r="Z175" s="62"/>
      <c r="AA175" s="62"/>
      <c r="AB175" s="62"/>
      <c r="AC175" s="62"/>
      <c r="AD175" s="62"/>
      <c r="AE175" s="62"/>
      <c r="AF175" s="62"/>
      <c r="AG175" s="89"/>
      <c r="AH175" s="89"/>
      <c r="AI175" s="88"/>
      <c r="AJ175" s="57"/>
      <c r="AK175" s="57"/>
      <c r="AL175" s="57"/>
      <c r="AM175" s="57"/>
    </row>
    <row r="176" spans="1:48" s="56" customFormat="1" ht="15">
      <c r="A176" s="60"/>
      <c r="B176" s="98">
        <v>2</v>
      </c>
      <c r="C176" s="91" t="s">
        <v>589</v>
      </c>
      <c r="D176" s="91"/>
      <c r="E176" s="96"/>
      <c r="F176" s="69" t="s">
        <v>588</v>
      </c>
      <c r="G176" s="95">
        <v>2</v>
      </c>
      <c r="H176" s="91" t="s">
        <v>507</v>
      </c>
      <c r="I176" s="94" t="s">
        <v>587</v>
      </c>
      <c r="J176" s="68"/>
      <c r="K176" s="90"/>
      <c r="L176" s="62"/>
      <c r="M176" s="62"/>
      <c r="N176" s="62"/>
      <c r="O176" s="62"/>
      <c r="P176" s="62"/>
      <c r="Q176" s="62"/>
      <c r="R176" s="62"/>
      <c r="S176" s="62"/>
      <c r="T176" s="62"/>
      <c r="U176" s="62"/>
      <c r="V176" s="62"/>
      <c r="W176" s="62"/>
      <c r="X176" s="62"/>
      <c r="Y176" s="62"/>
      <c r="Z176" s="62"/>
      <c r="AA176" s="62"/>
      <c r="AB176" s="62"/>
      <c r="AC176" s="62"/>
      <c r="AD176" s="62"/>
      <c r="AE176" s="62"/>
      <c r="AF176" s="62"/>
      <c r="AG176" s="89"/>
      <c r="AH176" s="89"/>
      <c r="AI176" s="88"/>
      <c r="AJ176" s="57"/>
      <c r="AK176" s="57"/>
      <c r="AL176" s="57"/>
      <c r="AM176" s="57"/>
    </row>
    <row r="177" spans="1:39" s="56" customFormat="1" ht="15">
      <c r="A177" s="60"/>
      <c r="B177" s="98">
        <v>3</v>
      </c>
      <c r="C177" s="91" t="s">
        <v>586</v>
      </c>
      <c r="D177" s="91"/>
      <c r="E177" s="96"/>
      <c r="F177" s="69" t="s">
        <v>585</v>
      </c>
      <c r="G177" s="95">
        <v>3</v>
      </c>
      <c r="H177" s="91" t="s">
        <v>512</v>
      </c>
      <c r="I177" s="94" t="s">
        <v>584</v>
      </c>
      <c r="J177" s="68"/>
      <c r="K177" s="90"/>
      <c r="L177" s="62"/>
      <c r="M177" s="62"/>
      <c r="N177" s="62"/>
      <c r="O177" s="62"/>
      <c r="P177" s="62"/>
      <c r="Q177" s="62"/>
      <c r="R177" s="62"/>
      <c r="S177" s="62"/>
      <c r="T177" s="62"/>
      <c r="U177" s="62"/>
      <c r="V177" s="62"/>
      <c r="W177" s="62"/>
      <c r="X177" s="62"/>
      <c r="Y177" s="62"/>
      <c r="Z177" s="62"/>
      <c r="AA177" s="62"/>
      <c r="AB177" s="62"/>
      <c r="AC177" s="62"/>
      <c r="AD177" s="62"/>
      <c r="AE177" s="62"/>
      <c r="AF177" s="62"/>
      <c r="AG177" s="89"/>
      <c r="AH177" s="89"/>
      <c r="AI177" s="88"/>
      <c r="AJ177" s="57"/>
      <c r="AK177" s="57"/>
      <c r="AL177" s="57"/>
      <c r="AM177" s="57"/>
    </row>
    <row r="178" spans="1:39" s="56" customFormat="1" ht="15">
      <c r="A178" s="60"/>
      <c r="B178" s="98">
        <v>4</v>
      </c>
      <c r="C178" s="91" t="s">
        <v>583</v>
      </c>
      <c r="D178" s="91"/>
      <c r="E178" s="96"/>
      <c r="F178" s="69" t="s">
        <v>582</v>
      </c>
      <c r="G178" s="95">
        <v>4</v>
      </c>
      <c r="H178" s="91" t="s">
        <v>502</v>
      </c>
      <c r="I178" s="94" t="s">
        <v>581</v>
      </c>
      <c r="J178" s="68"/>
      <c r="K178" s="90"/>
      <c r="L178" s="62"/>
      <c r="M178" s="62"/>
      <c r="N178" s="62"/>
      <c r="O178" s="62"/>
      <c r="P178" s="62"/>
      <c r="Q178" s="62"/>
      <c r="R178" s="62"/>
      <c r="S178" s="62"/>
      <c r="T178" s="62"/>
      <c r="U178" s="62"/>
      <c r="V178" s="62"/>
      <c r="W178" s="62"/>
      <c r="X178" s="62"/>
      <c r="Y178" s="62"/>
      <c r="Z178" s="62"/>
      <c r="AA178" s="62"/>
      <c r="AB178" s="62"/>
      <c r="AC178" s="62"/>
      <c r="AD178" s="62"/>
      <c r="AE178" s="62"/>
      <c r="AF178" s="62"/>
      <c r="AG178" s="89"/>
      <c r="AH178" s="89"/>
      <c r="AI178" s="88"/>
      <c r="AJ178" s="57"/>
      <c r="AK178" s="57"/>
      <c r="AL178" s="57"/>
      <c r="AM178" s="57"/>
    </row>
    <row r="179" spans="1:39" s="56" customFormat="1" ht="15">
      <c r="A179" s="60"/>
      <c r="B179" s="98">
        <v>5</v>
      </c>
      <c r="C179" s="91" t="s">
        <v>580</v>
      </c>
      <c r="D179" s="91"/>
      <c r="E179" s="96"/>
      <c r="F179" s="69" t="s">
        <v>579</v>
      </c>
      <c r="G179" s="95">
        <v>5</v>
      </c>
      <c r="H179" s="91" t="s">
        <v>578</v>
      </c>
      <c r="I179" s="94" t="s">
        <v>577</v>
      </c>
      <c r="J179" s="68"/>
      <c r="K179" s="90"/>
      <c r="L179" s="62"/>
      <c r="M179" s="62"/>
      <c r="N179" s="62"/>
      <c r="O179" s="62"/>
      <c r="P179" s="62"/>
      <c r="Q179" s="62"/>
      <c r="R179" s="62"/>
      <c r="S179" s="62"/>
      <c r="T179" s="62"/>
      <c r="U179" s="62"/>
      <c r="V179" s="62"/>
      <c r="W179" s="62"/>
      <c r="X179" s="62"/>
      <c r="Y179" s="62"/>
      <c r="Z179" s="62"/>
      <c r="AA179" s="62"/>
      <c r="AB179" s="62"/>
      <c r="AC179" s="62"/>
      <c r="AD179" s="62"/>
      <c r="AE179" s="62"/>
      <c r="AF179" s="62"/>
      <c r="AG179" s="89"/>
      <c r="AH179" s="89"/>
      <c r="AI179" s="88"/>
      <c r="AJ179" s="57"/>
      <c r="AK179" s="57"/>
      <c r="AL179" s="57"/>
      <c r="AM179" s="57"/>
    </row>
    <row r="180" spans="1:39" s="56" customFormat="1" ht="15">
      <c r="A180" s="60"/>
      <c r="B180" s="98">
        <v>6</v>
      </c>
      <c r="C180" s="91" t="s">
        <v>576</v>
      </c>
      <c r="D180" s="91"/>
      <c r="E180" s="96"/>
      <c r="F180" s="69" t="s">
        <v>575</v>
      </c>
      <c r="G180" s="95">
        <v>6</v>
      </c>
      <c r="H180" s="91" t="s">
        <v>500</v>
      </c>
      <c r="I180" s="94" t="s">
        <v>574</v>
      </c>
      <c r="J180" s="68"/>
      <c r="K180" s="90"/>
      <c r="L180" s="62"/>
      <c r="M180" s="62"/>
      <c r="N180" s="62"/>
      <c r="O180" s="62"/>
      <c r="P180" s="62"/>
      <c r="Q180" s="62"/>
      <c r="R180" s="62"/>
      <c r="S180" s="62"/>
      <c r="T180" s="62"/>
      <c r="U180" s="62"/>
      <c r="V180" s="62"/>
      <c r="W180" s="62"/>
      <c r="X180" s="62"/>
      <c r="Y180" s="62"/>
      <c r="Z180" s="62"/>
      <c r="AA180" s="62"/>
      <c r="AB180" s="62"/>
      <c r="AC180" s="62"/>
      <c r="AD180" s="62"/>
      <c r="AE180" s="62"/>
      <c r="AF180" s="62"/>
      <c r="AG180" s="89"/>
      <c r="AH180" s="89"/>
      <c r="AI180" s="88"/>
      <c r="AJ180" s="57"/>
      <c r="AK180" s="57"/>
      <c r="AL180" s="57"/>
      <c r="AM180" s="57"/>
    </row>
    <row r="181" spans="1:39" s="56" customFormat="1" ht="15">
      <c r="A181" s="60"/>
      <c r="B181" s="98">
        <v>7</v>
      </c>
      <c r="C181" s="91" t="s">
        <v>573</v>
      </c>
      <c r="D181" s="91"/>
      <c r="E181" s="96"/>
      <c r="F181" s="69" t="s">
        <v>572</v>
      </c>
      <c r="G181" s="95">
        <v>7</v>
      </c>
      <c r="H181" s="91" t="s">
        <v>571</v>
      </c>
      <c r="I181" s="94" t="s">
        <v>570</v>
      </c>
      <c r="J181" s="68"/>
      <c r="K181" s="90"/>
      <c r="L181" s="62"/>
      <c r="M181" s="62"/>
      <c r="N181" s="62"/>
      <c r="O181" s="62"/>
      <c r="P181" s="62"/>
      <c r="Q181" s="62"/>
      <c r="R181" s="62"/>
      <c r="S181" s="62"/>
      <c r="T181" s="62"/>
      <c r="U181" s="62"/>
      <c r="V181" s="62"/>
      <c r="W181" s="62"/>
      <c r="X181" s="62"/>
      <c r="Y181" s="62"/>
      <c r="Z181" s="62"/>
      <c r="AA181" s="62"/>
      <c r="AB181" s="62"/>
      <c r="AC181" s="62"/>
      <c r="AD181" s="62"/>
      <c r="AE181" s="62"/>
      <c r="AF181" s="62"/>
      <c r="AG181" s="89"/>
      <c r="AH181" s="89"/>
      <c r="AI181" s="88"/>
      <c r="AJ181" s="57"/>
      <c r="AK181" s="57"/>
      <c r="AL181" s="57"/>
      <c r="AM181" s="57"/>
    </row>
    <row r="182" spans="1:39" s="56" customFormat="1">
      <c r="A182" s="60"/>
      <c r="B182" s="98">
        <v>8</v>
      </c>
      <c r="C182" s="99" t="s">
        <v>569</v>
      </c>
      <c r="D182" s="91"/>
      <c r="E182" s="96"/>
      <c r="F182" s="69"/>
      <c r="G182" s="95">
        <v>8</v>
      </c>
      <c r="H182" s="91" t="s">
        <v>510</v>
      </c>
      <c r="I182" s="94" t="s">
        <v>568</v>
      </c>
      <c r="J182" s="68"/>
      <c r="K182" s="90"/>
      <c r="L182" s="62"/>
      <c r="M182" s="62"/>
      <c r="N182" s="62"/>
      <c r="O182" s="62"/>
      <c r="P182" s="62"/>
      <c r="Q182" s="62"/>
      <c r="R182" s="62"/>
      <c r="S182" s="62"/>
      <c r="T182" s="62"/>
      <c r="U182" s="62"/>
      <c r="V182" s="62"/>
      <c r="W182" s="62"/>
      <c r="X182" s="62"/>
      <c r="Y182" s="62"/>
      <c r="Z182" s="62"/>
      <c r="AA182" s="62"/>
      <c r="AB182" s="62"/>
      <c r="AC182" s="62"/>
      <c r="AD182" s="62"/>
      <c r="AE182" s="62"/>
      <c r="AF182" s="62"/>
      <c r="AG182" s="89"/>
      <c r="AH182" s="89"/>
      <c r="AI182" s="88"/>
      <c r="AJ182" s="57"/>
      <c r="AK182" s="57"/>
      <c r="AL182" s="57"/>
      <c r="AM182" s="57"/>
    </row>
    <row r="183" spans="1:39" s="56" customFormat="1" ht="15">
      <c r="A183" s="60"/>
      <c r="B183" s="98">
        <v>9</v>
      </c>
      <c r="C183" s="91" t="s">
        <v>567</v>
      </c>
      <c r="D183" s="91"/>
      <c r="E183" s="96"/>
      <c r="F183" s="69"/>
      <c r="G183" s="95">
        <v>9</v>
      </c>
      <c r="H183" s="91" t="s">
        <v>511</v>
      </c>
      <c r="I183" s="94" t="s">
        <v>566</v>
      </c>
      <c r="J183" s="68"/>
      <c r="K183" s="90"/>
      <c r="L183" s="62"/>
      <c r="M183" s="62"/>
      <c r="N183" s="62"/>
      <c r="O183" s="62"/>
      <c r="P183" s="62"/>
      <c r="Q183" s="62"/>
      <c r="R183" s="62"/>
      <c r="S183" s="62"/>
      <c r="T183" s="62"/>
      <c r="U183" s="62"/>
      <c r="V183" s="62"/>
      <c r="W183" s="62"/>
      <c r="X183" s="62"/>
      <c r="Y183" s="62"/>
      <c r="Z183" s="62"/>
      <c r="AA183" s="62"/>
      <c r="AB183" s="62"/>
      <c r="AC183" s="62"/>
      <c r="AD183" s="62"/>
      <c r="AE183" s="62"/>
      <c r="AF183" s="62"/>
      <c r="AG183" s="89"/>
      <c r="AH183" s="89"/>
      <c r="AI183" s="88"/>
      <c r="AJ183" s="57"/>
      <c r="AK183" s="57"/>
      <c r="AL183" s="57"/>
      <c r="AM183" s="57"/>
    </row>
    <row r="184" spans="1:39" s="56" customFormat="1" ht="15">
      <c r="A184" s="60"/>
      <c r="B184" s="98">
        <v>10</v>
      </c>
      <c r="C184" s="91" t="s">
        <v>565</v>
      </c>
      <c r="D184" s="91"/>
      <c r="E184" s="96"/>
      <c r="F184" s="69"/>
      <c r="G184" s="95">
        <v>10</v>
      </c>
      <c r="H184" s="91" t="s">
        <v>505</v>
      </c>
      <c r="I184" s="94" t="s">
        <v>564</v>
      </c>
      <c r="J184" s="68"/>
      <c r="K184" s="90"/>
      <c r="L184" s="62"/>
      <c r="M184" s="62"/>
      <c r="N184" s="62"/>
      <c r="O184" s="62"/>
      <c r="P184" s="62"/>
      <c r="Q184" s="62"/>
      <c r="R184" s="62"/>
      <c r="S184" s="62"/>
      <c r="T184" s="62"/>
      <c r="U184" s="62"/>
      <c r="V184" s="62"/>
      <c r="W184" s="62"/>
      <c r="X184" s="62"/>
      <c r="Y184" s="62"/>
      <c r="Z184" s="62"/>
      <c r="AA184" s="62"/>
      <c r="AB184" s="62"/>
      <c r="AC184" s="62"/>
      <c r="AD184" s="62"/>
      <c r="AE184" s="62"/>
      <c r="AF184" s="62"/>
      <c r="AG184" s="89"/>
      <c r="AH184" s="89"/>
      <c r="AI184" s="88"/>
      <c r="AJ184" s="57"/>
      <c r="AK184" s="57"/>
      <c r="AL184" s="57"/>
      <c r="AM184" s="57"/>
    </row>
    <row r="185" spans="1:39" s="56" customFormat="1">
      <c r="A185" s="60"/>
      <c r="B185" s="98">
        <v>11</v>
      </c>
      <c r="C185" s="99" t="s">
        <v>563</v>
      </c>
      <c r="D185" s="91"/>
      <c r="E185" s="96"/>
      <c r="F185" s="69"/>
      <c r="G185" s="95">
        <v>11</v>
      </c>
      <c r="H185" s="91" t="s">
        <v>503</v>
      </c>
      <c r="I185" s="94" t="s">
        <v>562</v>
      </c>
      <c r="J185" s="68"/>
      <c r="K185" s="90"/>
      <c r="L185" s="62"/>
      <c r="M185" s="62"/>
      <c r="N185" s="62"/>
      <c r="O185" s="62"/>
      <c r="P185" s="62"/>
      <c r="Q185" s="62"/>
      <c r="R185" s="62"/>
      <c r="S185" s="62"/>
      <c r="T185" s="62"/>
      <c r="U185" s="62"/>
      <c r="V185" s="62"/>
      <c r="W185" s="62"/>
      <c r="X185" s="62"/>
      <c r="Y185" s="62"/>
      <c r="Z185" s="62"/>
      <c r="AA185" s="62"/>
      <c r="AB185" s="62"/>
      <c r="AC185" s="62"/>
      <c r="AD185" s="62"/>
      <c r="AE185" s="62"/>
      <c r="AF185" s="62"/>
      <c r="AG185" s="89"/>
      <c r="AH185" s="89"/>
      <c r="AI185" s="88"/>
      <c r="AJ185" s="57"/>
      <c r="AK185" s="57"/>
      <c r="AL185" s="57"/>
      <c r="AM185" s="57"/>
    </row>
    <row r="186" spans="1:39" s="56" customFormat="1" ht="15">
      <c r="A186" s="60"/>
      <c r="B186" s="98">
        <v>12</v>
      </c>
      <c r="C186" s="91" t="s">
        <v>561</v>
      </c>
      <c r="D186" s="91"/>
      <c r="E186" s="96"/>
      <c r="F186" s="69"/>
      <c r="G186" s="95">
        <v>12</v>
      </c>
      <c r="H186" s="91" t="s">
        <v>501</v>
      </c>
      <c r="I186" s="94" t="s">
        <v>560</v>
      </c>
      <c r="J186" s="68"/>
      <c r="K186" s="90"/>
      <c r="L186" s="62"/>
      <c r="M186" s="62"/>
      <c r="N186" s="62"/>
      <c r="O186" s="62"/>
      <c r="P186" s="62"/>
      <c r="Q186" s="62"/>
      <c r="R186" s="62"/>
      <c r="S186" s="62"/>
      <c r="T186" s="62"/>
      <c r="U186" s="62"/>
      <c r="V186" s="62"/>
      <c r="W186" s="62"/>
      <c r="X186" s="62"/>
      <c r="Y186" s="62"/>
      <c r="Z186" s="62"/>
      <c r="AA186" s="62"/>
      <c r="AB186" s="62"/>
      <c r="AC186" s="62"/>
      <c r="AD186" s="62"/>
      <c r="AE186" s="62"/>
      <c r="AF186" s="62"/>
      <c r="AG186" s="89"/>
      <c r="AH186" s="89"/>
      <c r="AI186" s="88"/>
      <c r="AJ186" s="57"/>
      <c r="AK186" s="57"/>
      <c r="AL186" s="57"/>
      <c r="AM186" s="57"/>
    </row>
    <row r="187" spans="1:39" s="56" customFormat="1" ht="15">
      <c r="A187" s="60"/>
      <c r="B187" s="98">
        <v>13</v>
      </c>
      <c r="C187" s="91" t="s">
        <v>559</v>
      </c>
      <c r="D187" s="91"/>
      <c r="E187" s="96"/>
      <c r="F187" s="69"/>
      <c r="G187" s="95">
        <v>13</v>
      </c>
      <c r="H187" s="91" t="s">
        <v>515</v>
      </c>
      <c r="I187" s="94" t="s">
        <v>558</v>
      </c>
      <c r="J187" s="68"/>
      <c r="K187" s="90"/>
      <c r="L187" s="62"/>
      <c r="M187" s="62"/>
      <c r="N187" s="62"/>
      <c r="O187" s="62"/>
      <c r="P187" s="62"/>
      <c r="Q187" s="62"/>
      <c r="R187" s="62"/>
      <c r="S187" s="62"/>
      <c r="T187" s="62"/>
      <c r="U187" s="62"/>
      <c r="V187" s="62"/>
      <c r="W187" s="62"/>
      <c r="X187" s="62"/>
      <c r="Y187" s="62"/>
      <c r="Z187" s="62"/>
      <c r="AA187" s="62"/>
      <c r="AB187" s="62"/>
      <c r="AC187" s="62"/>
      <c r="AD187" s="62"/>
      <c r="AE187" s="62"/>
      <c r="AF187" s="62"/>
      <c r="AG187" s="89"/>
      <c r="AH187" s="89"/>
      <c r="AI187" s="88"/>
      <c r="AJ187" s="57"/>
      <c r="AK187" s="57"/>
      <c r="AL187" s="57"/>
      <c r="AM187" s="57"/>
    </row>
    <row r="188" spans="1:39" s="56" customFormat="1" ht="15">
      <c r="A188" s="60"/>
      <c r="B188" s="98">
        <v>14</v>
      </c>
      <c r="C188" s="91" t="s">
        <v>557</v>
      </c>
      <c r="D188" s="91"/>
      <c r="E188" s="96"/>
      <c r="F188" s="69"/>
      <c r="G188" s="95">
        <v>14</v>
      </c>
      <c r="H188" s="91" t="s">
        <v>516</v>
      </c>
      <c r="I188" s="94" t="s">
        <v>556</v>
      </c>
      <c r="J188" s="68"/>
      <c r="K188" s="90"/>
      <c r="L188" s="62"/>
      <c r="M188" s="62"/>
      <c r="N188" s="62"/>
      <c r="O188" s="62"/>
      <c r="P188" s="62"/>
      <c r="Q188" s="62"/>
      <c r="R188" s="62"/>
      <c r="S188" s="62"/>
      <c r="T188" s="62"/>
      <c r="U188" s="62"/>
      <c r="V188" s="62"/>
      <c r="W188" s="62"/>
      <c r="X188" s="62"/>
      <c r="Y188" s="62"/>
      <c r="Z188" s="62"/>
      <c r="AA188" s="62"/>
      <c r="AB188" s="62"/>
      <c r="AC188" s="62"/>
      <c r="AD188" s="62"/>
      <c r="AE188" s="62"/>
      <c r="AF188" s="62"/>
      <c r="AG188" s="89"/>
      <c r="AH188" s="89"/>
      <c r="AI188" s="88"/>
      <c r="AJ188" s="57"/>
      <c r="AK188" s="57"/>
      <c r="AL188" s="57"/>
      <c r="AM188" s="57"/>
    </row>
    <row r="189" spans="1:39" s="56" customFormat="1">
      <c r="A189" s="60"/>
      <c r="B189" s="98">
        <v>15</v>
      </c>
      <c r="C189" s="99" t="s">
        <v>555</v>
      </c>
      <c r="D189" s="91"/>
      <c r="E189" s="96"/>
      <c r="F189" s="69"/>
      <c r="G189" s="95">
        <v>15</v>
      </c>
      <c r="H189" s="91" t="s">
        <v>508</v>
      </c>
      <c r="I189" s="94" t="s">
        <v>554</v>
      </c>
      <c r="J189" s="68"/>
      <c r="K189" s="90"/>
      <c r="L189" s="62"/>
      <c r="M189" s="62"/>
      <c r="N189" s="62"/>
      <c r="O189" s="62"/>
      <c r="P189" s="62"/>
      <c r="Q189" s="62"/>
      <c r="R189" s="62"/>
      <c r="S189" s="62"/>
      <c r="T189" s="62"/>
      <c r="U189" s="62"/>
      <c r="V189" s="62"/>
      <c r="W189" s="62"/>
      <c r="X189" s="62"/>
      <c r="Y189" s="62"/>
      <c r="Z189" s="62"/>
      <c r="AA189" s="62"/>
      <c r="AB189" s="62"/>
      <c r="AC189" s="62"/>
      <c r="AD189" s="62"/>
      <c r="AE189" s="62"/>
      <c r="AF189" s="62"/>
      <c r="AG189" s="89"/>
      <c r="AH189" s="89"/>
      <c r="AI189" s="88"/>
      <c r="AJ189" s="57"/>
      <c r="AK189" s="57"/>
      <c r="AL189" s="57"/>
      <c r="AM189" s="57"/>
    </row>
    <row r="190" spans="1:39" s="56" customFormat="1" ht="15">
      <c r="A190" s="60"/>
      <c r="B190" s="98">
        <v>16</v>
      </c>
      <c r="C190" s="91" t="s">
        <v>553</v>
      </c>
      <c r="D190" s="91"/>
      <c r="E190" s="96"/>
      <c r="F190" s="69"/>
      <c r="G190" s="95">
        <v>16</v>
      </c>
      <c r="H190" s="91" t="s">
        <v>499</v>
      </c>
      <c r="I190" s="94" t="s">
        <v>552</v>
      </c>
      <c r="J190" s="68"/>
      <c r="K190" s="90"/>
      <c r="L190" s="62"/>
      <c r="M190" s="62"/>
      <c r="N190" s="62"/>
      <c r="O190" s="62"/>
      <c r="P190" s="62"/>
      <c r="Q190" s="62"/>
      <c r="R190" s="62"/>
      <c r="S190" s="62"/>
      <c r="T190" s="62"/>
      <c r="U190" s="62"/>
      <c r="V190" s="62"/>
      <c r="W190" s="62"/>
      <c r="X190" s="62"/>
      <c r="Y190" s="62"/>
      <c r="Z190" s="62"/>
      <c r="AA190" s="62"/>
      <c r="AB190" s="62"/>
      <c r="AC190" s="62"/>
      <c r="AD190" s="62"/>
      <c r="AE190" s="62"/>
      <c r="AF190" s="62"/>
      <c r="AG190" s="89"/>
      <c r="AH190" s="89"/>
      <c r="AI190" s="88"/>
      <c r="AJ190" s="57"/>
      <c r="AK190" s="57"/>
      <c r="AL190" s="57"/>
      <c r="AM190" s="57"/>
    </row>
    <row r="191" spans="1:39" s="56" customFormat="1" ht="15">
      <c r="A191" s="60"/>
      <c r="B191" s="98">
        <v>17</v>
      </c>
      <c r="C191" s="91" t="s">
        <v>551</v>
      </c>
      <c r="D191" s="91"/>
      <c r="E191" s="96"/>
      <c r="F191" s="69"/>
      <c r="G191" s="95">
        <v>17</v>
      </c>
      <c r="H191" s="91" t="s">
        <v>506</v>
      </c>
      <c r="I191" s="94" t="s">
        <v>550</v>
      </c>
      <c r="J191" s="68"/>
      <c r="K191" s="90"/>
      <c r="L191" s="62"/>
      <c r="M191" s="62"/>
      <c r="N191" s="62"/>
      <c r="O191" s="62"/>
      <c r="P191" s="62"/>
      <c r="Q191" s="62"/>
      <c r="R191" s="62"/>
      <c r="S191" s="62"/>
      <c r="T191" s="62"/>
      <c r="U191" s="62"/>
      <c r="V191" s="62"/>
      <c r="W191" s="62"/>
      <c r="X191" s="62"/>
      <c r="Y191" s="62"/>
      <c r="Z191" s="62"/>
      <c r="AA191" s="62"/>
      <c r="AB191" s="62"/>
      <c r="AC191" s="62"/>
      <c r="AD191" s="62"/>
      <c r="AE191" s="62"/>
      <c r="AF191" s="62"/>
      <c r="AG191" s="89"/>
      <c r="AH191" s="89"/>
      <c r="AI191" s="88"/>
      <c r="AJ191" s="57"/>
      <c r="AK191" s="57"/>
      <c r="AL191" s="57"/>
      <c r="AM191" s="57"/>
    </row>
    <row r="192" spans="1:39" s="56" customFormat="1" ht="15">
      <c r="A192" s="60"/>
      <c r="B192" s="98">
        <v>18</v>
      </c>
      <c r="C192" s="91" t="s">
        <v>549</v>
      </c>
      <c r="D192" s="91"/>
      <c r="E192" s="96"/>
      <c r="F192" s="69"/>
      <c r="G192" s="95">
        <v>18</v>
      </c>
      <c r="H192" s="91" t="s">
        <v>513</v>
      </c>
      <c r="I192" s="94" t="s">
        <v>548</v>
      </c>
      <c r="J192" s="68"/>
      <c r="K192" s="90"/>
      <c r="L192" s="62"/>
      <c r="M192" s="62"/>
      <c r="N192" s="62"/>
      <c r="O192" s="62"/>
      <c r="P192" s="62"/>
      <c r="Q192" s="62"/>
      <c r="R192" s="62"/>
      <c r="S192" s="62"/>
      <c r="T192" s="62"/>
      <c r="U192" s="62"/>
      <c r="V192" s="62"/>
      <c r="W192" s="62"/>
      <c r="X192" s="62"/>
      <c r="Y192" s="62"/>
      <c r="Z192" s="62"/>
      <c r="AA192" s="62"/>
      <c r="AB192" s="62"/>
      <c r="AC192" s="62"/>
      <c r="AD192" s="62"/>
      <c r="AE192" s="62"/>
      <c r="AF192" s="62"/>
      <c r="AG192" s="89"/>
      <c r="AH192" s="89"/>
      <c r="AI192" s="88"/>
      <c r="AJ192" s="57"/>
      <c r="AK192" s="57"/>
      <c r="AL192" s="57"/>
      <c r="AM192" s="57"/>
    </row>
    <row r="193" spans="1:39" s="56" customFormat="1">
      <c r="A193" s="60"/>
      <c r="B193" s="100"/>
      <c r="C193" s="99"/>
      <c r="D193" s="91"/>
      <c r="E193" s="96"/>
      <c r="F193" s="69"/>
      <c r="G193" s="95">
        <v>19</v>
      </c>
      <c r="H193" s="91" t="s">
        <v>547</v>
      </c>
      <c r="I193" s="94" t="s">
        <v>546</v>
      </c>
      <c r="J193" s="68"/>
      <c r="K193" s="90"/>
      <c r="L193" s="62"/>
      <c r="M193" s="62"/>
      <c r="N193" s="62"/>
      <c r="O193" s="62"/>
      <c r="P193" s="62"/>
      <c r="Q193" s="62"/>
      <c r="R193" s="62"/>
      <c r="S193" s="62"/>
      <c r="T193" s="62"/>
      <c r="U193" s="62"/>
      <c r="V193" s="62"/>
      <c r="W193" s="62"/>
      <c r="X193" s="62"/>
      <c r="Y193" s="62"/>
      <c r="Z193" s="62"/>
      <c r="AA193" s="62"/>
      <c r="AB193" s="62"/>
      <c r="AC193" s="62"/>
      <c r="AD193" s="62"/>
      <c r="AE193" s="62"/>
      <c r="AF193" s="62"/>
      <c r="AG193" s="89"/>
      <c r="AH193" s="89"/>
      <c r="AI193" s="88"/>
      <c r="AJ193" s="57"/>
      <c r="AK193" s="57"/>
      <c r="AL193" s="57"/>
      <c r="AM193" s="57"/>
    </row>
    <row r="194" spans="1:39" s="56" customFormat="1" ht="15">
      <c r="A194" s="60"/>
      <c r="B194" s="98"/>
      <c r="C194" s="97"/>
      <c r="D194" s="91"/>
      <c r="E194" s="96"/>
      <c r="F194" s="69"/>
      <c r="G194" s="95">
        <v>20</v>
      </c>
      <c r="H194" s="91" t="s">
        <v>514</v>
      </c>
      <c r="I194" s="94" t="s">
        <v>545</v>
      </c>
      <c r="J194" s="68"/>
      <c r="K194" s="90"/>
      <c r="L194" s="62"/>
      <c r="M194" s="62"/>
      <c r="N194" s="62"/>
      <c r="O194" s="62"/>
      <c r="P194" s="62"/>
      <c r="Q194" s="62"/>
      <c r="R194" s="62"/>
      <c r="S194" s="62"/>
      <c r="T194" s="62"/>
      <c r="U194" s="62"/>
      <c r="V194" s="62"/>
      <c r="W194" s="62"/>
      <c r="X194" s="62"/>
      <c r="Y194" s="62"/>
      <c r="Z194" s="62"/>
      <c r="AA194" s="62"/>
      <c r="AB194" s="62"/>
      <c r="AC194" s="62"/>
      <c r="AD194" s="62"/>
      <c r="AE194" s="62"/>
      <c r="AF194" s="62"/>
      <c r="AG194" s="89"/>
      <c r="AH194" s="89"/>
      <c r="AI194" s="88"/>
      <c r="AJ194" s="57"/>
      <c r="AK194" s="57"/>
      <c r="AL194" s="57"/>
      <c r="AM194" s="57"/>
    </row>
    <row r="195" spans="1:39" s="56" customFormat="1" thickBot="1">
      <c r="A195" s="60"/>
      <c r="B195" s="93"/>
      <c r="C195" s="68"/>
      <c r="D195" s="91"/>
      <c r="E195" s="69"/>
      <c r="F195" s="69"/>
      <c r="G195" s="69"/>
      <c r="H195" s="69"/>
      <c r="I195" s="68"/>
      <c r="J195" s="68"/>
      <c r="K195" s="90"/>
      <c r="L195" s="62"/>
      <c r="M195" s="62"/>
      <c r="N195" s="62"/>
      <c r="O195" s="62"/>
      <c r="P195" s="62"/>
      <c r="Q195" s="62"/>
      <c r="R195" s="62"/>
      <c r="S195" s="62"/>
      <c r="T195" s="62"/>
      <c r="U195" s="62"/>
      <c r="V195" s="62"/>
      <c r="W195" s="62"/>
      <c r="X195" s="62"/>
      <c r="Y195" s="62"/>
      <c r="Z195" s="62"/>
      <c r="AA195" s="62"/>
      <c r="AB195" s="62"/>
      <c r="AC195" s="62"/>
      <c r="AD195" s="62"/>
      <c r="AE195" s="62"/>
      <c r="AF195" s="62"/>
      <c r="AG195" s="89"/>
      <c r="AH195" s="89"/>
      <c r="AI195" s="88"/>
      <c r="AJ195" s="57"/>
      <c r="AK195" s="57"/>
      <c r="AL195" s="57"/>
      <c r="AM195" s="57"/>
    </row>
    <row r="196" spans="1:39" s="56" customFormat="1" ht="31.5">
      <c r="A196" s="60"/>
      <c r="B196" s="73"/>
      <c r="C196" s="80" t="s">
        <v>544</v>
      </c>
      <c r="D196" s="91"/>
      <c r="E196" s="92" t="s">
        <v>543</v>
      </c>
      <c r="F196" s="69"/>
      <c r="G196" s="69"/>
      <c r="H196" s="69"/>
      <c r="I196" s="68"/>
      <c r="J196" s="68"/>
      <c r="K196" s="90"/>
      <c r="L196" s="62"/>
      <c r="M196" s="62"/>
      <c r="N196" s="62"/>
      <c r="O196" s="62"/>
      <c r="P196" s="62"/>
      <c r="Q196" s="62"/>
      <c r="R196" s="62"/>
      <c r="S196" s="62"/>
      <c r="T196" s="62"/>
      <c r="U196" s="62"/>
      <c r="V196" s="62"/>
      <c r="W196" s="62"/>
      <c r="X196" s="62"/>
      <c r="Y196" s="62"/>
      <c r="Z196" s="62"/>
      <c r="AA196" s="62"/>
      <c r="AB196" s="62"/>
      <c r="AC196" s="62"/>
      <c r="AD196" s="62"/>
      <c r="AE196" s="62"/>
      <c r="AF196" s="62"/>
      <c r="AG196" s="89"/>
      <c r="AH196" s="89"/>
      <c r="AI196" s="88"/>
      <c r="AJ196" s="57"/>
      <c r="AK196" s="57"/>
      <c r="AL196" s="57"/>
      <c r="AM196" s="57"/>
    </row>
    <row r="197" spans="1:39" s="56" customFormat="1">
      <c r="A197" s="60"/>
      <c r="B197" s="73"/>
      <c r="C197" s="85" t="s">
        <v>542</v>
      </c>
      <c r="D197" s="91"/>
      <c r="E197" s="83">
        <v>2010</v>
      </c>
      <c r="F197" s="69"/>
      <c r="G197" s="69"/>
      <c r="H197" s="69"/>
      <c r="I197" s="68"/>
      <c r="J197" s="68"/>
      <c r="K197" s="90"/>
      <c r="L197" s="62"/>
      <c r="M197" s="62"/>
      <c r="N197" s="62"/>
      <c r="O197" s="62"/>
      <c r="P197" s="62"/>
      <c r="Q197" s="62"/>
      <c r="R197" s="62"/>
      <c r="S197" s="62"/>
      <c r="T197" s="62"/>
      <c r="U197" s="62"/>
      <c r="V197" s="62"/>
      <c r="W197" s="62"/>
      <c r="X197" s="62"/>
      <c r="Y197" s="62"/>
      <c r="Z197" s="62"/>
      <c r="AA197" s="62"/>
      <c r="AB197" s="62"/>
      <c r="AC197" s="62"/>
      <c r="AD197" s="62"/>
      <c r="AE197" s="62"/>
      <c r="AF197" s="62"/>
      <c r="AG197" s="89"/>
      <c r="AH197" s="89"/>
      <c r="AI197" s="88"/>
      <c r="AJ197" s="57"/>
      <c r="AK197" s="57"/>
      <c r="AL197" s="57"/>
      <c r="AM197" s="57"/>
    </row>
    <row r="198" spans="1:39" s="56" customFormat="1">
      <c r="A198" s="60"/>
      <c r="B198" s="73"/>
      <c r="C198" s="85" t="s">
        <v>541</v>
      </c>
      <c r="D198" s="71"/>
      <c r="E198" s="83">
        <v>2011</v>
      </c>
      <c r="F198" s="69"/>
      <c r="G198" s="69"/>
      <c r="H198" s="69"/>
      <c r="I198" s="68"/>
      <c r="J198" s="68"/>
      <c r="K198" s="61"/>
      <c r="L198" s="60"/>
      <c r="M198" s="60"/>
      <c r="N198" s="60"/>
      <c r="O198" s="60"/>
      <c r="P198" s="60"/>
      <c r="Q198" s="60"/>
      <c r="R198" s="60"/>
      <c r="S198" s="60"/>
      <c r="T198" s="60"/>
      <c r="U198" s="60"/>
      <c r="V198" s="60"/>
      <c r="W198" s="60"/>
      <c r="X198" s="60"/>
      <c r="Y198" s="60"/>
      <c r="Z198" s="60"/>
      <c r="AA198" s="60"/>
      <c r="AB198" s="60"/>
      <c r="AC198" s="60"/>
      <c r="AD198" s="60"/>
      <c r="AE198" s="60"/>
      <c r="AF198" s="60"/>
      <c r="AG198" s="59"/>
      <c r="AH198" s="59"/>
      <c r="AI198" s="58"/>
      <c r="AJ198" s="57"/>
      <c r="AK198" s="57"/>
      <c r="AL198" s="57"/>
      <c r="AM198" s="57"/>
    </row>
    <row r="199" spans="1:39" s="56" customFormat="1">
      <c r="A199" s="60"/>
      <c r="B199" s="73"/>
      <c r="C199" s="85" t="s">
        <v>540</v>
      </c>
      <c r="D199" s="71"/>
      <c r="E199" s="83">
        <v>2012</v>
      </c>
      <c r="F199" s="69"/>
      <c r="G199" s="69"/>
      <c r="H199" s="69"/>
      <c r="I199" s="68"/>
      <c r="J199" s="68"/>
      <c r="K199" s="61"/>
      <c r="L199" s="60"/>
      <c r="M199" s="60"/>
      <c r="N199" s="60"/>
      <c r="O199" s="60"/>
      <c r="P199" s="60"/>
      <c r="Q199" s="60"/>
      <c r="R199" s="60"/>
      <c r="S199" s="60"/>
      <c r="T199" s="60"/>
      <c r="U199" s="60"/>
      <c r="V199" s="60"/>
      <c r="W199" s="60"/>
      <c r="X199" s="60"/>
      <c r="Y199" s="60"/>
      <c r="Z199" s="60"/>
      <c r="AA199" s="60"/>
      <c r="AB199" s="60"/>
      <c r="AC199" s="60"/>
      <c r="AD199" s="60"/>
      <c r="AE199" s="60"/>
      <c r="AF199" s="60"/>
      <c r="AG199" s="59"/>
      <c r="AH199" s="59"/>
      <c r="AI199" s="58"/>
      <c r="AJ199" s="57"/>
      <c r="AK199" s="57"/>
      <c r="AL199" s="57"/>
      <c r="AM199" s="57"/>
    </row>
    <row r="200" spans="1:39" s="56" customFormat="1" ht="15">
      <c r="A200" s="60"/>
      <c r="B200" s="73"/>
      <c r="C200" s="72"/>
      <c r="D200" s="71"/>
      <c r="E200" s="83">
        <v>2013</v>
      </c>
      <c r="F200" s="69"/>
      <c r="G200" s="69"/>
      <c r="H200" s="69"/>
      <c r="I200" s="68"/>
      <c r="J200" s="68"/>
      <c r="K200" s="61"/>
      <c r="L200" s="60"/>
      <c r="M200" s="60"/>
      <c r="N200" s="60"/>
      <c r="O200" s="60"/>
      <c r="P200" s="60"/>
      <c r="Q200" s="60"/>
      <c r="R200" s="60"/>
      <c r="S200" s="60"/>
      <c r="T200" s="60"/>
      <c r="U200" s="60"/>
      <c r="V200" s="60"/>
      <c r="W200" s="60"/>
      <c r="X200" s="60"/>
      <c r="Y200" s="60"/>
      <c r="Z200" s="60"/>
      <c r="AA200" s="60"/>
      <c r="AB200" s="60"/>
      <c r="AC200" s="60"/>
      <c r="AD200" s="60"/>
      <c r="AE200" s="60"/>
      <c r="AF200" s="60"/>
      <c r="AG200" s="59"/>
      <c r="AH200" s="59"/>
      <c r="AI200" s="58"/>
      <c r="AJ200" s="57"/>
      <c r="AK200" s="57"/>
      <c r="AL200" s="57"/>
      <c r="AM200" s="57"/>
    </row>
    <row r="201" spans="1:39" s="56" customFormat="1">
      <c r="A201" s="60"/>
      <c r="B201" s="73"/>
      <c r="C201" s="80" t="s">
        <v>539</v>
      </c>
      <c r="D201" s="81"/>
      <c r="E201" s="83">
        <v>2014</v>
      </c>
      <c r="F201" s="69"/>
      <c r="G201" s="69"/>
      <c r="H201" s="77"/>
      <c r="I201" s="68"/>
      <c r="J201" s="68"/>
      <c r="K201" s="61"/>
      <c r="L201" s="60"/>
      <c r="M201" s="60"/>
      <c r="N201" s="60"/>
      <c r="O201" s="60"/>
      <c r="P201" s="60"/>
      <c r="Q201" s="60"/>
      <c r="R201" s="60"/>
      <c r="S201" s="60"/>
      <c r="T201" s="60"/>
      <c r="U201" s="60"/>
      <c r="V201" s="60"/>
      <c r="W201" s="60"/>
      <c r="X201" s="60"/>
      <c r="Y201" s="60"/>
      <c r="Z201" s="60"/>
      <c r="AA201" s="60"/>
      <c r="AB201" s="60"/>
      <c r="AC201" s="60"/>
      <c r="AD201" s="60"/>
      <c r="AE201" s="60"/>
      <c r="AF201" s="60"/>
      <c r="AG201" s="59"/>
      <c r="AH201" s="59"/>
      <c r="AI201" s="58"/>
      <c r="AJ201" s="57"/>
      <c r="AK201" s="57"/>
      <c r="AL201" s="57"/>
      <c r="AM201" s="57"/>
    </row>
    <row r="202" spans="1:39" s="56" customFormat="1">
      <c r="A202" s="60"/>
      <c r="B202" s="73"/>
      <c r="C202" s="85" t="s">
        <v>538</v>
      </c>
      <c r="D202" s="87"/>
      <c r="E202" s="83">
        <v>2015</v>
      </c>
      <c r="F202" s="69"/>
      <c r="G202" s="69"/>
      <c r="H202" s="86"/>
      <c r="I202" s="68"/>
      <c r="J202" s="68"/>
      <c r="K202" s="61"/>
      <c r="L202" s="60"/>
      <c r="M202" s="60"/>
      <c r="N202" s="60"/>
      <c r="O202" s="60"/>
      <c r="P202" s="60"/>
      <c r="Q202" s="60"/>
      <c r="R202" s="60"/>
      <c r="S202" s="60"/>
      <c r="T202" s="60"/>
      <c r="U202" s="60"/>
      <c r="V202" s="60"/>
      <c r="W202" s="60"/>
      <c r="X202" s="60"/>
      <c r="Y202" s="60"/>
      <c r="Z202" s="60"/>
      <c r="AA202" s="60"/>
      <c r="AB202" s="60"/>
      <c r="AC202" s="60"/>
      <c r="AD202" s="60"/>
      <c r="AE202" s="60"/>
      <c r="AF202" s="60"/>
      <c r="AG202" s="59"/>
      <c r="AH202" s="59"/>
      <c r="AI202" s="58"/>
      <c r="AJ202" s="57"/>
      <c r="AK202" s="57"/>
      <c r="AL202" s="57"/>
      <c r="AM202" s="57"/>
    </row>
    <row r="203" spans="1:39" s="56" customFormat="1">
      <c r="A203" s="60"/>
      <c r="B203" s="73"/>
      <c r="C203" s="85" t="s">
        <v>537</v>
      </c>
      <c r="D203" s="81"/>
      <c r="E203" s="83">
        <v>2016</v>
      </c>
      <c r="F203" s="69"/>
      <c r="G203" s="69"/>
      <c r="H203" s="77"/>
      <c r="I203" s="68"/>
      <c r="J203" s="68"/>
      <c r="K203" s="61"/>
      <c r="L203" s="60"/>
      <c r="M203" s="60"/>
      <c r="N203" s="60"/>
      <c r="O203" s="60"/>
      <c r="P203" s="60"/>
      <c r="Q203" s="60"/>
      <c r="R203" s="60"/>
      <c r="S203" s="60"/>
      <c r="T203" s="60"/>
      <c r="U203" s="60"/>
      <c r="V203" s="60"/>
      <c r="W203" s="60"/>
      <c r="X203" s="60"/>
      <c r="Y203" s="60"/>
      <c r="Z203" s="60"/>
      <c r="AA203" s="60"/>
      <c r="AB203" s="60"/>
      <c r="AC203" s="60"/>
      <c r="AD203" s="60"/>
      <c r="AE203" s="60"/>
      <c r="AF203" s="60"/>
      <c r="AG203" s="59"/>
      <c r="AH203" s="59"/>
      <c r="AI203" s="58"/>
      <c r="AJ203" s="57"/>
      <c r="AK203" s="57"/>
      <c r="AL203" s="57"/>
      <c r="AM203" s="57"/>
    </row>
    <row r="204" spans="1:39" s="56" customFormat="1">
      <c r="A204" s="60"/>
      <c r="B204" s="73"/>
      <c r="C204" s="85" t="s">
        <v>536</v>
      </c>
      <c r="D204" s="81"/>
      <c r="E204" s="83">
        <v>2017</v>
      </c>
      <c r="F204" s="69"/>
      <c r="G204" s="69"/>
      <c r="H204" s="77"/>
      <c r="I204" s="68"/>
      <c r="J204" s="68"/>
      <c r="K204" s="61"/>
      <c r="L204" s="60"/>
      <c r="M204" s="60"/>
      <c r="N204" s="60"/>
      <c r="O204" s="60"/>
      <c r="P204" s="60"/>
      <c r="Q204" s="60"/>
      <c r="R204" s="60"/>
      <c r="S204" s="60"/>
      <c r="T204" s="60"/>
      <c r="U204" s="60"/>
      <c r="V204" s="60"/>
      <c r="W204" s="60"/>
      <c r="X204" s="60"/>
      <c r="Y204" s="60"/>
      <c r="Z204" s="60"/>
      <c r="AA204" s="60"/>
      <c r="AB204" s="60"/>
      <c r="AC204" s="60"/>
      <c r="AD204" s="60"/>
      <c r="AE204" s="60"/>
      <c r="AF204" s="60"/>
      <c r="AG204" s="59"/>
      <c r="AH204" s="59"/>
      <c r="AI204" s="58"/>
      <c r="AJ204" s="57"/>
      <c r="AK204" s="57"/>
      <c r="AL204" s="57"/>
      <c r="AM204" s="57"/>
    </row>
    <row r="205" spans="1:39" s="56" customFormat="1">
      <c r="A205" s="60"/>
      <c r="B205" s="73"/>
      <c r="C205" s="85" t="s">
        <v>535</v>
      </c>
      <c r="D205" s="81"/>
      <c r="E205" s="83">
        <v>2018</v>
      </c>
      <c r="F205" s="69"/>
      <c r="G205" s="69"/>
      <c r="H205" s="77"/>
      <c r="I205" s="68"/>
      <c r="J205" s="68"/>
      <c r="K205" s="61"/>
      <c r="L205" s="60"/>
      <c r="M205" s="60"/>
      <c r="N205" s="60"/>
      <c r="O205" s="60"/>
      <c r="P205" s="60"/>
      <c r="Q205" s="60"/>
      <c r="R205" s="60"/>
      <c r="S205" s="60"/>
      <c r="T205" s="60"/>
      <c r="U205" s="60"/>
      <c r="V205" s="60"/>
      <c r="W205" s="60"/>
      <c r="X205" s="60"/>
      <c r="Y205" s="60"/>
      <c r="Z205" s="60"/>
      <c r="AA205" s="60"/>
      <c r="AB205" s="60"/>
      <c r="AC205" s="60"/>
      <c r="AD205" s="60"/>
      <c r="AE205" s="60"/>
      <c r="AF205" s="60"/>
      <c r="AG205" s="59"/>
      <c r="AH205" s="59"/>
      <c r="AI205" s="58"/>
      <c r="AJ205" s="57"/>
      <c r="AK205" s="57"/>
      <c r="AL205" s="57"/>
      <c r="AM205" s="57"/>
    </row>
    <row r="206" spans="1:39" s="56" customFormat="1">
      <c r="A206" s="60"/>
      <c r="B206" s="73"/>
      <c r="C206" s="85" t="s">
        <v>534</v>
      </c>
      <c r="D206" s="81"/>
      <c r="E206" s="83">
        <v>2019</v>
      </c>
      <c r="F206" s="69"/>
      <c r="G206" s="69"/>
      <c r="H206" s="77"/>
      <c r="I206" s="68"/>
      <c r="J206" s="68"/>
      <c r="K206" s="61"/>
      <c r="L206" s="60"/>
      <c r="M206" s="60"/>
      <c r="N206" s="60"/>
      <c r="O206" s="60"/>
      <c r="P206" s="60"/>
      <c r="Q206" s="60"/>
      <c r="R206" s="60"/>
      <c r="S206" s="60"/>
      <c r="T206" s="60"/>
      <c r="U206" s="60"/>
      <c r="V206" s="60"/>
      <c r="W206" s="60"/>
      <c r="X206" s="60"/>
      <c r="Y206" s="60"/>
      <c r="Z206" s="60"/>
      <c r="AA206" s="60"/>
      <c r="AB206" s="60"/>
      <c r="AC206" s="60"/>
      <c r="AD206" s="60"/>
      <c r="AE206" s="60"/>
      <c r="AF206" s="60"/>
      <c r="AG206" s="59"/>
      <c r="AH206" s="59"/>
      <c r="AI206" s="58"/>
      <c r="AJ206" s="57"/>
      <c r="AK206" s="57"/>
      <c r="AL206" s="57"/>
      <c r="AM206" s="57"/>
    </row>
    <row r="207" spans="1:39" s="56" customFormat="1" ht="15">
      <c r="A207" s="60"/>
      <c r="B207" s="73"/>
      <c r="C207" s="84"/>
      <c r="D207" s="81"/>
      <c r="E207" s="83">
        <v>2020</v>
      </c>
      <c r="F207" s="69"/>
      <c r="G207" s="69"/>
      <c r="H207" s="77"/>
      <c r="I207" s="68"/>
      <c r="J207" s="68"/>
      <c r="K207" s="61"/>
      <c r="L207" s="60"/>
      <c r="M207" s="60"/>
      <c r="N207" s="60"/>
      <c r="O207" s="60"/>
      <c r="P207" s="60"/>
      <c r="Q207" s="60"/>
      <c r="R207" s="60"/>
      <c r="S207" s="60"/>
      <c r="T207" s="60"/>
      <c r="U207" s="60"/>
      <c r="V207" s="60"/>
      <c r="W207" s="60"/>
      <c r="X207" s="60"/>
      <c r="Y207" s="60"/>
      <c r="Z207" s="60"/>
      <c r="AA207" s="60"/>
      <c r="AB207" s="60"/>
      <c r="AC207" s="60"/>
      <c r="AD207" s="60"/>
      <c r="AE207" s="60"/>
      <c r="AF207" s="60"/>
      <c r="AG207" s="59"/>
      <c r="AH207" s="59"/>
      <c r="AI207" s="58"/>
      <c r="AJ207" s="57"/>
      <c r="AK207" s="57"/>
      <c r="AL207" s="57"/>
      <c r="AM207" s="57"/>
    </row>
    <row r="208" spans="1:39" s="56" customFormat="1">
      <c r="A208" s="60"/>
      <c r="B208" s="73"/>
      <c r="C208" s="80" t="s">
        <v>533</v>
      </c>
      <c r="D208" s="81"/>
      <c r="E208" s="72"/>
      <c r="F208" s="69"/>
      <c r="G208" s="69"/>
      <c r="H208" s="77"/>
      <c r="I208" s="68"/>
      <c r="J208" s="68"/>
      <c r="K208" s="61"/>
      <c r="L208" s="60"/>
      <c r="M208" s="60"/>
      <c r="N208" s="60"/>
      <c r="O208" s="60"/>
      <c r="P208" s="60"/>
      <c r="Q208" s="60"/>
      <c r="R208" s="60"/>
      <c r="S208" s="60"/>
      <c r="T208" s="60"/>
      <c r="U208" s="60"/>
      <c r="V208" s="60"/>
      <c r="W208" s="60"/>
      <c r="X208" s="60"/>
      <c r="Y208" s="60"/>
      <c r="Z208" s="60"/>
      <c r="AA208" s="60"/>
      <c r="AB208" s="60"/>
      <c r="AC208" s="60"/>
      <c r="AD208" s="60"/>
      <c r="AE208" s="60"/>
      <c r="AF208" s="60"/>
      <c r="AG208" s="59"/>
      <c r="AH208" s="59"/>
      <c r="AI208" s="58"/>
      <c r="AJ208" s="57"/>
      <c r="AK208" s="57"/>
      <c r="AL208" s="57"/>
      <c r="AM208" s="57"/>
    </row>
    <row r="209" spans="1:39" s="56" customFormat="1" ht="15">
      <c r="A209" s="60"/>
      <c r="B209" s="73"/>
      <c r="C209" s="82" t="s">
        <v>532</v>
      </c>
      <c r="D209" s="81"/>
      <c r="E209" s="77"/>
      <c r="F209" s="69"/>
      <c r="G209" s="69"/>
      <c r="H209" s="77"/>
      <c r="I209" s="68"/>
      <c r="J209" s="68"/>
      <c r="K209" s="61"/>
      <c r="L209" s="60"/>
      <c r="M209" s="60"/>
      <c r="N209" s="60"/>
      <c r="O209" s="60"/>
      <c r="P209" s="60"/>
      <c r="Q209" s="60"/>
      <c r="R209" s="60"/>
      <c r="S209" s="60"/>
      <c r="T209" s="60"/>
      <c r="U209" s="60"/>
      <c r="V209" s="60"/>
      <c r="W209" s="60"/>
      <c r="X209" s="60"/>
      <c r="Y209" s="60"/>
      <c r="Z209" s="60"/>
      <c r="AA209" s="60"/>
      <c r="AB209" s="60"/>
      <c r="AC209" s="60"/>
      <c r="AD209" s="60"/>
      <c r="AE209" s="60"/>
      <c r="AF209" s="60"/>
      <c r="AG209" s="59"/>
      <c r="AH209" s="59"/>
      <c r="AI209" s="58"/>
      <c r="AJ209" s="57"/>
      <c r="AK209" s="57"/>
      <c r="AL209" s="57"/>
      <c r="AM209" s="57"/>
    </row>
    <row r="210" spans="1:39" s="56" customFormat="1" ht="15">
      <c r="A210" s="60"/>
      <c r="B210" s="73"/>
      <c r="C210" s="82" t="s">
        <v>531</v>
      </c>
      <c r="D210" s="81"/>
      <c r="E210" s="77"/>
      <c r="F210" s="69"/>
      <c r="G210" s="69"/>
      <c r="H210" s="77"/>
      <c r="I210" s="68"/>
      <c r="J210" s="68"/>
      <c r="K210" s="61"/>
      <c r="L210" s="60"/>
      <c r="M210" s="60"/>
      <c r="N210" s="60"/>
      <c r="O210" s="60"/>
      <c r="P210" s="60"/>
      <c r="Q210" s="60"/>
      <c r="R210" s="60"/>
      <c r="S210" s="60"/>
      <c r="T210" s="60"/>
      <c r="U210" s="60"/>
      <c r="V210" s="60"/>
      <c r="W210" s="60"/>
      <c r="X210" s="60"/>
      <c r="Y210" s="60"/>
      <c r="Z210" s="60"/>
      <c r="AA210" s="60"/>
      <c r="AB210" s="60"/>
      <c r="AC210" s="60"/>
      <c r="AD210" s="60"/>
      <c r="AE210" s="60"/>
      <c r="AF210" s="60"/>
      <c r="AG210" s="59"/>
      <c r="AH210" s="59"/>
      <c r="AI210" s="58"/>
      <c r="AJ210" s="57"/>
      <c r="AK210" s="57"/>
      <c r="AL210" s="57"/>
      <c r="AM210" s="57"/>
    </row>
    <row r="211" spans="1:39" s="56" customFormat="1" ht="15">
      <c r="A211" s="60"/>
      <c r="B211" s="73"/>
      <c r="C211" s="82" t="s">
        <v>530</v>
      </c>
      <c r="D211" s="81"/>
      <c r="E211" s="77"/>
      <c r="F211" s="69"/>
      <c r="G211" s="69"/>
      <c r="H211" s="77"/>
      <c r="I211" s="68"/>
      <c r="J211" s="68"/>
      <c r="K211" s="61"/>
      <c r="L211" s="60"/>
      <c r="M211" s="60"/>
      <c r="N211" s="60"/>
      <c r="O211" s="60"/>
      <c r="P211" s="60"/>
      <c r="Q211" s="60"/>
      <c r="R211" s="60"/>
      <c r="S211" s="60"/>
      <c r="T211" s="60"/>
      <c r="U211" s="60"/>
      <c r="V211" s="60"/>
      <c r="W211" s="60"/>
      <c r="X211" s="60"/>
      <c r="Y211" s="60"/>
      <c r="Z211" s="60"/>
      <c r="AA211" s="60"/>
      <c r="AB211" s="60"/>
      <c r="AC211" s="60"/>
      <c r="AD211" s="60"/>
      <c r="AE211" s="60"/>
      <c r="AF211" s="60"/>
      <c r="AG211" s="59"/>
      <c r="AH211" s="59"/>
      <c r="AI211" s="58"/>
      <c r="AJ211" s="57"/>
      <c r="AK211" s="57"/>
      <c r="AL211" s="57"/>
      <c r="AM211" s="57"/>
    </row>
    <row r="212" spans="1:39" s="56" customFormat="1" ht="15">
      <c r="A212" s="60"/>
      <c r="B212" s="73"/>
      <c r="C212" s="82" t="s">
        <v>529</v>
      </c>
      <c r="D212" s="81"/>
      <c r="E212" s="77"/>
      <c r="F212" s="69"/>
      <c r="G212" s="69"/>
      <c r="H212" s="77"/>
      <c r="I212" s="68"/>
      <c r="J212" s="68"/>
      <c r="K212" s="61"/>
      <c r="L212" s="60"/>
      <c r="M212" s="60"/>
      <c r="N212" s="60"/>
      <c r="O212" s="60"/>
      <c r="P212" s="60"/>
      <c r="Q212" s="60"/>
      <c r="R212" s="60"/>
      <c r="S212" s="60"/>
      <c r="T212" s="60"/>
      <c r="U212" s="60"/>
      <c r="V212" s="60"/>
      <c r="W212" s="60"/>
      <c r="X212" s="60"/>
      <c r="Y212" s="60"/>
      <c r="Z212" s="60"/>
      <c r="AA212" s="60"/>
      <c r="AB212" s="60"/>
      <c r="AC212" s="60"/>
      <c r="AD212" s="60"/>
      <c r="AE212" s="60"/>
      <c r="AF212" s="60"/>
      <c r="AG212" s="59"/>
      <c r="AH212" s="59"/>
      <c r="AI212" s="58"/>
      <c r="AJ212" s="57"/>
      <c r="AK212" s="57"/>
      <c r="AL212" s="57"/>
      <c r="AM212" s="57"/>
    </row>
    <row r="213" spans="1:39" s="56" customFormat="1" ht="15">
      <c r="A213" s="60"/>
      <c r="B213" s="73"/>
      <c r="C213" s="77"/>
      <c r="D213" s="81"/>
      <c r="E213" s="77"/>
      <c r="F213" s="69"/>
      <c r="G213" s="69"/>
      <c r="H213" s="77"/>
      <c r="I213" s="68"/>
      <c r="J213" s="68"/>
      <c r="K213" s="61"/>
      <c r="L213" s="60"/>
      <c r="M213" s="60"/>
      <c r="N213" s="60"/>
      <c r="O213" s="60"/>
      <c r="P213" s="60"/>
      <c r="Q213" s="60"/>
      <c r="R213" s="60"/>
      <c r="S213" s="60"/>
      <c r="T213" s="60"/>
      <c r="U213" s="60"/>
      <c r="V213" s="60"/>
      <c r="W213" s="60"/>
      <c r="X213" s="60"/>
      <c r="Y213" s="60"/>
      <c r="Z213" s="60"/>
      <c r="AA213" s="60"/>
      <c r="AB213" s="60"/>
      <c r="AC213" s="60"/>
      <c r="AD213" s="60"/>
      <c r="AE213" s="60"/>
      <c r="AF213" s="60"/>
      <c r="AG213" s="59"/>
      <c r="AH213" s="59"/>
      <c r="AI213" s="58"/>
      <c r="AJ213" s="57"/>
      <c r="AK213" s="57"/>
      <c r="AL213" s="57"/>
      <c r="AM213" s="57"/>
    </row>
    <row r="214" spans="1:39" s="56" customFormat="1">
      <c r="A214" s="60"/>
      <c r="B214" s="75" t="s">
        <v>528</v>
      </c>
      <c r="C214" s="80" t="s">
        <v>527</v>
      </c>
      <c r="D214" s="1750"/>
      <c r="E214" s="1750"/>
      <c r="F214" s="69"/>
      <c r="G214" s="69"/>
      <c r="H214" s="77"/>
      <c r="I214" s="68"/>
      <c r="J214" s="68"/>
      <c r="K214" s="61"/>
      <c r="L214" s="60"/>
      <c r="M214" s="60"/>
      <c r="N214" s="60"/>
      <c r="O214" s="60"/>
      <c r="P214" s="60"/>
      <c r="Q214" s="60"/>
      <c r="R214" s="60"/>
      <c r="S214" s="60"/>
      <c r="T214" s="60"/>
      <c r="U214" s="60"/>
      <c r="V214" s="60"/>
      <c r="W214" s="60"/>
      <c r="X214" s="60"/>
      <c r="Y214" s="60"/>
      <c r="Z214" s="60"/>
      <c r="AA214" s="60"/>
      <c r="AB214" s="60"/>
      <c r="AC214" s="60"/>
      <c r="AD214" s="60"/>
      <c r="AE214" s="60"/>
      <c r="AF214" s="60"/>
      <c r="AG214" s="59"/>
      <c r="AH214" s="59"/>
      <c r="AI214" s="58"/>
      <c r="AJ214" s="57"/>
      <c r="AK214" s="57"/>
      <c r="AL214" s="57"/>
      <c r="AM214" s="57"/>
    </row>
    <row r="215" spans="1:39" s="56" customFormat="1" ht="30" customHeight="1">
      <c r="A215" s="60"/>
      <c r="B215" s="75">
        <v>1</v>
      </c>
      <c r="C215" s="74" t="s">
        <v>526</v>
      </c>
      <c r="D215" s="79"/>
      <c r="E215" s="78"/>
      <c r="F215" s="69"/>
      <c r="G215" s="69"/>
      <c r="H215" s="77"/>
      <c r="I215" s="68"/>
      <c r="J215" s="68"/>
      <c r="K215" s="61"/>
      <c r="L215" s="60"/>
      <c r="M215" s="60"/>
      <c r="N215" s="60"/>
      <c r="O215" s="60"/>
      <c r="P215" s="60"/>
      <c r="Q215" s="60"/>
      <c r="R215" s="60"/>
      <c r="S215" s="60"/>
      <c r="T215" s="60"/>
      <c r="U215" s="60"/>
      <c r="V215" s="60"/>
      <c r="W215" s="60"/>
      <c r="X215" s="60"/>
      <c r="Y215" s="60"/>
      <c r="Z215" s="60"/>
      <c r="AA215" s="60"/>
      <c r="AB215" s="60"/>
      <c r="AC215" s="60"/>
      <c r="AD215" s="60"/>
      <c r="AE215" s="60"/>
      <c r="AF215" s="60"/>
      <c r="AG215" s="59"/>
      <c r="AH215" s="59"/>
      <c r="AI215" s="58"/>
      <c r="AJ215" s="57"/>
      <c r="AK215" s="57"/>
      <c r="AL215" s="57"/>
      <c r="AM215" s="57"/>
    </row>
    <row r="216" spans="1:39" s="56" customFormat="1" ht="38.25" customHeight="1">
      <c r="A216" s="60"/>
      <c r="B216" s="75">
        <v>2</v>
      </c>
      <c r="C216" s="74" t="s">
        <v>525</v>
      </c>
      <c r="D216" s="74"/>
      <c r="E216" s="74"/>
      <c r="F216" s="69"/>
      <c r="G216" s="69"/>
      <c r="H216" s="77"/>
      <c r="I216" s="68"/>
      <c r="J216" s="68"/>
      <c r="K216" s="61"/>
      <c r="L216" s="60"/>
      <c r="M216" s="60"/>
      <c r="N216" s="60"/>
      <c r="O216" s="60"/>
      <c r="P216" s="60"/>
      <c r="Q216" s="60"/>
      <c r="R216" s="60"/>
      <c r="S216" s="60"/>
      <c r="T216" s="60"/>
      <c r="U216" s="60"/>
      <c r="V216" s="60"/>
      <c r="W216" s="60"/>
      <c r="X216" s="60"/>
      <c r="Y216" s="60"/>
      <c r="Z216" s="60"/>
      <c r="AA216" s="60"/>
      <c r="AB216" s="60"/>
      <c r="AC216" s="60"/>
      <c r="AD216" s="60"/>
      <c r="AE216" s="60"/>
      <c r="AF216" s="60"/>
      <c r="AG216" s="59"/>
      <c r="AH216" s="59"/>
      <c r="AI216" s="58"/>
      <c r="AJ216" s="57"/>
      <c r="AK216" s="57"/>
      <c r="AL216" s="57"/>
      <c r="AM216" s="57"/>
    </row>
    <row r="217" spans="1:39" s="56" customFormat="1" ht="36" customHeight="1">
      <c r="A217" s="60"/>
      <c r="B217" s="75">
        <v>3</v>
      </c>
      <c r="C217" s="74" t="s">
        <v>524</v>
      </c>
      <c r="D217" s="74"/>
      <c r="E217" s="74"/>
      <c r="F217" s="69"/>
      <c r="G217" s="69"/>
      <c r="H217" s="69"/>
      <c r="I217" s="68"/>
      <c r="J217" s="68"/>
      <c r="K217" s="61"/>
      <c r="L217" s="60"/>
      <c r="M217" s="60"/>
      <c r="N217" s="60"/>
      <c r="O217" s="60"/>
      <c r="P217" s="60"/>
      <c r="Q217" s="60"/>
      <c r="R217" s="60"/>
      <c r="S217" s="60"/>
      <c r="T217" s="60"/>
      <c r="U217" s="60"/>
      <c r="V217" s="60"/>
      <c r="W217" s="60"/>
      <c r="X217" s="60"/>
      <c r="Y217" s="60"/>
      <c r="Z217" s="60"/>
      <c r="AA217" s="60"/>
      <c r="AB217" s="60"/>
      <c r="AC217" s="60"/>
      <c r="AD217" s="60"/>
      <c r="AE217" s="60"/>
      <c r="AF217" s="60"/>
      <c r="AG217" s="59"/>
      <c r="AH217" s="59"/>
      <c r="AI217" s="58"/>
      <c r="AJ217" s="57"/>
      <c r="AK217" s="57"/>
      <c r="AL217" s="57"/>
      <c r="AM217" s="57"/>
    </row>
    <row r="218" spans="1:39" s="56" customFormat="1" ht="30.75" customHeight="1">
      <c r="A218" s="60"/>
      <c r="B218" s="75">
        <v>4</v>
      </c>
      <c r="C218" s="74" t="s">
        <v>523</v>
      </c>
      <c r="D218" s="74"/>
      <c r="E218" s="74"/>
      <c r="F218" s="69"/>
      <c r="G218" s="69"/>
      <c r="H218" s="69"/>
      <c r="I218" s="68"/>
      <c r="J218" s="68"/>
      <c r="K218" s="61"/>
      <c r="L218" s="60"/>
      <c r="M218" s="60"/>
      <c r="N218" s="60"/>
      <c r="O218" s="60"/>
      <c r="P218" s="60"/>
      <c r="Q218" s="60"/>
      <c r="R218" s="60"/>
      <c r="S218" s="60"/>
      <c r="T218" s="60"/>
      <c r="U218" s="60"/>
      <c r="V218" s="60"/>
      <c r="W218" s="60"/>
      <c r="X218" s="60"/>
      <c r="Y218" s="60"/>
      <c r="Z218" s="60"/>
      <c r="AA218" s="60"/>
      <c r="AB218" s="60"/>
      <c r="AC218" s="60"/>
      <c r="AD218" s="60"/>
      <c r="AE218" s="60"/>
      <c r="AF218" s="60"/>
      <c r="AG218" s="59"/>
      <c r="AH218" s="59"/>
      <c r="AI218" s="58"/>
      <c r="AJ218" s="57"/>
      <c r="AK218" s="57"/>
      <c r="AL218" s="57"/>
      <c r="AM218" s="57"/>
    </row>
    <row r="219" spans="1:39" s="56" customFormat="1" ht="33" customHeight="1">
      <c r="A219" s="60"/>
      <c r="B219" s="75">
        <v>5</v>
      </c>
      <c r="C219" s="74" t="s">
        <v>522</v>
      </c>
      <c r="D219" s="74"/>
      <c r="E219" s="74"/>
      <c r="F219" s="69"/>
      <c r="G219" s="76"/>
      <c r="H219" s="69"/>
      <c r="I219" s="68"/>
      <c r="J219" s="68"/>
      <c r="K219" s="61"/>
      <c r="L219" s="60"/>
      <c r="M219" s="60"/>
      <c r="N219" s="60"/>
      <c r="O219" s="60"/>
      <c r="P219" s="60"/>
      <c r="Q219" s="60"/>
      <c r="R219" s="60"/>
      <c r="S219" s="60"/>
      <c r="T219" s="60"/>
      <c r="U219" s="60"/>
      <c r="V219" s="60"/>
      <c r="W219" s="60"/>
      <c r="X219" s="60"/>
      <c r="Y219" s="60"/>
      <c r="Z219" s="60"/>
      <c r="AA219" s="60"/>
      <c r="AB219" s="60"/>
      <c r="AC219" s="60"/>
      <c r="AD219" s="60"/>
      <c r="AE219" s="60"/>
      <c r="AF219" s="60"/>
      <c r="AG219" s="59"/>
      <c r="AH219" s="59"/>
      <c r="AI219" s="58"/>
      <c r="AJ219" s="57"/>
      <c r="AK219" s="57"/>
      <c r="AL219" s="57"/>
      <c r="AM219" s="57"/>
    </row>
    <row r="220" spans="1:39" s="56" customFormat="1" ht="38.25" customHeight="1">
      <c r="A220" s="60"/>
      <c r="B220" s="75">
        <v>6</v>
      </c>
      <c r="C220" s="74" t="s">
        <v>521</v>
      </c>
      <c r="D220" s="74"/>
      <c r="E220" s="74"/>
      <c r="F220" s="69"/>
      <c r="G220" s="70"/>
      <c r="H220" s="69"/>
      <c r="I220" s="68"/>
      <c r="J220" s="68"/>
      <c r="K220" s="61"/>
      <c r="L220" s="60"/>
      <c r="M220" s="60"/>
      <c r="N220" s="60"/>
      <c r="O220" s="60"/>
      <c r="P220" s="60"/>
      <c r="Q220" s="60"/>
      <c r="R220" s="60"/>
      <c r="S220" s="60"/>
      <c r="T220" s="60"/>
      <c r="U220" s="60"/>
      <c r="V220" s="60"/>
      <c r="W220" s="60"/>
      <c r="X220" s="60"/>
      <c r="Y220" s="60"/>
      <c r="Z220" s="60"/>
      <c r="AA220" s="60"/>
      <c r="AB220" s="60"/>
      <c r="AC220" s="60"/>
      <c r="AD220" s="60"/>
      <c r="AE220" s="60"/>
      <c r="AF220" s="60"/>
      <c r="AG220" s="59"/>
      <c r="AH220" s="59"/>
      <c r="AI220" s="58"/>
      <c r="AJ220" s="57"/>
      <c r="AK220" s="57"/>
      <c r="AL220" s="57"/>
      <c r="AM220" s="57"/>
    </row>
    <row r="221" spans="1:39" s="56" customFormat="1" ht="32.25" customHeight="1">
      <c r="A221" s="60"/>
      <c r="B221" s="75">
        <v>7</v>
      </c>
      <c r="C221" s="74" t="s">
        <v>520</v>
      </c>
      <c r="D221" s="74"/>
      <c r="E221" s="74"/>
      <c r="F221" s="69"/>
      <c r="G221" s="70"/>
      <c r="H221" s="69"/>
      <c r="I221" s="68"/>
      <c r="J221" s="68"/>
      <c r="K221" s="61"/>
      <c r="L221" s="60"/>
      <c r="M221" s="60"/>
      <c r="N221" s="60"/>
      <c r="O221" s="60"/>
      <c r="P221" s="60"/>
      <c r="Q221" s="60"/>
      <c r="R221" s="60"/>
      <c r="S221" s="60"/>
      <c r="T221" s="60"/>
      <c r="U221" s="60"/>
      <c r="V221" s="60"/>
      <c r="W221" s="60"/>
      <c r="X221" s="60"/>
      <c r="Y221" s="60"/>
      <c r="Z221" s="60"/>
      <c r="AA221" s="60"/>
      <c r="AB221" s="60"/>
      <c r="AC221" s="60"/>
      <c r="AD221" s="60"/>
      <c r="AE221" s="60"/>
      <c r="AF221" s="60"/>
      <c r="AG221" s="59"/>
      <c r="AH221" s="59"/>
      <c r="AI221" s="58"/>
      <c r="AJ221" s="57"/>
      <c r="AK221" s="57"/>
      <c r="AL221" s="57"/>
      <c r="AM221" s="57"/>
    </row>
    <row r="222" spans="1:39" s="56" customFormat="1" ht="41.25" customHeight="1">
      <c r="A222" s="60"/>
      <c r="B222" s="75">
        <v>8</v>
      </c>
      <c r="C222" s="74" t="s">
        <v>519</v>
      </c>
      <c r="D222" s="74"/>
      <c r="E222" s="74"/>
      <c r="F222" s="69"/>
      <c r="G222" s="70"/>
      <c r="H222" s="69"/>
      <c r="I222" s="68"/>
      <c r="J222" s="68"/>
      <c r="K222" s="61"/>
      <c r="L222" s="60"/>
      <c r="M222" s="60"/>
      <c r="N222" s="60"/>
      <c r="O222" s="60"/>
      <c r="P222" s="60"/>
      <c r="Q222" s="60"/>
      <c r="R222" s="60"/>
      <c r="S222" s="60"/>
      <c r="T222" s="60"/>
      <c r="U222" s="60"/>
      <c r="V222" s="60"/>
      <c r="W222" s="60"/>
      <c r="X222" s="60"/>
      <c r="Y222" s="60"/>
      <c r="Z222" s="60"/>
      <c r="AA222" s="60"/>
      <c r="AB222" s="60"/>
      <c r="AC222" s="60"/>
      <c r="AD222" s="60"/>
      <c r="AE222" s="60"/>
      <c r="AF222" s="60"/>
      <c r="AG222" s="59"/>
      <c r="AH222" s="59"/>
      <c r="AI222" s="58"/>
      <c r="AJ222" s="57"/>
      <c r="AK222" s="57"/>
      <c r="AL222" s="57"/>
      <c r="AM222" s="57"/>
    </row>
    <row r="223" spans="1:39" s="56" customFormat="1" ht="36.75" customHeight="1">
      <c r="A223" s="60"/>
      <c r="B223" s="75">
        <v>9</v>
      </c>
      <c r="C223" s="74" t="s">
        <v>518</v>
      </c>
      <c r="D223" s="74"/>
      <c r="E223" s="74"/>
      <c r="F223" s="69"/>
      <c r="G223" s="70"/>
      <c r="H223" s="69"/>
      <c r="I223" s="68"/>
      <c r="J223" s="68"/>
      <c r="K223" s="61"/>
      <c r="L223" s="60"/>
      <c r="M223" s="60"/>
      <c r="N223" s="60"/>
      <c r="O223" s="60"/>
      <c r="P223" s="60"/>
      <c r="Q223" s="60"/>
      <c r="R223" s="60"/>
      <c r="S223" s="60"/>
      <c r="T223" s="60"/>
      <c r="U223" s="60"/>
      <c r="V223" s="60"/>
      <c r="W223" s="60"/>
      <c r="X223" s="60"/>
      <c r="Y223" s="60"/>
      <c r="Z223" s="60"/>
      <c r="AA223" s="60"/>
      <c r="AB223" s="60"/>
      <c r="AC223" s="60"/>
      <c r="AD223" s="60"/>
      <c r="AE223" s="60"/>
      <c r="AF223" s="60"/>
      <c r="AG223" s="59"/>
      <c r="AH223" s="59"/>
      <c r="AI223" s="58"/>
      <c r="AJ223" s="57"/>
      <c r="AK223" s="57"/>
      <c r="AL223" s="57"/>
      <c r="AM223" s="57"/>
    </row>
    <row r="224" spans="1:39" s="56" customFormat="1" ht="45.75" customHeight="1">
      <c r="A224" s="60"/>
      <c r="B224" s="75">
        <v>10</v>
      </c>
      <c r="C224" s="74" t="s">
        <v>517</v>
      </c>
      <c r="D224" s="74"/>
      <c r="E224" s="74"/>
      <c r="F224" s="69"/>
      <c r="G224" s="70"/>
      <c r="H224" s="69"/>
      <c r="I224" s="68"/>
      <c r="J224" s="68"/>
      <c r="K224" s="61"/>
      <c r="L224" s="60"/>
      <c r="M224" s="60"/>
      <c r="N224" s="60"/>
      <c r="O224" s="60"/>
      <c r="P224" s="60"/>
      <c r="Q224" s="60"/>
      <c r="R224" s="60"/>
      <c r="S224" s="60"/>
      <c r="T224" s="60"/>
      <c r="U224" s="60"/>
      <c r="V224" s="60"/>
      <c r="W224" s="60"/>
      <c r="X224" s="60"/>
      <c r="Y224" s="60"/>
      <c r="Z224" s="60"/>
      <c r="AA224" s="60"/>
      <c r="AB224" s="60"/>
      <c r="AC224" s="60"/>
      <c r="AD224" s="60"/>
      <c r="AE224" s="60"/>
      <c r="AF224" s="60"/>
      <c r="AG224" s="59"/>
      <c r="AH224" s="59"/>
      <c r="AI224" s="58"/>
      <c r="AJ224" s="57"/>
      <c r="AK224" s="57"/>
      <c r="AL224" s="57"/>
      <c r="AM224" s="57"/>
    </row>
    <row r="225" spans="1:45" s="56" customFormat="1" ht="15">
      <c r="A225" s="60"/>
      <c r="B225" s="73"/>
      <c r="C225" s="72"/>
      <c r="D225" s="71"/>
      <c r="E225" s="69"/>
      <c r="F225" s="69"/>
      <c r="G225" s="70"/>
      <c r="H225" s="69"/>
      <c r="I225" s="68"/>
      <c r="J225" s="68"/>
      <c r="K225" s="61"/>
      <c r="L225" s="60"/>
      <c r="M225" s="60"/>
      <c r="N225" s="60"/>
      <c r="O225" s="60"/>
      <c r="P225" s="60"/>
      <c r="Q225" s="60"/>
      <c r="R225" s="60"/>
      <c r="S225" s="60"/>
      <c r="T225" s="60"/>
      <c r="U225" s="60"/>
      <c r="V225" s="60"/>
      <c r="W225" s="60"/>
      <c r="X225" s="60"/>
      <c r="Y225" s="60"/>
      <c r="Z225" s="60"/>
      <c r="AA225" s="60"/>
      <c r="AB225" s="60"/>
      <c r="AC225" s="60"/>
      <c r="AD225" s="60"/>
      <c r="AE225" s="60"/>
      <c r="AF225" s="60"/>
      <c r="AG225" s="59"/>
      <c r="AH225" s="59"/>
      <c r="AI225" s="58"/>
      <c r="AJ225" s="57"/>
      <c r="AK225" s="57"/>
      <c r="AL225" s="57"/>
      <c r="AM225" s="57"/>
    </row>
    <row r="226" spans="1:45" s="56" customFormat="1" ht="15">
      <c r="A226" s="60"/>
      <c r="B226" s="73"/>
      <c r="C226" s="72"/>
      <c r="D226" s="71"/>
      <c r="E226" s="69"/>
      <c r="F226" s="69"/>
      <c r="G226" s="70"/>
      <c r="H226" s="69"/>
      <c r="I226" s="68"/>
      <c r="J226" s="68"/>
      <c r="K226" s="67"/>
      <c r="L226" s="61"/>
      <c r="M226" s="60"/>
      <c r="N226" s="60"/>
      <c r="O226" s="60"/>
      <c r="P226" s="60"/>
      <c r="Q226" s="60"/>
      <c r="R226" s="60"/>
      <c r="S226" s="60"/>
      <c r="T226" s="60"/>
      <c r="U226" s="60"/>
      <c r="V226" s="60"/>
      <c r="W226" s="60"/>
      <c r="X226" s="60"/>
      <c r="Y226" s="60"/>
      <c r="Z226" s="60"/>
      <c r="AA226" s="60"/>
      <c r="AB226" s="60"/>
      <c r="AC226" s="60"/>
      <c r="AD226" s="60"/>
      <c r="AE226" s="60"/>
      <c r="AF226" s="60"/>
      <c r="AG226" s="60"/>
      <c r="AH226" s="60"/>
      <c r="AI226" s="60"/>
      <c r="AJ226" s="60"/>
      <c r="AK226" s="60"/>
      <c r="AL226" s="60"/>
      <c r="AM226" s="59"/>
      <c r="AN226" s="59"/>
      <c r="AO226" s="58"/>
      <c r="AP226" s="57"/>
      <c r="AQ226" s="57"/>
      <c r="AR226" s="57"/>
      <c r="AS226" s="57"/>
    </row>
    <row r="227" spans="1:45" s="56" customFormat="1" ht="15">
      <c r="A227" s="60"/>
      <c r="B227" s="63"/>
      <c r="C227" s="62"/>
      <c r="D227" s="61"/>
      <c r="E227" s="60"/>
      <c r="F227" s="60"/>
      <c r="G227" s="64"/>
      <c r="H227" s="60"/>
      <c r="I227" s="60"/>
      <c r="J227" s="60"/>
      <c r="K227" s="64"/>
      <c r="L227" s="61"/>
      <c r="M227" s="60"/>
      <c r="N227" s="60"/>
      <c r="O227" s="60"/>
      <c r="P227" s="60"/>
      <c r="Q227" s="60"/>
      <c r="R227" s="60"/>
      <c r="S227" s="60"/>
      <c r="T227" s="60"/>
      <c r="U227" s="60"/>
      <c r="V227" s="60"/>
      <c r="W227" s="60"/>
      <c r="X227" s="60"/>
      <c r="Y227" s="60"/>
      <c r="Z227" s="60"/>
      <c r="AA227" s="60"/>
      <c r="AB227" s="60"/>
      <c r="AC227" s="60"/>
      <c r="AD227" s="60"/>
      <c r="AE227" s="60"/>
      <c r="AF227" s="60"/>
      <c r="AG227" s="60"/>
      <c r="AH227" s="60"/>
      <c r="AI227" s="60"/>
      <c r="AJ227" s="60"/>
      <c r="AK227" s="60"/>
      <c r="AL227" s="60"/>
      <c r="AM227" s="59"/>
      <c r="AN227" s="59"/>
      <c r="AO227" s="58"/>
      <c r="AP227" s="57"/>
      <c r="AQ227" s="57"/>
      <c r="AR227" s="57"/>
      <c r="AS227" s="57"/>
    </row>
    <row r="228" spans="1:45" s="56" customFormat="1" ht="15">
      <c r="A228" s="60"/>
      <c r="B228" s="63"/>
      <c r="C228" s="62"/>
      <c r="D228" s="61"/>
      <c r="E228" s="60"/>
      <c r="F228" s="60"/>
      <c r="G228" s="64"/>
      <c r="H228" s="60"/>
      <c r="I228" s="60"/>
      <c r="J228" s="60"/>
      <c r="K228" s="64"/>
      <c r="L228" s="61"/>
      <c r="M228" s="60"/>
      <c r="N228" s="60"/>
      <c r="O228" s="60"/>
      <c r="P228" s="60"/>
      <c r="Q228" s="60"/>
      <c r="R228" s="60"/>
      <c r="S228" s="60"/>
      <c r="T228" s="60"/>
      <c r="U228" s="60"/>
      <c r="V228" s="60"/>
      <c r="W228" s="60"/>
      <c r="X228" s="60"/>
      <c r="Y228" s="60"/>
      <c r="Z228" s="60"/>
      <c r="AA228" s="60"/>
      <c r="AB228" s="60"/>
      <c r="AC228" s="60"/>
      <c r="AD228" s="60"/>
      <c r="AE228" s="60"/>
      <c r="AF228" s="60"/>
      <c r="AG228" s="60"/>
      <c r="AH228" s="60"/>
      <c r="AI228" s="60"/>
      <c r="AJ228" s="60"/>
      <c r="AK228" s="60"/>
      <c r="AL228" s="60"/>
      <c r="AM228" s="59"/>
      <c r="AN228" s="59"/>
      <c r="AO228" s="58"/>
      <c r="AP228" s="57"/>
      <c r="AQ228" s="57"/>
      <c r="AR228" s="57"/>
      <c r="AS228" s="57"/>
    </row>
    <row r="229" spans="1:45" s="56" customFormat="1" ht="15">
      <c r="A229" s="60"/>
      <c r="B229" s="63"/>
      <c r="C229" s="62"/>
      <c r="D229" s="61"/>
      <c r="E229" s="60"/>
      <c r="F229" s="60"/>
      <c r="G229" s="66"/>
      <c r="H229" s="60"/>
      <c r="I229" s="60"/>
      <c r="J229" s="60"/>
      <c r="K229" s="64"/>
      <c r="L229" s="61"/>
      <c r="M229" s="60"/>
      <c r="N229" s="60"/>
      <c r="O229" s="60"/>
      <c r="P229" s="60"/>
      <c r="Q229" s="60"/>
      <c r="R229" s="60"/>
      <c r="S229" s="60"/>
      <c r="T229" s="60"/>
      <c r="U229" s="60"/>
      <c r="V229" s="60"/>
      <c r="W229" s="60"/>
      <c r="X229" s="60"/>
      <c r="Y229" s="60"/>
      <c r="Z229" s="60"/>
      <c r="AA229" s="60"/>
      <c r="AB229" s="60"/>
      <c r="AC229" s="60"/>
      <c r="AD229" s="60"/>
      <c r="AE229" s="60"/>
      <c r="AF229" s="60"/>
      <c r="AG229" s="60"/>
      <c r="AH229" s="60"/>
      <c r="AI229" s="60"/>
      <c r="AJ229" s="60"/>
      <c r="AK229" s="60"/>
      <c r="AL229" s="60"/>
      <c r="AM229" s="59"/>
      <c r="AN229" s="59"/>
      <c r="AO229" s="58"/>
      <c r="AP229" s="57"/>
      <c r="AQ229" s="57"/>
      <c r="AR229" s="57"/>
      <c r="AS229" s="57"/>
    </row>
    <row r="230" spans="1:45" s="56" customFormat="1" ht="15">
      <c r="A230" s="60"/>
      <c r="B230" s="63"/>
      <c r="C230" s="62"/>
      <c r="D230" s="61"/>
      <c r="E230" s="60"/>
      <c r="F230" s="60"/>
      <c r="G230" s="64"/>
      <c r="H230" s="60"/>
      <c r="I230" s="60"/>
      <c r="J230" s="60"/>
      <c r="K230" s="64"/>
      <c r="L230" s="61"/>
      <c r="M230" s="60"/>
      <c r="N230" s="60"/>
      <c r="O230" s="60"/>
      <c r="P230" s="60"/>
      <c r="Q230" s="60"/>
      <c r="R230" s="60"/>
      <c r="S230" s="60"/>
      <c r="T230" s="60"/>
      <c r="U230" s="60"/>
      <c r="V230" s="60"/>
      <c r="W230" s="60"/>
      <c r="X230" s="60"/>
      <c r="Y230" s="60"/>
      <c r="Z230" s="60"/>
      <c r="AA230" s="60"/>
      <c r="AB230" s="60"/>
      <c r="AC230" s="60"/>
      <c r="AD230" s="60"/>
      <c r="AE230" s="60"/>
      <c r="AF230" s="60"/>
      <c r="AG230" s="60"/>
      <c r="AH230" s="60"/>
      <c r="AI230" s="60"/>
      <c r="AJ230" s="60"/>
      <c r="AK230" s="60"/>
      <c r="AL230" s="60"/>
      <c r="AM230" s="59"/>
      <c r="AN230" s="59"/>
      <c r="AO230" s="58"/>
      <c r="AP230" s="57"/>
      <c r="AQ230" s="57"/>
      <c r="AR230" s="57"/>
      <c r="AS230" s="57"/>
    </row>
    <row r="231" spans="1:45" s="56" customFormat="1" ht="15">
      <c r="A231" s="60"/>
      <c r="B231" s="63"/>
      <c r="C231" s="62"/>
      <c r="D231" s="61"/>
      <c r="E231" s="60"/>
      <c r="F231" s="60"/>
      <c r="G231" s="64"/>
      <c r="H231" s="60"/>
      <c r="I231" s="60"/>
      <c r="J231" s="60"/>
      <c r="K231" s="64"/>
      <c r="L231" s="61"/>
      <c r="M231" s="60"/>
      <c r="N231" s="60"/>
      <c r="O231" s="60"/>
      <c r="P231" s="60"/>
      <c r="Q231" s="60"/>
      <c r="R231" s="60"/>
      <c r="S231" s="60"/>
      <c r="T231" s="60"/>
      <c r="U231" s="60"/>
      <c r="V231" s="60"/>
      <c r="W231" s="60"/>
      <c r="X231" s="60"/>
      <c r="Y231" s="60"/>
      <c r="Z231" s="60"/>
      <c r="AA231" s="60"/>
      <c r="AB231" s="60"/>
      <c r="AC231" s="60"/>
      <c r="AD231" s="60"/>
      <c r="AE231" s="60"/>
      <c r="AF231" s="60"/>
      <c r="AG231" s="60"/>
      <c r="AH231" s="60"/>
      <c r="AI231" s="60"/>
      <c r="AJ231" s="60"/>
      <c r="AK231" s="60"/>
      <c r="AL231" s="60"/>
      <c r="AM231" s="59"/>
      <c r="AN231" s="59"/>
      <c r="AO231" s="58"/>
      <c r="AP231" s="57"/>
      <c r="AQ231" s="57"/>
      <c r="AR231" s="57"/>
      <c r="AS231" s="57"/>
    </row>
    <row r="232" spans="1:45" s="56" customFormat="1" ht="15">
      <c r="A232" s="60"/>
      <c r="B232" s="63"/>
      <c r="C232" s="62"/>
      <c r="D232" s="61"/>
      <c r="E232" s="60"/>
      <c r="F232" s="60"/>
      <c r="G232" s="65"/>
      <c r="H232" s="60"/>
      <c r="I232" s="60"/>
      <c r="J232" s="60"/>
      <c r="K232" s="64"/>
      <c r="L232" s="61"/>
      <c r="M232" s="60"/>
      <c r="N232" s="60"/>
      <c r="O232" s="60"/>
      <c r="P232" s="60"/>
      <c r="Q232" s="60"/>
      <c r="R232" s="60"/>
      <c r="S232" s="60"/>
      <c r="T232" s="60"/>
      <c r="U232" s="60"/>
      <c r="V232" s="60"/>
      <c r="W232" s="60"/>
      <c r="X232" s="60"/>
      <c r="Y232" s="60"/>
      <c r="Z232" s="60"/>
      <c r="AA232" s="60"/>
      <c r="AB232" s="60"/>
      <c r="AC232" s="60"/>
      <c r="AD232" s="60"/>
      <c r="AE232" s="60"/>
      <c r="AF232" s="60"/>
      <c r="AG232" s="60"/>
      <c r="AH232" s="60"/>
      <c r="AI232" s="60"/>
      <c r="AJ232" s="60"/>
      <c r="AK232" s="60"/>
      <c r="AL232" s="60"/>
      <c r="AM232" s="59"/>
      <c r="AN232" s="59"/>
      <c r="AO232" s="58"/>
      <c r="AP232" s="57"/>
      <c r="AQ232" s="57"/>
      <c r="AR232" s="57"/>
      <c r="AS232" s="57"/>
    </row>
    <row r="233" spans="1:45" s="56" customFormat="1" ht="15">
      <c r="A233" s="60"/>
      <c r="B233" s="63"/>
      <c r="C233" s="62"/>
      <c r="D233" s="61"/>
      <c r="E233" s="60"/>
      <c r="F233" s="60"/>
      <c r="G233" s="65"/>
      <c r="H233" s="60"/>
      <c r="I233" s="60"/>
      <c r="J233" s="60"/>
      <c r="K233" s="64"/>
      <c r="L233" s="61"/>
      <c r="M233" s="60"/>
      <c r="N233" s="60"/>
      <c r="O233" s="60"/>
      <c r="P233" s="60"/>
      <c r="Q233" s="60"/>
      <c r="R233" s="60"/>
      <c r="S233" s="60"/>
      <c r="T233" s="60"/>
      <c r="U233" s="60"/>
      <c r="V233" s="60"/>
      <c r="W233" s="60"/>
      <c r="X233" s="60"/>
      <c r="Y233" s="60"/>
      <c r="Z233" s="60"/>
      <c r="AA233" s="60"/>
      <c r="AB233" s="60"/>
      <c r="AC233" s="60"/>
      <c r="AD233" s="60"/>
      <c r="AE233" s="60"/>
      <c r="AF233" s="60"/>
      <c r="AG233" s="60"/>
      <c r="AH233" s="60"/>
      <c r="AI233" s="60"/>
      <c r="AJ233" s="60"/>
      <c r="AK233" s="60"/>
      <c r="AL233" s="60"/>
      <c r="AM233" s="59"/>
      <c r="AN233" s="59"/>
      <c r="AO233" s="58"/>
      <c r="AP233" s="57"/>
      <c r="AQ233" s="57"/>
      <c r="AR233" s="57"/>
      <c r="AS233" s="57"/>
    </row>
    <row r="234" spans="1:45" s="56" customFormat="1" ht="15">
      <c r="A234" s="60"/>
      <c r="B234" s="63"/>
      <c r="C234" s="62"/>
      <c r="D234" s="61"/>
      <c r="E234" s="60"/>
      <c r="F234" s="60"/>
      <c r="G234" s="65"/>
      <c r="H234" s="60"/>
      <c r="I234" s="60"/>
      <c r="J234" s="60"/>
      <c r="K234" s="64"/>
      <c r="L234" s="61"/>
      <c r="M234" s="60"/>
      <c r="N234" s="60"/>
      <c r="O234" s="60"/>
      <c r="P234" s="60"/>
      <c r="Q234" s="60"/>
      <c r="R234" s="60"/>
      <c r="S234" s="60"/>
      <c r="T234" s="60"/>
      <c r="U234" s="60"/>
      <c r="V234" s="60"/>
      <c r="W234" s="60"/>
      <c r="X234" s="60"/>
      <c r="Y234" s="60"/>
      <c r="Z234" s="60"/>
      <c r="AA234" s="60"/>
      <c r="AB234" s="60"/>
      <c r="AC234" s="60"/>
      <c r="AD234" s="60"/>
      <c r="AE234" s="60"/>
      <c r="AF234" s="60"/>
      <c r="AG234" s="60"/>
      <c r="AH234" s="60"/>
      <c r="AI234" s="60"/>
      <c r="AJ234" s="60"/>
      <c r="AK234" s="60"/>
      <c r="AL234" s="60"/>
      <c r="AM234" s="59"/>
      <c r="AN234" s="59"/>
      <c r="AO234" s="58"/>
      <c r="AP234" s="57"/>
      <c r="AQ234" s="57"/>
      <c r="AR234" s="57"/>
      <c r="AS234" s="57"/>
    </row>
    <row r="235" spans="1:45" s="56" customFormat="1" ht="15">
      <c r="A235" s="60"/>
      <c r="B235" s="63"/>
      <c r="C235" s="62"/>
      <c r="D235" s="61"/>
      <c r="E235" s="60"/>
      <c r="F235" s="60"/>
      <c r="G235" s="65"/>
      <c r="H235" s="60"/>
      <c r="I235" s="60"/>
      <c r="J235" s="60"/>
      <c r="K235" s="64"/>
      <c r="L235" s="61"/>
      <c r="M235" s="60"/>
      <c r="N235" s="60"/>
      <c r="O235" s="60"/>
      <c r="P235" s="60"/>
      <c r="Q235" s="60"/>
      <c r="R235" s="60"/>
      <c r="S235" s="60"/>
      <c r="T235" s="60"/>
      <c r="U235" s="60"/>
      <c r="V235" s="60"/>
      <c r="W235" s="60"/>
      <c r="X235" s="60"/>
      <c r="Y235" s="60"/>
      <c r="Z235" s="60"/>
      <c r="AA235" s="60"/>
      <c r="AB235" s="60"/>
      <c r="AC235" s="60"/>
      <c r="AD235" s="60"/>
      <c r="AE235" s="60"/>
      <c r="AF235" s="60"/>
      <c r="AG235" s="60"/>
      <c r="AH235" s="60"/>
      <c r="AI235" s="60"/>
      <c r="AJ235" s="60"/>
      <c r="AK235" s="60"/>
      <c r="AL235" s="60"/>
      <c r="AM235" s="59"/>
      <c r="AN235" s="59"/>
      <c r="AO235" s="58"/>
      <c r="AP235" s="57"/>
      <c r="AQ235" s="57"/>
      <c r="AR235" s="57"/>
      <c r="AS235" s="57"/>
    </row>
    <row r="236" spans="1:45" s="56" customFormat="1" ht="15">
      <c r="A236" s="60"/>
      <c r="B236" s="63"/>
      <c r="C236" s="62"/>
      <c r="D236" s="61"/>
      <c r="E236" s="60"/>
      <c r="F236" s="60"/>
      <c r="G236" s="65"/>
      <c r="H236" s="60"/>
      <c r="I236" s="60"/>
      <c r="J236" s="60"/>
      <c r="K236" s="64"/>
      <c r="L236" s="61"/>
      <c r="M236" s="60"/>
      <c r="N236" s="60"/>
      <c r="O236" s="60"/>
      <c r="P236" s="60"/>
      <c r="Q236" s="60"/>
      <c r="R236" s="60"/>
      <c r="S236" s="60"/>
      <c r="T236" s="60"/>
      <c r="U236" s="60"/>
      <c r="V236" s="60"/>
      <c r="W236" s="60"/>
      <c r="X236" s="60"/>
      <c r="Y236" s="60"/>
      <c r="Z236" s="60"/>
      <c r="AA236" s="60"/>
      <c r="AB236" s="60"/>
      <c r="AC236" s="60"/>
      <c r="AD236" s="60"/>
      <c r="AE236" s="60"/>
      <c r="AF236" s="60"/>
      <c r="AG236" s="60"/>
      <c r="AH236" s="60"/>
      <c r="AI236" s="60"/>
      <c r="AJ236" s="60"/>
      <c r="AK236" s="60"/>
      <c r="AL236" s="60"/>
      <c r="AM236" s="59"/>
      <c r="AN236" s="59"/>
      <c r="AO236" s="58"/>
      <c r="AP236" s="57"/>
      <c r="AQ236" s="57"/>
      <c r="AR236" s="57"/>
      <c r="AS236" s="57"/>
    </row>
    <row r="237" spans="1:45" s="56" customFormat="1" ht="15">
      <c r="A237" s="60"/>
      <c r="B237" s="63"/>
      <c r="C237" s="62"/>
      <c r="D237" s="61"/>
      <c r="E237" s="60"/>
      <c r="F237" s="60"/>
      <c r="G237" s="65"/>
      <c r="H237" s="60"/>
      <c r="I237" s="60"/>
      <c r="J237" s="60"/>
      <c r="K237" s="64"/>
      <c r="L237" s="61"/>
      <c r="M237" s="60"/>
      <c r="N237" s="60"/>
      <c r="O237" s="60"/>
      <c r="P237" s="60"/>
      <c r="Q237" s="60"/>
      <c r="R237" s="60"/>
      <c r="S237" s="60"/>
      <c r="T237" s="60"/>
      <c r="U237" s="60"/>
      <c r="V237" s="60"/>
      <c r="W237" s="60"/>
      <c r="X237" s="60"/>
      <c r="Y237" s="60"/>
      <c r="Z237" s="60"/>
      <c r="AA237" s="60"/>
      <c r="AB237" s="60"/>
      <c r="AC237" s="60"/>
      <c r="AD237" s="60"/>
      <c r="AE237" s="60"/>
      <c r="AF237" s="60"/>
      <c r="AG237" s="60"/>
      <c r="AH237" s="60"/>
      <c r="AI237" s="60"/>
      <c r="AJ237" s="60"/>
      <c r="AK237" s="60"/>
      <c r="AL237" s="60"/>
      <c r="AM237" s="59"/>
      <c r="AN237" s="59"/>
      <c r="AO237" s="58"/>
      <c r="AP237" s="57"/>
      <c r="AQ237" s="57"/>
      <c r="AR237" s="57"/>
      <c r="AS237" s="57"/>
    </row>
    <row r="238" spans="1:45" s="56" customFormat="1" ht="15">
      <c r="A238" s="60"/>
      <c r="B238" s="63"/>
      <c r="C238" s="62"/>
      <c r="D238" s="61"/>
      <c r="E238" s="60"/>
      <c r="F238" s="60"/>
      <c r="G238" s="65"/>
      <c r="H238" s="60"/>
      <c r="I238" s="60"/>
      <c r="J238" s="60"/>
      <c r="K238" s="64"/>
      <c r="L238" s="61"/>
      <c r="M238" s="60"/>
      <c r="N238" s="60"/>
      <c r="O238" s="60"/>
      <c r="P238" s="60"/>
      <c r="Q238" s="60"/>
      <c r="R238" s="60"/>
      <c r="S238" s="60"/>
      <c r="T238" s="60"/>
      <c r="U238" s="60"/>
      <c r="V238" s="60"/>
      <c r="W238" s="60"/>
      <c r="X238" s="60"/>
      <c r="Y238" s="60"/>
      <c r="Z238" s="60"/>
      <c r="AA238" s="60"/>
      <c r="AB238" s="60"/>
      <c r="AC238" s="60"/>
      <c r="AD238" s="60"/>
      <c r="AE238" s="60"/>
      <c r="AF238" s="60"/>
      <c r="AG238" s="60"/>
      <c r="AH238" s="60"/>
      <c r="AI238" s="60"/>
      <c r="AJ238" s="60"/>
      <c r="AK238" s="60"/>
      <c r="AL238" s="60"/>
      <c r="AM238" s="59"/>
      <c r="AN238" s="59"/>
      <c r="AO238" s="58"/>
      <c r="AP238" s="57"/>
      <c r="AQ238" s="57"/>
      <c r="AR238" s="57"/>
      <c r="AS238" s="57"/>
    </row>
    <row r="239" spans="1:45" s="56" customFormat="1" ht="15">
      <c r="A239" s="60"/>
      <c r="B239" s="63"/>
      <c r="C239" s="62"/>
      <c r="D239" s="61"/>
      <c r="E239" s="60"/>
      <c r="F239" s="60"/>
      <c r="G239" s="60"/>
      <c r="H239" s="60"/>
      <c r="I239" s="60"/>
      <c r="J239" s="60"/>
      <c r="K239" s="60"/>
      <c r="L239" s="61"/>
      <c r="M239" s="60"/>
      <c r="N239" s="60"/>
      <c r="O239" s="60"/>
      <c r="P239" s="60"/>
      <c r="Q239" s="60"/>
      <c r="R239" s="60"/>
      <c r="S239" s="60"/>
      <c r="T239" s="60"/>
      <c r="U239" s="60"/>
      <c r="V239" s="60"/>
      <c r="W239" s="60"/>
      <c r="X239" s="60"/>
      <c r="Y239" s="60"/>
      <c r="Z239" s="60"/>
      <c r="AA239" s="60"/>
      <c r="AB239" s="60"/>
      <c r="AC239" s="60"/>
      <c r="AD239" s="60"/>
      <c r="AE239" s="60"/>
      <c r="AF239" s="60"/>
      <c r="AG239" s="60"/>
      <c r="AH239" s="60"/>
      <c r="AI239" s="60"/>
      <c r="AJ239" s="60"/>
      <c r="AK239" s="60"/>
      <c r="AL239" s="60"/>
      <c r="AM239" s="59"/>
      <c r="AN239" s="59"/>
      <c r="AO239" s="58"/>
      <c r="AP239" s="57"/>
      <c r="AQ239" s="57"/>
      <c r="AR239" s="57"/>
      <c r="AS239" s="57"/>
    </row>
    <row r="240" spans="1:45" s="56" customFormat="1" ht="15">
      <c r="A240" s="60"/>
      <c r="B240" s="63"/>
      <c r="C240" s="62"/>
      <c r="D240" s="61"/>
      <c r="E240" s="60"/>
      <c r="F240" s="60"/>
      <c r="G240" s="60"/>
      <c r="H240" s="60"/>
      <c r="I240" s="60"/>
      <c r="J240" s="60"/>
      <c r="K240" s="60"/>
      <c r="L240" s="61"/>
      <c r="M240" s="60"/>
      <c r="N240" s="60"/>
      <c r="O240" s="60"/>
      <c r="P240" s="60"/>
      <c r="Q240" s="60"/>
      <c r="R240" s="60"/>
      <c r="S240" s="60"/>
      <c r="T240" s="60"/>
      <c r="U240" s="60"/>
      <c r="V240" s="60"/>
      <c r="W240" s="60"/>
      <c r="X240" s="60"/>
      <c r="Y240" s="60"/>
      <c r="Z240" s="60"/>
      <c r="AA240" s="60"/>
      <c r="AB240" s="60"/>
      <c r="AC240" s="60"/>
      <c r="AD240" s="60"/>
      <c r="AE240" s="60"/>
      <c r="AF240" s="60"/>
      <c r="AG240" s="60"/>
      <c r="AH240" s="60"/>
      <c r="AI240" s="60"/>
      <c r="AJ240" s="60"/>
      <c r="AK240" s="60"/>
      <c r="AL240" s="60"/>
      <c r="AM240" s="59"/>
      <c r="AN240" s="59"/>
      <c r="AO240" s="58"/>
      <c r="AP240" s="57"/>
      <c r="AQ240" s="57"/>
      <c r="AR240" s="57"/>
      <c r="AS240" s="57"/>
    </row>
    <row r="241" spans="1:23" s="40" customFormat="1">
      <c r="A241" s="47"/>
      <c r="B241" s="47"/>
      <c r="C241" s="55"/>
      <c r="D241" s="54" t="s">
        <v>516</v>
      </c>
      <c r="E241" s="53"/>
      <c r="F241" s="52"/>
      <c r="G241" s="52"/>
      <c r="H241" s="52"/>
      <c r="I241" s="52"/>
      <c r="J241" s="52"/>
      <c r="K241" s="52"/>
      <c r="L241" s="51"/>
      <c r="M241" s="51"/>
      <c r="N241" s="51"/>
      <c r="O241" s="52"/>
      <c r="P241" s="52"/>
      <c r="Q241" s="52"/>
      <c r="R241" s="52"/>
      <c r="S241" s="52"/>
      <c r="T241" s="51"/>
      <c r="U241" s="51"/>
      <c r="V241" s="51"/>
      <c r="W241" s="51"/>
    </row>
    <row r="242" spans="1:23" s="40" customFormat="1">
      <c r="A242" s="47"/>
      <c r="B242" s="47"/>
      <c r="C242" s="55"/>
      <c r="D242" s="54" t="s">
        <v>515</v>
      </c>
      <c r="E242" s="53"/>
      <c r="F242" s="52"/>
      <c r="G242" s="52"/>
      <c r="H242" s="52"/>
      <c r="I242" s="52"/>
      <c r="J242" s="52"/>
      <c r="K242" s="52"/>
      <c r="L242" s="51"/>
      <c r="M242" s="51"/>
      <c r="N242" s="51"/>
      <c r="O242" s="52"/>
      <c r="P242" s="52"/>
      <c r="Q242" s="52"/>
      <c r="R242" s="52"/>
      <c r="S242" s="52"/>
      <c r="T242" s="51"/>
      <c r="U242" s="51"/>
      <c r="V242" s="51"/>
      <c r="W242" s="51"/>
    </row>
    <row r="243" spans="1:23" s="40" customFormat="1">
      <c r="A243" s="47"/>
      <c r="B243" s="47"/>
      <c r="C243" s="55"/>
      <c r="D243" s="54" t="s">
        <v>514</v>
      </c>
      <c r="E243" s="53"/>
      <c r="F243" s="52"/>
      <c r="G243" s="52"/>
      <c r="H243" s="52"/>
      <c r="I243" s="52"/>
      <c r="J243" s="52"/>
      <c r="K243" s="52"/>
      <c r="L243" s="51"/>
      <c r="M243" s="51"/>
      <c r="N243" s="51"/>
      <c r="O243" s="52"/>
      <c r="P243" s="52"/>
      <c r="Q243" s="52"/>
      <c r="R243" s="52"/>
      <c r="S243" s="52"/>
      <c r="T243" s="51"/>
      <c r="U243" s="51"/>
      <c r="V243" s="51"/>
      <c r="W243" s="51"/>
    </row>
    <row r="244" spans="1:23" s="40" customFormat="1">
      <c r="A244" s="47"/>
      <c r="B244" s="47"/>
      <c r="C244" s="55"/>
      <c r="D244" s="54" t="s">
        <v>513</v>
      </c>
      <c r="E244" s="53"/>
      <c r="F244" s="52"/>
      <c r="G244" s="52"/>
      <c r="H244" s="52"/>
      <c r="I244" s="52"/>
      <c r="J244" s="52"/>
      <c r="K244" s="52"/>
      <c r="L244" s="51"/>
      <c r="M244" s="51"/>
      <c r="N244" s="51"/>
      <c r="O244" s="52"/>
      <c r="P244" s="52"/>
      <c r="Q244" s="52"/>
      <c r="R244" s="52"/>
      <c r="S244" s="52"/>
      <c r="T244" s="51"/>
      <c r="U244" s="51"/>
      <c r="V244" s="51"/>
      <c r="W244" s="51"/>
    </row>
    <row r="245" spans="1:23" s="40" customFormat="1">
      <c r="A245" s="47"/>
      <c r="B245" s="47"/>
      <c r="C245" s="55"/>
      <c r="D245" s="54" t="s">
        <v>512</v>
      </c>
      <c r="E245" s="53"/>
      <c r="F245" s="52"/>
      <c r="G245" s="52"/>
      <c r="H245" s="52"/>
      <c r="I245" s="52"/>
      <c r="J245" s="52"/>
      <c r="K245" s="52"/>
      <c r="L245" s="51"/>
      <c r="M245" s="51"/>
      <c r="N245" s="51"/>
      <c r="O245" s="52"/>
      <c r="P245" s="52"/>
      <c r="Q245" s="52"/>
      <c r="R245" s="52"/>
      <c r="S245" s="52"/>
      <c r="T245" s="51"/>
      <c r="U245" s="51"/>
      <c r="V245" s="51"/>
      <c r="W245" s="51"/>
    </row>
    <row r="246" spans="1:23" s="40" customFormat="1">
      <c r="A246" s="47"/>
      <c r="B246" s="47"/>
      <c r="C246" s="55"/>
      <c r="D246" s="54" t="s">
        <v>511</v>
      </c>
      <c r="E246" s="53"/>
      <c r="F246" s="52"/>
      <c r="G246" s="52"/>
      <c r="H246" s="52"/>
      <c r="I246" s="52"/>
      <c r="J246" s="52"/>
      <c r="K246" s="52"/>
      <c r="L246" s="51"/>
      <c r="M246" s="51"/>
      <c r="N246" s="51"/>
      <c r="O246" s="52"/>
      <c r="P246" s="52"/>
      <c r="Q246" s="52"/>
      <c r="R246" s="52"/>
      <c r="S246" s="52"/>
      <c r="T246" s="51"/>
      <c r="U246" s="51"/>
      <c r="V246" s="51"/>
      <c r="W246" s="51"/>
    </row>
    <row r="247" spans="1:23" s="40" customFormat="1">
      <c r="A247" s="47"/>
      <c r="B247" s="47"/>
      <c r="C247" s="55"/>
      <c r="D247" s="54" t="s">
        <v>510</v>
      </c>
      <c r="E247" s="53"/>
      <c r="F247" s="52"/>
      <c r="G247" s="52"/>
      <c r="H247" s="52"/>
      <c r="I247" s="52"/>
      <c r="J247" s="52"/>
      <c r="K247" s="52"/>
      <c r="L247" s="51"/>
      <c r="M247" s="51"/>
      <c r="N247" s="51"/>
      <c r="O247" s="52"/>
      <c r="P247" s="52"/>
      <c r="Q247" s="52"/>
      <c r="R247" s="52"/>
      <c r="S247" s="52"/>
      <c r="T247" s="51"/>
      <c r="U247" s="51"/>
      <c r="V247" s="51"/>
      <c r="W247" s="51"/>
    </row>
    <row r="248" spans="1:23" s="40" customFormat="1">
      <c r="A248" s="47"/>
      <c r="B248" s="47"/>
      <c r="C248" s="55"/>
      <c r="D248" s="54" t="s">
        <v>509</v>
      </c>
      <c r="E248" s="53"/>
      <c r="F248" s="52"/>
      <c r="G248" s="52"/>
      <c r="H248" s="52"/>
      <c r="I248" s="52"/>
      <c r="J248" s="52"/>
      <c r="K248" s="52"/>
      <c r="L248" s="51"/>
      <c r="M248" s="51"/>
      <c r="N248" s="51"/>
      <c r="O248" s="52"/>
      <c r="P248" s="52"/>
      <c r="Q248" s="52"/>
      <c r="R248" s="52"/>
      <c r="S248" s="52"/>
      <c r="T248" s="51"/>
      <c r="U248" s="51"/>
      <c r="V248" s="51"/>
      <c r="W248" s="51"/>
    </row>
    <row r="249" spans="1:23" s="40" customFormat="1">
      <c r="A249" s="47"/>
      <c r="B249" s="47"/>
      <c r="C249" s="55"/>
      <c r="D249" s="54" t="s">
        <v>508</v>
      </c>
      <c r="E249" s="53"/>
      <c r="F249" s="52"/>
      <c r="G249" s="52"/>
      <c r="H249" s="52"/>
      <c r="I249" s="52"/>
      <c r="J249" s="52"/>
      <c r="K249" s="52"/>
      <c r="L249" s="51"/>
      <c r="M249" s="51"/>
      <c r="N249" s="51"/>
      <c r="O249" s="52"/>
      <c r="P249" s="52"/>
      <c r="Q249" s="52"/>
      <c r="R249" s="52"/>
      <c r="S249" s="52"/>
      <c r="T249" s="51"/>
      <c r="U249" s="51"/>
      <c r="V249" s="51"/>
      <c r="W249" s="51"/>
    </row>
    <row r="250" spans="1:23" s="40" customFormat="1">
      <c r="A250" s="47"/>
      <c r="B250" s="47"/>
      <c r="C250" s="55"/>
      <c r="D250" s="54" t="s">
        <v>507</v>
      </c>
      <c r="E250" s="53"/>
      <c r="F250" s="52"/>
      <c r="G250" s="52"/>
      <c r="H250" s="52"/>
      <c r="I250" s="52"/>
      <c r="J250" s="52"/>
      <c r="K250" s="52"/>
      <c r="L250" s="51"/>
      <c r="M250" s="51"/>
      <c r="N250" s="51"/>
      <c r="O250" s="52"/>
      <c r="P250" s="52"/>
      <c r="Q250" s="52"/>
      <c r="R250" s="52"/>
      <c r="S250" s="52"/>
      <c r="T250" s="51"/>
      <c r="U250" s="51"/>
      <c r="V250" s="51"/>
      <c r="W250" s="51"/>
    </row>
    <row r="251" spans="1:23" s="40" customFormat="1">
      <c r="A251" s="47"/>
      <c r="B251" s="47"/>
      <c r="C251" s="55"/>
      <c r="D251" s="54" t="s">
        <v>506</v>
      </c>
      <c r="E251" s="53"/>
      <c r="F251" s="52"/>
      <c r="G251" s="52"/>
      <c r="H251" s="52"/>
      <c r="I251" s="52"/>
      <c r="J251" s="52"/>
      <c r="K251" s="52"/>
      <c r="L251" s="51"/>
      <c r="M251" s="51"/>
      <c r="N251" s="51"/>
      <c r="O251" s="52"/>
      <c r="P251" s="52"/>
      <c r="Q251" s="52"/>
      <c r="R251" s="52"/>
      <c r="S251" s="52"/>
      <c r="T251" s="51"/>
      <c r="U251" s="51"/>
      <c r="V251" s="51"/>
      <c r="W251" s="51"/>
    </row>
    <row r="252" spans="1:23" s="40" customFormat="1">
      <c r="A252" s="47"/>
      <c r="B252" s="47"/>
      <c r="C252" s="55"/>
      <c r="D252" s="54" t="s">
        <v>505</v>
      </c>
      <c r="E252" s="53"/>
      <c r="F252" s="52"/>
      <c r="G252" s="52"/>
      <c r="H252" s="52"/>
      <c r="I252" s="52"/>
      <c r="J252" s="52"/>
      <c r="K252" s="52"/>
      <c r="L252" s="51"/>
      <c r="M252" s="51"/>
      <c r="N252" s="51"/>
      <c r="O252" s="52"/>
      <c r="P252" s="52"/>
      <c r="Q252" s="52"/>
      <c r="R252" s="52"/>
      <c r="S252" s="52"/>
      <c r="T252" s="51"/>
      <c r="U252" s="51"/>
      <c r="V252" s="51"/>
      <c r="W252" s="51"/>
    </row>
    <row r="253" spans="1:23" s="40" customFormat="1">
      <c r="A253" s="47"/>
      <c r="B253" s="47"/>
      <c r="C253" s="55"/>
      <c r="D253" s="54" t="s">
        <v>504</v>
      </c>
      <c r="E253" s="53"/>
      <c r="F253" s="52"/>
      <c r="G253" s="52"/>
      <c r="H253" s="52"/>
      <c r="I253" s="52"/>
      <c r="J253" s="52"/>
      <c r="K253" s="52"/>
      <c r="L253" s="51"/>
      <c r="M253" s="51"/>
      <c r="N253" s="51"/>
      <c r="O253" s="52"/>
      <c r="P253" s="52"/>
      <c r="Q253" s="52"/>
      <c r="R253" s="52"/>
      <c r="S253" s="52"/>
      <c r="T253" s="51"/>
      <c r="U253" s="51"/>
      <c r="V253" s="51"/>
      <c r="W253" s="51"/>
    </row>
    <row r="254" spans="1:23" s="40" customFormat="1">
      <c r="A254" s="47"/>
      <c r="B254" s="47"/>
      <c r="C254" s="55"/>
      <c r="D254" s="54" t="s">
        <v>503</v>
      </c>
      <c r="E254" s="53"/>
      <c r="F254" s="52"/>
      <c r="G254" s="52"/>
      <c r="H254" s="52"/>
      <c r="I254" s="52"/>
      <c r="J254" s="52"/>
      <c r="K254" s="52"/>
      <c r="L254" s="51"/>
      <c r="M254" s="51"/>
      <c r="N254" s="51"/>
      <c r="O254" s="52"/>
      <c r="P254" s="52"/>
      <c r="Q254" s="52"/>
      <c r="R254" s="52"/>
      <c r="S254" s="52"/>
      <c r="T254" s="51"/>
      <c r="U254" s="51"/>
      <c r="V254" s="51"/>
      <c r="W254" s="51"/>
    </row>
    <row r="255" spans="1:23" s="40" customFormat="1">
      <c r="A255" s="47"/>
      <c r="B255" s="47"/>
      <c r="C255" s="55"/>
      <c r="D255" s="54" t="s">
        <v>502</v>
      </c>
      <c r="E255" s="53"/>
      <c r="F255" s="52"/>
      <c r="G255" s="52"/>
      <c r="H255" s="52"/>
      <c r="I255" s="52"/>
      <c r="J255" s="52"/>
      <c r="K255" s="52"/>
      <c r="L255" s="51"/>
      <c r="M255" s="51"/>
      <c r="N255" s="51"/>
      <c r="O255" s="52"/>
      <c r="P255" s="52"/>
      <c r="Q255" s="52"/>
      <c r="R255" s="52"/>
      <c r="S255" s="52"/>
      <c r="T255" s="51"/>
      <c r="U255" s="51"/>
      <c r="V255" s="51"/>
      <c r="W255" s="51"/>
    </row>
    <row r="256" spans="1:23" s="40" customFormat="1">
      <c r="A256" s="47"/>
      <c r="B256" s="47"/>
      <c r="C256" s="55"/>
      <c r="D256" s="54" t="s">
        <v>501</v>
      </c>
      <c r="E256" s="53"/>
      <c r="F256" s="52"/>
      <c r="G256" s="52"/>
      <c r="H256" s="52"/>
      <c r="I256" s="52"/>
      <c r="J256" s="52"/>
      <c r="K256" s="52"/>
      <c r="L256" s="51"/>
      <c r="M256" s="51"/>
      <c r="N256" s="51"/>
      <c r="O256" s="52"/>
      <c r="P256" s="52"/>
      <c r="Q256" s="52"/>
      <c r="R256" s="52"/>
      <c r="S256" s="52"/>
      <c r="T256" s="51"/>
      <c r="U256" s="51"/>
      <c r="V256" s="51"/>
      <c r="W256" s="51"/>
    </row>
    <row r="257" spans="1:23" s="40" customFormat="1">
      <c r="A257" s="47"/>
      <c r="B257" s="47"/>
      <c r="C257" s="55"/>
      <c r="D257" s="54" t="s">
        <v>500</v>
      </c>
      <c r="E257" s="53"/>
      <c r="F257" s="52"/>
      <c r="G257" s="52"/>
      <c r="H257" s="52"/>
      <c r="I257" s="52"/>
      <c r="J257" s="52"/>
      <c r="K257" s="52"/>
      <c r="L257" s="51"/>
      <c r="M257" s="51"/>
      <c r="N257" s="51"/>
      <c r="O257" s="52"/>
      <c r="P257" s="52"/>
      <c r="Q257" s="52"/>
      <c r="R257" s="52"/>
      <c r="S257" s="52"/>
      <c r="T257" s="51"/>
      <c r="U257" s="51"/>
      <c r="V257" s="51"/>
      <c r="W257" s="51"/>
    </row>
    <row r="258" spans="1:23" s="40" customFormat="1">
      <c r="A258" s="47"/>
      <c r="B258" s="47"/>
      <c r="C258" s="55"/>
      <c r="D258" s="54" t="s">
        <v>499</v>
      </c>
      <c r="E258" s="53"/>
      <c r="F258" s="52"/>
      <c r="G258" s="52"/>
      <c r="H258" s="52"/>
      <c r="I258" s="52"/>
      <c r="J258" s="52"/>
      <c r="K258" s="52"/>
      <c r="L258" s="51"/>
      <c r="M258" s="51"/>
      <c r="N258" s="51"/>
      <c r="O258" s="52"/>
      <c r="P258" s="52"/>
      <c r="Q258" s="52"/>
      <c r="R258" s="52"/>
      <c r="S258" s="52"/>
      <c r="T258" s="51"/>
      <c r="U258" s="51"/>
      <c r="V258" s="51"/>
      <c r="W258" s="51"/>
    </row>
    <row r="259" spans="1:23" s="40" customFormat="1">
      <c r="A259" s="47"/>
      <c r="B259" s="47"/>
      <c r="C259" s="55"/>
      <c r="D259" s="54"/>
      <c r="E259" s="53"/>
      <c r="F259" s="52"/>
      <c r="G259" s="52"/>
      <c r="H259" s="52"/>
      <c r="I259" s="52"/>
      <c r="J259" s="52"/>
      <c r="K259" s="52"/>
      <c r="L259" s="51"/>
      <c r="M259" s="51"/>
      <c r="N259" s="51"/>
      <c r="O259" s="52"/>
      <c r="P259" s="52"/>
      <c r="Q259" s="52"/>
      <c r="R259" s="52"/>
      <c r="S259" s="52"/>
      <c r="T259" s="51"/>
      <c r="U259" s="51"/>
      <c r="V259" s="51"/>
      <c r="W259" s="51"/>
    </row>
    <row r="260" spans="1:23" s="40" customFormat="1">
      <c r="A260" s="47"/>
      <c r="B260" s="47"/>
      <c r="C260" s="50"/>
      <c r="D260" s="49"/>
      <c r="E260" s="48"/>
      <c r="F260" s="47"/>
      <c r="G260" s="47"/>
      <c r="H260" s="47"/>
      <c r="I260" s="47"/>
      <c r="J260" s="47"/>
      <c r="K260" s="47"/>
      <c r="L260" s="41"/>
      <c r="M260" s="41"/>
      <c r="N260" s="41"/>
      <c r="O260" s="41"/>
      <c r="P260" s="41"/>
      <c r="Q260" s="41"/>
      <c r="R260" s="41"/>
      <c r="S260" s="41"/>
      <c r="T260" s="41"/>
      <c r="U260" s="41"/>
      <c r="V260" s="41"/>
      <c r="W260" s="41"/>
    </row>
    <row r="261" spans="1:23" s="40" customFormat="1">
      <c r="A261" s="41"/>
      <c r="B261" s="41"/>
      <c r="C261" s="42"/>
      <c r="D261" s="46"/>
      <c r="E261" s="45"/>
      <c r="F261" s="41"/>
      <c r="G261" s="41"/>
      <c r="H261" s="41"/>
      <c r="I261" s="41"/>
      <c r="J261" s="41"/>
      <c r="K261" s="41"/>
      <c r="L261" s="41"/>
      <c r="M261" s="41"/>
      <c r="N261" s="41"/>
      <c r="O261" s="41"/>
      <c r="P261" s="41"/>
      <c r="Q261" s="41"/>
      <c r="R261" s="41"/>
      <c r="S261" s="41"/>
      <c r="T261" s="41"/>
      <c r="U261" s="41"/>
      <c r="V261" s="41"/>
      <c r="W261" s="41"/>
    </row>
    <row r="262" spans="1:23" s="40" customFormat="1">
      <c r="A262" s="41"/>
      <c r="B262" s="41"/>
      <c r="C262" s="42"/>
      <c r="D262" s="46"/>
      <c r="E262" s="45"/>
      <c r="F262" s="41"/>
      <c r="G262" s="41"/>
      <c r="H262" s="41"/>
      <c r="I262" s="41"/>
      <c r="J262" s="41"/>
      <c r="K262" s="41"/>
      <c r="L262" s="41"/>
      <c r="M262" s="41"/>
      <c r="N262" s="41"/>
      <c r="O262" s="41"/>
      <c r="P262" s="41"/>
      <c r="Q262" s="41"/>
      <c r="R262" s="41"/>
      <c r="S262" s="41"/>
      <c r="T262" s="41"/>
      <c r="U262" s="41"/>
      <c r="V262" s="41"/>
      <c r="W262" s="41"/>
    </row>
    <row r="263" spans="1:23" s="40" customFormat="1">
      <c r="A263" s="41"/>
      <c r="B263" s="41"/>
      <c r="C263" s="42"/>
      <c r="D263" s="46"/>
      <c r="E263" s="45"/>
      <c r="F263" s="41"/>
      <c r="G263" s="41"/>
      <c r="H263" s="41"/>
      <c r="I263" s="41"/>
      <c r="J263" s="41"/>
      <c r="K263" s="41"/>
      <c r="L263" s="41"/>
      <c r="M263" s="41"/>
      <c r="N263" s="41"/>
      <c r="O263" s="41"/>
      <c r="P263" s="41"/>
      <c r="Q263" s="41"/>
      <c r="R263" s="41"/>
      <c r="S263" s="41"/>
      <c r="T263" s="41"/>
      <c r="U263" s="41"/>
      <c r="V263" s="41"/>
      <c r="W263" s="41"/>
    </row>
  </sheetData>
  <sheetProtection password="EEC9" sheet="1" objects="1" scenarios="1"/>
  <mergeCells count="163">
    <mergeCell ref="G168:H168"/>
    <mergeCell ref="I168:J168"/>
    <mergeCell ref="K168:L168"/>
    <mergeCell ref="D214:E214"/>
    <mergeCell ref="G169:H169"/>
    <mergeCell ref="I169:J169"/>
    <mergeCell ref="K169:L169"/>
    <mergeCell ref="G170:H170"/>
    <mergeCell ref="I170:J170"/>
    <mergeCell ref="K170:L170"/>
    <mergeCell ref="G165:H165"/>
    <mergeCell ref="I165:J165"/>
    <mergeCell ref="K165:L165"/>
    <mergeCell ref="G166:H166"/>
    <mergeCell ref="I166:J166"/>
    <mergeCell ref="K166:L166"/>
    <mergeCell ref="G167:H167"/>
    <mergeCell ref="I167:J167"/>
    <mergeCell ref="K167:L167"/>
    <mergeCell ref="G162:H162"/>
    <mergeCell ref="I162:J162"/>
    <mergeCell ref="K162:L162"/>
    <mergeCell ref="G163:H163"/>
    <mergeCell ref="I163:J163"/>
    <mergeCell ref="K163:L163"/>
    <mergeCell ref="G164:H164"/>
    <mergeCell ref="I164:J164"/>
    <mergeCell ref="K164:L164"/>
    <mergeCell ref="G159:H159"/>
    <mergeCell ref="I159:J159"/>
    <mergeCell ref="K159:L159"/>
    <mergeCell ref="G160:H160"/>
    <mergeCell ref="I160:J160"/>
    <mergeCell ref="K160:L160"/>
    <mergeCell ref="G161:H161"/>
    <mergeCell ref="I161:J161"/>
    <mergeCell ref="K161:L161"/>
    <mergeCell ref="G156:H156"/>
    <mergeCell ref="I156:J156"/>
    <mergeCell ref="K156:L156"/>
    <mergeCell ref="G157:H157"/>
    <mergeCell ref="I157:J157"/>
    <mergeCell ref="K157:L157"/>
    <mergeCell ref="G158:H158"/>
    <mergeCell ref="I158:J158"/>
    <mergeCell ref="K158:L158"/>
    <mergeCell ref="I154:J154"/>
    <mergeCell ref="K154:L154"/>
    <mergeCell ref="K146:L146"/>
    <mergeCell ref="K142:L142"/>
    <mergeCell ref="K150:L150"/>
    <mergeCell ref="K145:L145"/>
    <mergeCell ref="K143:L143"/>
    <mergeCell ref="K149:L149"/>
    <mergeCell ref="G155:H155"/>
    <mergeCell ref="I155:J155"/>
    <mergeCell ref="K155:L155"/>
    <mergeCell ref="G152:H152"/>
    <mergeCell ref="I152:J152"/>
    <mergeCell ref="K152:L152"/>
    <mergeCell ref="G153:H153"/>
    <mergeCell ref="I153:J153"/>
    <mergeCell ref="K153:L153"/>
    <mergeCell ref="G154:H154"/>
    <mergeCell ref="G151:H151"/>
    <mergeCell ref="I151:J151"/>
    <mergeCell ref="K151:L151"/>
    <mergeCell ref="I148:J148"/>
    <mergeCell ref="K148:L148"/>
    <mergeCell ref="G149:H149"/>
    <mergeCell ref="K147:L147"/>
    <mergeCell ref="G147:H147"/>
    <mergeCell ref="G150:H150"/>
    <mergeCell ref="I150:J150"/>
    <mergeCell ref="K140:L140"/>
    <mergeCell ref="C96:C99"/>
    <mergeCell ref="I140:J140"/>
    <mergeCell ref="K144:L144"/>
    <mergeCell ref="G146:H146"/>
    <mergeCell ref="I146:J146"/>
    <mergeCell ref="A74:A83"/>
    <mergeCell ref="A84:A90"/>
    <mergeCell ref="G143:H143"/>
    <mergeCell ref="I143:J143"/>
    <mergeCell ref="I145:J145"/>
    <mergeCell ref="G144:H144"/>
    <mergeCell ref="I144:J144"/>
    <mergeCell ref="G145:H145"/>
    <mergeCell ref="I149:J149"/>
    <mergeCell ref="G148:H148"/>
    <mergeCell ref="I147:J147"/>
    <mergeCell ref="A1:D3"/>
    <mergeCell ref="E1:W1"/>
    <mergeCell ref="E2:W2"/>
    <mergeCell ref="E3:M3"/>
    <mergeCell ref="O3:W3"/>
    <mergeCell ref="E7:E9"/>
    <mergeCell ref="C7:C9"/>
    <mergeCell ref="B32:C32"/>
    <mergeCell ref="I142:J142"/>
    <mergeCell ref="B84:B90"/>
    <mergeCell ref="C92:D92"/>
    <mergeCell ref="C94:E94"/>
    <mergeCell ref="G142:H142"/>
    <mergeCell ref="I141:J141"/>
    <mergeCell ref="B74:B83"/>
    <mergeCell ref="W5:W6"/>
    <mergeCell ref="A6:D6"/>
    <mergeCell ref="E6:R6"/>
    <mergeCell ref="H8:J8"/>
    <mergeCell ref="A4:D4"/>
    <mergeCell ref="E4:W4"/>
    <mergeCell ref="A5:D5"/>
    <mergeCell ref="E5:R5"/>
    <mergeCell ref="S5:V6"/>
    <mergeCell ref="A33:A50"/>
    <mergeCell ref="B33:B50"/>
    <mergeCell ref="AP60:AS63"/>
    <mergeCell ref="AN52:AO52"/>
    <mergeCell ref="AN53:AO53"/>
    <mergeCell ref="AN54:AO54"/>
    <mergeCell ref="AA8:AA9"/>
    <mergeCell ref="G7:G9"/>
    <mergeCell ref="T8:V8"/>
    <mergeCell ref="Q8:S8"/>
    <mergeCell ref="H7:V7"/>
    <mergeCell ref="D7:D9"/>
    <mergeCell ref="K8:M8"/>
    <mergeCell ref="F7:F9"/>
    <mergeCell ref="N8:P8"/>
    <mergeCell ref="W7:W9"/>
    <mergeCell ref="AN51:AO51"/>
    <mergeCell ref="B17:C17"/>
    <mergeCell ref="A18:A27"/>
    <mergeCell ref="B18:B27"/>
    <mergeCell ref="B10:C10"/>
    <mergeCell ref="A11:A14"/>
    <mergeCell ref="A51:A73"/>
    <mergeCell ref="B51:B73"/>
    <mergeCell ref="A29:A31"/>
    <mergeCell ref="B29:B31"/>
    <mergeCell ref="B28:C28"/>
    <mergeCell ref="B15:B16"/>
    <mergeCell ref="AI7:AK7"/>
    <mergeCell ref="AL7:AN7"/>
    <mergeCell ref="AN8:AN9"/>
    <mergeCell ref="AL8:AM8"/>
    <mergeCell ref="AI8:AJ8"/>
    <mergeCell ref="AK8:AK9"/>
    <mergeCell ref="AF7:AH7"/>
    <mergeCell ref="AF8:AG8"/>
    <mergeCell ref="AH8:AH9"/>
    <mergeCell ref="B11:B14"/>
    <mergeCell ref="A15:A16"/>
    <mergeCell ref="X8:X9"/>
    <mergeCell ref="Y8:Z8"/>
    <mergeCell ref="AB7:AB9"/>
    <mergeCell ref="AC8:AD8"/>
    <mergeCell ref="AE8:AE9"/>
    <mergeCell ref="X7:AA7"/>
    <mergeCell ref="AC7:AE7"/>
    <mergeCell ref="A7:A9"/>
    <mergeCell ref="B7:B9"/>
  </mergeCells>
  <conditionalFormatting sqref="P10:P90 S10:S90 M10:M90 J10:J90 J95 V10:V90">
    <cfRule type="cellIs" dxfId="2" priority="1" stopIfTrue="1" operator="equal">
      <formula>0</formula>
    </cfRule>
    <cfRule type="cellIs" dxfId="1" priority="2" stopIfTrue="1" operator="greaterThan">
      <formula>1</formula>
    </cfRule>
    <cfRule type="cellIs" dxfId="0" priority="3" stopIfTrue="1" operator="between">
      <formula>0.9</formula>
      <formula>1</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2"/>
  <sheetViews>
    <sheetView zoomScale="90" zoomScaleNormal="90" workbookViewId="0">
      <pane xSplit="2" ySplit="1" topLeftCell="C2" activePane="bottomRight" state="frozen"/>
      <selection pane="topRight" activeCell="C1" sqref="C1"/>
      <selection pane="bottomLeft" activeCell="A2" sqref="A2"/>
      <selection pane="bottomRight" activeCell="C2" sqref="C2"/>
    </sheetView>
  </sheetViews>
  <sheetFormatPr baseColWidth="10" defaultRowHeight="15"/>
  <cols>
    <col min="1" max="1" width="6.85546875" style="37" customWidth="1"/>
    <col min="2" max="2" width="24.28515625" style="37" hidden="1" customWidth="1"/>
    <col min="3" max="3" width="8.42578125" style="37" customWidth="1"/>
    <col min="4" max="4" width="11.42578125" style="37"/>
    <col min="5" max="5" width="55.7109375" style="37" customWidth="1"/>
    <col min="6" max="6" width="7.140625" style="37" customWidth="1"/>
    <col min="7" max="7" width="15" style="37" customWidth="1"/>
    <col min="8" max="8" width="15.7109375" style="37" customWidth="1"/>
    <col min="9" max="9" width="18" style="37" customWidth="1"/>
    <col min="10" max="16384" width="11.42578125" style="37"/>
  </cols>
  <sheetData>
    <row r="1" spans="1:9" s="1355" customFormat="1" ht="12.75">
      <c r="A1" s="1353" t="s">
        <v>2460</v>
      </c>
      <c r="B1" s="1353" t="s">
        <v>254</v>
      </c>
      <c r="C1" s="1353" t="s">
        <v>255</v>
      </c>
      <c r="D1" s="1353" t="s">
        <v>256</v>
      </c>
      <c r="E1" s="1353" t="s">
        <v>257</v>
      </c>
      <c r="F1" s="1353" t="s">
        <v>258</v>
      </c>
      <c r="G1" s="1353" t="s">
        <v>259</v>
      </c>
      <c r="H1" s="1353" t="s">
        <v>260</v>
      </c>
      <c r="I1" s="1354" t="s">
        <v>2461</v>
      </c>
    </row>
    <row r="2" spans="1:9">
      <c r="A2" s="36">
        <v>94</v>
      </c>
      <c r="B2" s="36" t="s">
        <v>261</v>
      </c>
      <c r="C2" s="36">
        <v>972</v>
      </c>
      <c r="D2" s="36" t="s">
        <v>262</v>
      </c>
      <c r="E2" s="36" t="s">
        <v>263</v>
      </c>
      <c r="F2" s="36">
        <v>100</v>
      </c>
      <c r="G2" s="36" t="s">
        <v>264</v>
      </c>
      <c r="H2" s="36" t="s">
        <v>265</v>
      </c>
      <c r="I2" s="1352"/>
    </row>
    <row r="3" spans="1:9">
      <c r="A3" s="36">
        <v>103</v>
      </c>
      <c r="B3" s="36" t="s">
        <v>266</v>
      </c>
      <c r="C3" s="36">
        <v>1124</v>
      </c>
      <c r="D3" s="36" t="s">
        <v>267</v>
      </c>
      <c r="E3" s="36" t="s">
        <v>268</v>
      </c>
      <c r="F3" s="36">
        <v>100</v>
      </c>
      <c r="G3" s="36" t="s">
        <v>269</v>
      </c>
      <c r="H3" s="36" t="s">
        <v>270</v>
      </c>
      <c r="I3" s="1352"/>
    </row>
    <row r="4" spans="1:9" ht="15.95" customHeight="1">
      <c r="A4" s="36">
        <v>103</v>
      </c>
      <c r="B4" s="36" t="s">
        <v>266</v>
      </c>
      <c r="C4" s="36">
        <v>1125</v>
      </c>
      <c r="D4" s="36" t="s">
        <v>267</v>
      </c>
      <c r="E4" s="36" t="s">
        <v>271</v>
      </c>
      <c r="F4" s="36">
        <v>100</v>
      </c>
      <c r="G4" s="36" t="s">
        <v>269</v>
      </c>
      <c r="H4" s="36" t="s">
        <v>272</v>
      </c>
      <c r="I4" s="1352"/>
    </row>
    <row r="5" spans="1:9" ht="15.95" customHeight="1">
      <c r="A5" s="36">
        <v>103</v>
      </c>
      <c r="B5" s="36" t="s">
        <v>266</v>
      </c>
      <c r="C5" s="36">
        <v>1125</v>
      </c>
      <c r="D5" s="36" t="s">
        <v>267</v>
      </c>
      <c r="E5" s="38" t="s">
        <v>273</v>
      </c>
      <c r="F5" s="36">
        <v>100</v>
      </c>
      <c r="G5" s="36" t="s">
        <v>269</v>
      </c>
      <c r="H5" s="36" t="s">
        <v>272</v>
      </c>
      <c r="I5" s="1352"/>
    </row>
    <row r="6" spans="1:9">
      <c r="A6" s="36">
        <v>103</v>
      </c>
      <c r="B6" s="36" t="s">
        <v>266</v>
      </c>
      <c r="C6" s="36">
        <v>1127</v>
      </c>
      <c r="D6" s="36" t="s">
        <v>274</v>
      </c>
      <c r="E6" s="36" t="s">
        <v>275</v>
      </c>
      <c r="F6" s="36">
        <v>100</v>
      </c>
      <c r="G6" s="36" t="s">
        <v>269</v>
      </c>
      <c r="H6" s="36" t="s">
        <v>276</v>
      </c>
      <c r="I6" s="1352"/>
    </row>
    <row r="7" spans="1:9">
      <c r="A7" s="36">
        <v>103</v>
      </c>
      <c r="B7" s="36" t="s">
        <v>266</v>
      </c>
      <c r="C7" s="36">
        <v>1128</v>
      </c>
      <c r="D7" s="36" t="s">
        <v>277</v>
      </c>
      <c r="E7" s="36" t="s">
        <v>278</v>
      </c>
      <c r="F7" s="36">
        <v>100</v>
      </c>
      <c r="G7" s="36" t="s">
        <v>269</v>
      </c>
      <c r="H7" s="36" t="s">
        <v>272</v>
      </c>
      <c r="I7" s="1352"/>
    </row>
    <row r="8" spans="1:9">
      <c r="A8" s="36">
        <v>103</v>
      </c>
      <c r="B8" s="36" t="s">
        <v>266</v>
      </c>
      <c r="C8" s="36">
        <v>1129</v>
      </c>
      <c r="D8" s="36" t="s">
        <v>267</v>
      </c>
      <c r="E8" s="36" t="s">
        <v>279</v>
      </c>
      <c r="F8" s="36">
        <v>100</v>
      </c>
      <c r="G8" s="36" t="s">
        <v>269</v>
      </c>
      <c r="H8" s="36" t="s">
        <v>272</v>
      </c>
      <c r="I8" s="1352"/>
    </row>
    <row r="9" spans="1:9" ht="15.95" customHeight="1">
      <c r="A9" s="36">
        <v>103</v>
      </c>
      <c r="B9" s="36" t="s">
        <v>266</v>
      </c>
      <c r="C9" s="36">
        <v>1130</v>
      </c>
      <c r="D9" s="36" t="s">
        <v>267</v>
      </c>
      <c r="E9" s="38" t="s">
        <v>280</v>
      </c>
      <c r="F9" s="36">
        <v>100</v>
      </c>
      <c r="G9" s="36" t="s">
        <v>269</v>
      </c>
      <c r="H9" s="36" t="s">
        <v>272</v>
      </c>
      <c r="I9" s="1352"/>
    </row>
    <row r="10" spans="1:9" ht="15.95" customHeight="1">
      <c r="A10" s="36">
        <v>103</v>
      </c>
      <c r="B10" s="36" t="s">
        <v>266</v>
      </c>
      <c r="C10" s="36">
        <v>1131</v>
      </c>
      <c r="D10" s="36" t="s">
        <v>267</v>
      </c>
      <c r="E10" s="38" t="s">
        <v>281</v>
      </c>
      <c r="F10" s="36">
        <v>100</v>
      </c>
      <c r="G10" s="36" t="s">
        <v>269</v>
      </c>
      <c r="H10" s="36" t="s">
        <v>272</v>
      </c>
      <c r="I10" s="1352"/>
    </row>
    <row r="11" spans="1:9" ht="15.95" customHeight="1">
      <c r="A11" s="36">
        <v>103</v>
      </c>
      <c r="B11" s="36" t="s">
        <v>266</v>
      </c>
      <c r="C11" s="36">
        <v>1132</v>
      </c>
      <c r="D11" s="36" t="s">
        <v>274</v>
      </c>
      <c r="E11" s="38" t="s">
        <v>282</v>
      </c>
      <c r="F11" s="36">
        <v>100</v>
      </c>
      <c r="G11" s="36" t="s">
        <v>269</v>
      </c>
      <c r="H11" s="36" t="s">
        <v>276</v>
      </c>
      <c r="I11" s="1352"/>
    </row>
    <row r="12" spans="1:9" ht="15.95" customHeight="1">
      <c r="A12" s="36">
        <v>103</v>
      </c>
      <c r="B12" s="36" t="s">
        <v>266</v>
      </c>
      <c r="C12" s="36">
        <v>1133</v>
      </c>
      <c r="D12" s="36" t="s">
        <v>267</v>
      </c>
      <c r="E12" s="38" t="s">
        <v>283</v>
      </c>
      <c r="F12" s="36">
        <v>100</v>
      </c>
      <c r="G12" s="36" t="s">
        <v>269</v>
      </c>
      <c r="H12" s="36" t="s">
        <v>272</v>
      </c>
      <c r="I12" s="1352"/>
    </row>
    <row r="13" spans="1:9">
      <c r="A13" s="36">
        <v>103</v>
      </c>
      <c r="B13" s="36" t="s">
        <v>266</v>
      </c>
      <c r="C13" s="36">
        <v>1134</v>
      </c>
      <c r="D13" s="36" t="s">
        <v>267</v>
      </c>
      <c r="E13" s="36" t="s">
        <v>284</v>
      </c>
      <c r="F13" s="36">
        <v>100</v>
      </c>
      <c r="G13" s="36" t="s">
        <v>269</v>
      </c>
      <c r="H13" s="36" t="s">
        <v>272</v>
      </c>
      <c r="I13" s="1352"/>
    </row>
    <row r="14" spans="1:9">
      <c r="A14" s="36">
        <v>103</v>
      </c>
      <c r="B14" s="36" t="s">
        <v>266</v>
      </c>
      <c r="C14" s="36">
        <v>1135</v>
      </c>
      <c r="D14" s="36" t="s">
        <v>267</v>
      </c>
      <c r="E14" s="36" t="s">
        <v>285</v>
      </c>
      <c r="F14" s="36">
        <v>100</v>
      </c>
      <c r="G14" s="36" t="s">
        <v>269</v>
      </c>
      <c r="H14" s="36" t="s">
        <v>270</v>
      </c>
      <c r="I14" s="1352"/>
    </row>
    <row r="15" spans="1:9">
      <c r="A15" s="36">
        <v>103</v>
      </c>
      <c r="B15" s="36" t="s">
        <v>266</v>
      </c>
      <c r="C15" s="36">
        <v>1136</v>
      </c>
      <c r="D15" s="36" t="s">
        <v>267</v>
      </c>
      <c r="E15" s="36" t="s">
        <v>286</v>
      </c>
      <c r="F15" s="36">
        <v>100</v>
      </c>
      <c r="G15" s="36" t="s">
        <v>269</v>
      </c>
      <c r="H15" s="36" t="s">
        <v>270</v>
      </c>
      <c r="I15" s="1352"/>
    </row>
    <row r="16" spans="1:9">
      <c r="A16" s="36">
        <v>163</v>
      </c>
      <c r="B16" s="36" t="s">
        <v>287</v>
      </c>
      <c r="C16" s="36">
        <v>2247</v>
      </c>
      <c r="D16" s="36" t="s">
        <v>274</v>
      </c>
      <c r="E16" s="36" t="s">
        <v>288</v>
      </c>
      <c r="F16" s="36">
        <v>100</v>
      </c>
      <c r="G16" s="36" t="s">
        <v>289</v>
      </c>
      <c r="H16" s="36" t="s">
        <v>265</v>
      </c>
      <c r="I16" s="1352"/>
    </row>
    <row r="17" spans="1:9">
      <c r="A17" s="36">
        <v>163</v>
      </c>
      <c r="B17" s="36" t="s">
        <v>287</v>
      </c>
      <c r="C17" s="36">
        <v>2248</v>
      </c>
      <c r="D17" s="36" t="s">
        <v>274</v>
      </c>
      <c r="E17" s="36" t="s">
        <v>290</v>
      </c>
      <c r="F17" s="36">
        <v>100</v>
      </c>
      <c r="G17" s="36" t="s">
        <v>289</v>
      </c>
      <c r="H17" s="36" t="s">
        <v>291</v>
      </c>
      <c r="I17" s="1352"/>
    </row>
    <row r="18" spans="1:9" ht="15.95" customHeight="1">
      <c r="A18" s="36">
        <v>163</v>
      </c>
      <c r="B18" s="36" t="s">
        <v>287</v>
      </c>
      <c r="C18" s="36">
        <v>2249</v>
      </c>
      <c r="D18" s="36" t="s">
        <v>292</v>
      </c>
      <c r="E18" s="38" t="s">
        <v>293</v>
      </c>
      <c r="F18" s="36">
        <v>100</v>
      </c>
      <c r="G18" s="36" t="s">
        <v>289</v>
      </c>
      <c r="H18" s="36" t="s">
        <v>294</v>
      </c>
      <c r="I18" s="1352"/>
    </row>
    <row r="19" spans="1:9">
      <c r="A19" s="36">
        <v>163</v>
      </c>
      <c r="B19" s="36" t="s">
        <v>287</v>
      </c>
      <c r="C19" s="36">
        <v>2250</v>
      </c>
      <c r="D19" s="36" t="s">
        <v>277</v>
      </c>
      <c r="E19" s="36" t="s">
        <v>295</v>
      </c>
      <c r="F19" s="36">
        <v>100</v>
      </c>
      <c r="G19" s="36" t="s">
        <v>296</v>
      </c>
      <c r="H19" s="36" t="s">
        <v>297</v>
      </c>
      <c r="I19" s="1352"/>
    </row>
    <row r="20" spans="1:9">
      <c r="A20" s="36">
        <v>163</v>
      </c>
      <c r="B20" s="36" t="s">
        <v>287</v>
      </c>
      <c r="C20" s="36">
        <v>2251</v>
      </c>
      <c r="D20" s="36" t="s">
        <v>277</v>
      </c>
      <c r="E20" s="36" t="s">
        <v>298</v>
      </c>
      <c r="F20" s="36">
        <v>100</v>
      </c>
      <c r="G20" s="36" t="s">
        <v>299</v>
      </c>
      <c r="H20" s="36" t="s">
        <v>297</v>
      </c>
      <c r="I20" s="1352"/>
    </row>
    <row r="21" spans="1:9">
      <c r="A21" s="36">
        <v>163</v>
      </c>
      <c r="B21" s="36" t="s">
        <v>287</v>
      </c>
      <c r="C21" s="36">
        <v>2252</v>
      </c>
      <c r="D21" s="36" t="s">
        <v>300</v>
      </c>
      <c r="E21" s="36" t="s">
        <v>301</v>
      </c>
      <c r="F21" s="36">
        <v>100</v>
      </c>
      <c r="G21" s="36" t="s">
        <v>302</v>
      </c>
      <c r="H21" s="36" t="s">
        <v>265</v>
      </c>
      <c r="I21" s="1352"/>
    </row>
    <row r="22" spans="1:9">
      <c r="A22" s="36">
        <v>163</v>
      </c>
      <c r="B22" s="36" t="s">
        <v>287</v>
      </c>
      <c r="C22" s="36">
        <v>2253</v>
      </c>
      <c r="D22" s="36" t="s">
        <v>300</v>
      </c>
      <c r="E22" s="36" t="s">
        <v>303</v>
      </c>
      <c r="F22" s="36">
        <v>100</v>
      </c>
      <c r="G22" s="36" t="s">
        <v>304</v>
      </c>
      <c r="H22" s="36" t="s">
        <v>265</v>
      </c>
      <c r="I22" s="1352"/>
    </row>
    <row r="23" spans="1:9">
      <c r="A23" s="36">
        <v>163</v>
      </c>
      <c r="B23" s="36" t="s">
        <v>287</v>
      </c>
      <c r="C23" s="36">
        <v>2254</v>
      </c>
      <c r="D23" s="36" t="s">
        <v>300</v>
      </c>
      <c r="E23" s="36" t="s">
        <v>305</v>
      </c>
      <c r="F23" s="36">
        <v>100</v>
      </c>
      <c r="G23" s="36" t="s">
        <v>299</v>
      </c>
      <c r="H23" s="36" t="s">
        <v>306</v>
      </c>
      <c r="I23" s="1352"/>
    </row>
    <row r="24" spans="1:9">
      <c r="A24" s="36">
        <v>163</v>
      </c>
      <c r="B24" s="36" t="s">
        <v>287</v>
      </c>
      <c r="C24" s="36">
        <v>2255</v>
      </c>
      <c r="D24" s="36" t="s">
        <v>300</v>
      </c>
      <c r="E24" s="36" t="s">
        <v>307</v>
      </c>
      <c r="F24" s="36">
        <v>100</v>
      </c>
      <c r="G24" s="36" t="s">
        <v>302</v>
      </c>
      <c r="H24" s="36" t="s">
        <v>302</v>
      </c>
      <c r="I24" s="1352"/>
    </row>
    <row r="25" spans="1:9">
      <c r="A25" s="36">
        <v>171</v>
      </c>
      <c r="B25" s="36" t="s">
        <v>308</v>
      </c>
      <c r="C25" s="36">
        <v>2392</v>
      </c>
      <c r="D25" s="36" t="s">
        <v>292</v>
      </c>
      <c r="E25" s="36" t="s">
        <v>309</v>
      </c>
      <c r="F25" s="36">
        <v>100</v>
      </c>
      <c r="G25" s="36" t="s">
        <v>310</v>
      </c>
      <c r="H25" s="36" t="s">
        <v>304</v>
      </c>
      <c r="I25" s="1352"/>
    </row>
    <row r="26" spans="1:9">
      <c r="A26" s="36">
        <v>171</v>
      </c>
      <c r="B26" s="36" t="s">
        <v>308</v>
      </c>
      <c r="C26" s="36">
        <v>2393</v>
      </c>
      <c r="D26" s="36" t="s">
        <v>292</v>
      </c>
      <c r="E26" s="36" t="s">
        <v>311</v>
      </c>
      <c r="F26" s="36">
        <v>100</v>
      </c>
      <c r="G26" s="36" t="s">
        <v>296</v>
      </c>
      <c r="H26" s="36" t="s">
        <v>265</v>
      </c>
      <c r="I26" s="1352"/>
    </row>
    <row r="27" spans="1:9">
      <c r="A27" s="36">
        <v>171</v>
      </c>
      <c r="B27" s="36" t="s">
        <v>308</v>
      </c>
      <c r="C27" s="36">
        <v>2394</v>
      </c>
      <c r="D27" s="36" t="s">
        <v>292</v>
      </c>
      <c r="E27" s="36" t="s">
        <v>312</v>
      </c>
      <c r="F27" s="36">
        <v>100</v>
      </c>
      <c r="G27" s="36" t="s">
        <v>310</v>
      </c>
      <c r="H27" s="36" t="s">
        <v>265</v>
      </c>
      <c r="I27" s="1352"/>
    </row>
    <row r="28" spans="1:9" ht="15.95" customHeight="1">
      <c r="A28" s="36">
        <v>171</v>
      </c>
      <c r="B28" s="36" t="s">
        <v>308</v>
      </c>
      <c r="C28" s="36">
        <v>2395</v>
      </c>
      <c r="D28" s="36" t="s">
        <v>292</v>
      </c>
      <c r="E28" s="38" t="s">
        <v>313</v>
      </c>
      <c r="F28" s="36">
        <v>100</v>
      </c>
      <c r="G28" s="36" t="s">
        <v>314</v>
      </c>
      <c r="H28" s="36" t="s">
        <v>265</v>
      </c>
      <c r="I28" s="1352"/>
    </row>
    <row r="29" spans="1:9" ht="15.95" customHeight="1">
      <c r="A29" s="36">
        <v>171</v>
      </c>
      <c r="B29" s="36" t="s">
        <v>308</v>
      </c>
      <c r="C29" s="36">
        <v>2396</v>
      </c>
      <c r="D29" s="36" t="s">
        <v>292</v>
      </c>
      <c r="E29" s="38" t="s">
        <v>315</v>
      </c>
      <c r="F29" s="36">
        <v>100</v>
      </c>
      <c r="G29" s="36" t="s">
        <v>316</v>
      </c>
      <c r="H29" s="36" t="s">
        <v>302</v>
      </c>
      <c r="I29" s="1352"/>
    </row>
    <row r="30" spans="1:9">
      <c r="A30" s="36">
        <v>171</v>
      </c>
      <c r="B30" s="36" t="s">
        <v>308</v>
      </c>
      <c r="C30" s="36">
        <v>2397</v>
      </c>
      <c r="D30" s="36" t="s">
        <v>292</v>
      </c>
      <c r="E30" s="36" t="s">
        <v>317</v>
      </c>
      <c r="F30" s="36">
        <v>100</v>
      </c>
      <c r="G30" s="36" t="s">
        <v>310</v>
      </c>
      <c r="H30" s="36" t="s">
        <v>304</v>
      </c>
      <c r="I30" s="1352"/>
    </row>
    <row r="31" spans="1:9">
      <c r="A31" s="36">
        <v>171</v>
      </c>
      <c r="B31" s="36" t="s">
        <v>308</v>
      </c>
      <c r="C31" s="36">
        <v>2398</v>
      </c>
      <c r="D31" s="36" t="s">
        <v>318</v>
      </c>
      <c r="E31" s="36" t="s">
        <v>319</v>
      </c>
      <c r="F31" s="36">
        <v>100</v>
      </c>
      <c r="G31" s="36" t="s">
        <v>302</v>
      </c>
      <c r="H31" s="36" t="s">
        <v>265</v>
      </c>
      <c r="I31" s="1352"/>
    </row>
    <row r="32" spans="1:9" ht="15.95" customHeight="1">
      <c r="A32" s="36">
        <v>171</v>
      </c>
      <c r="B32" s="36" t="s">
        <v>308</v>
      </c>
      <c r="C32" s="36">
        <v>2399</v>
      </c>
      <c r="D32" s="36" t="s">
        <v>262</v>
      </c>
      <c r="E32" s="38" t="s">
        <v>320</v>
      </c>
      <c r="F32" s="36">
        <v>100</v>
      </c>
      <c r="G32" s="36" t="s">
        <v>310</v>
      </c>
      <c r="H32" s="36" t="s">
        <v>297</v>
      </c>
      <c r="I32" s="1352"/>
    </row>
    <row r="33" spans="1:9">
      <c r="A33" s="36">
        <v>171</v>
      </c>
      <c r="B33" s="36" t="s">
        <v>308</v>
      </c>
      <c r="C33" s="36">
        <v>2400</v>
      </c>
      <c r="D33" s="36" t="s">
        <v>274</v>
      </c>
      <c r="E33" s="36" t="s">
        <v>321</v>
      </c>
      <c r="F33" s="36">
        <v>100</v>
      </c>
      <c r="G33" s="36" t="s">
        <v>289</v>
      </c>
      <c r="H33" s="36" t="s">
        <v>265</v>
      </c>
      <c r="I33" s="1352"/>
    </row>
    <row r="34" spans="1:9">
      <c r="A34" s="36">
        <v>171</v>
      </c>
      <c r="B34" s="36" t="s">
        <v>308</v>
      </c>
      <c r="C34" s="36">
        <v>2401</v>
      </c>
      <c r="D34" s="36" t="s">
        <v>274</v>
      </c>
      <c r="E34" s="36" t="s">
        <v>322</v>
      </c>
      <c r="F34" s="36">
        <v>100</v>
      </c>
      <c r="G34" s="36" t="s">
        <v>310</v>
      </c>
      <c r="H34" s="36" t="s">
        <v>304</v>
      </c>
      <c r="I34" s="1352"/>
    </row>
    <row r="35" spans="1:9">
      <c r="A35" s="36">
        <v>171</v>
      </c>
      <c r="B35" s="36" t="s">
        <v>308</v>
      </c>
      <c r="C35" s="36">
        <v>2402</v>
      </c>
      <c r="D35" s="36" t="s">
        <v>274</v>
      </c>
      <c r="E35" s="36" t="s">
        <v>323</v>
      </c>
      <c r="F35" s="36">
        <v>100</v>
      </c>
      <c r="G35" s="36" t="s">
        <v>289</v>
      </c>
      <c r="H35" s="36" t="s">
        <v>265</v>
      </c>
      <c r="I35" s="1352"/>
    </row>
    <row r="36" spans="1:9">
      <c r="A36" s="36">
        <v>171</v>
      </c>
      <c r="B36" s="36" t="s">
        <v>308</v>
      </c>
      <c r="C36" s="36">
        <v>2403</v>
      </c>
      <c r="D36" s="36" t="s">
        <v>274</v>
      </c>
      <c r="E36" s="36" t="s">
        <v>324</v>
      </c>
      <c r="F36" s="36">
        <v>100</v>
      </c>
      <c r="G36" s="36" t="s">
        <v>289</v>
      </c>
      <c r="H36" s="36" t="s">
        <v>265</v>
      </c>
      <c r="I36" s="1352"/>
    </row>
    <row r="37" spans="1:9">
      <c r="A37" s="36">
        <v>171</v>
      </c>
      <c r="B37" s="36" t="s">
        <v>308</v>
      </c>
      <c r="C37" s="36">
        <v>2404</v>
      </c>
      <c r="D37" s="36" t="s">
        <v>274</v>
      </c>
      <c r="E37" s="36" t="s">
        <v>325</v>
      </c>
      <c r="F37" s="36">
        <v>100</v>
      </c>
      <c r="G37" s="36" t="s">
        <v>310</v>
      </c>
      <c r="H37" s="36" t="s">
        <v>297</v>
      </c>
      <c r="I37" s="1352"/>
    </row>
    <row r="38" spans="1:9">
      <c r="A38" s="36">
        <v>171</v>
      </c>
      <c r="B38" s="36" t="s">
        <v>308</v>
      </c>
      <c r="C38" s="36">
        <v>2405</v>
      </c>
      <c r="D38" s="36" t="s">
        <v>277</v>
      </c>
      <c r="E38" s="36" t="s">
        <v>326</v>
      </c>
      <c r="F38" s="36">
        <v>100</v>
      </c>
      <c r="G38" s="36" t="s">
        <v>310</v>
      </c>
      <c r="H38" s="36" t="s">
        <v>304</v>
      </c>
      <c r="I38" s="1352"/>
    </row>
    <row r="39" spans="1:9">
      <c r="A39" s="36">
        <v>171</v>
      </c>
      <c r="B39" s="36" t="s">
        <v>308</v>
      </c>
      <c r="C39" s="36">
        <v>2406</v>
      </c>
      <c r="D39" s="36" t="s">
        <v>277</v>
      </c>
      <c r="E39" s="36" t="s">
        <v>327</v>
      </c>
      <c r="F39" s="36">
        <v>100</v>
      </c>
      <c r="G39" s="36" t="s">
        <v>310</v>
      </c>
      <c r="H39" s="36" t="s">
        <v>297</v>
      </c>
      <c r="I39" s="1352"/>
    </row>
    <row r="40" spans="1:9">
      <c r="A40" s="36">
        <v>171</v>
      </c>
      <c r="B40" s="36" t="s">
        <v>308</v>
      </c>
      <c r="C40" s="36">
        <v>2407</v>
      </c>
      <c r="D40" s="36" t="s">
        <v>277</v>
      </c>
      <c r="E40" s="36" t="s">
        <v>328</v>
      </c>
      <c r="F40" s="36">
        <v>100</v>
      </c>
      <c r="G40" s="36" t="s">
        <v>314</v>
      </c>
      <c r="H40" s="36" t="s">
        <v>297</v>
      </c>
      <c r="I40" s="1352"/>
    </row>
    <row r="41" spans="1:9" ht="15.95" customHeight="1">
      <c r="A41" s="36">
        <v>171</v>
      </c>
      <c r="B41" s="36" t="s">
        <v>308</v>
      </c>
      <c r="C41" s="36">
        <v>2408</v>
      </c>
      <c r="D41" s="36" t="s">
        <v>277</v>
      </c>
      <c r="E41" s="38" t="s">
        <v>329</v>
      </c>
      <c r="F41" s="36">
        <v>100</v>
      </c>
      <c r="G41" s="36" t="s">
        <v>299</v>
      </c>
      <c r="H41" s="36" t="s">
        <v>297</v>
      </c>
      <c r="I41" s="1352"/>
    </row>
    <row r="42" spans="1:9" ht="15.95" customHeight="1">
      <c r="A42" s="36">
        <v>171</v>
      </c>
      <c r="B42" s="36" t="s">
        <v>308</v>
      </c>
      <c r="C42" s="36">
        <v>2409</v>
      </c>
      <c r="D42" s="36" t="s">
        <v>277</v>
      </c>
      <c r="E42" s="38" t="s">
        <v>330</v>
      </c>
      <c r="F42" s="36">
        <v>100</v>
      </c>
      <c r="G42" s="36" t="s">
        <v>299</v>
      </c>
      <c r="H42" s="36" t="s">
        <v>297</v>
      </c>
      <c r="I42" s="1352"/>
    </row>
    <row r="43" spans="1:9" ht="15.95" customHeight="1">
      <c r="A43" s="36">
        <v>171</v>
      </c>
      <c r="B43" s="36" t="s">
        <v>308</v>
      </c>
      <c r="C43" s="36">
        <v>2410</v>
      </c>
      <c r="D43" s="36" t="s">
        <v>277</v>
      </c>
      <c r="E43" s="38" t="s">
        <v>331</v>
      </c>
      <c r="F43" s="36">
        <v>100</v>
      </c>
      <c r="G43" s="36" t="s">
        <v>310</v>
      </c>
      <c r="H43" s="36" t="s">
        <v>304</v>
      </c>
      <c r="I43" s="1352"/>
    </row>
    <row r="44" spans="1:9">
      <c r="A44" s="36">
        <v>171</v>
      </c>
      <c r="B44" s="36" t="s">
        <v>308</v>
      </c>
      <c r="C44" s="36">
        <v>2411</v>
      </c>
      <c r="D44" s="36" t="s">
        <v>277</v>
      </c>
      <c r="E44" s="36" t="s">
        <v>332</v>
      </c>
      <c r="F44" s="36">
        <v>100</v>
      </c>
      <c r="G44" s="36" t="s">
        <v>333</v>
      </c>
      <c r="H44" s="36" t="s">
        <v>265</v>
      </c>
      <c r="I44" s="1352"/>
    </row>
    <row r="45" spans="1:9">
      <c r="A45" s="36">
        <v>171</v>
      </c>
      <c r="B45" s="36" t="s">
        <v>308</v>
      </c>
      <c r="C45" s="36">
        <v>2412</v>
      </c>
      <c r="D45" s="36" t="s">
        <v>277</v>
      </c>
      <c r="E45" s="36" t="s">
        <v>334</v>
      </c>
      <c r="F45" s="36">
        <v>100</v>
      </c>
      <c r="G45" s="36" t="s">
        <v>333</v>
      </c>
      <c r="H45" s="36" t="s">
        <v>265</v>
      </c>
      <c r="I45" s="1352"/>
    </row>
    <row r="46" spans="1:9">
      <c r="A46" s="36">
        <v>171</v>
      </c>
      <c r="B46" s="36" t="s">
        <v>308</v>
      </c>
      <c r="C46" s="36">
        <v>2413</v>
      </c>
      <c r="D46" s="36" t="s">
        <v>335</v>
      </c>
      <c r="E46" s="36" t="s">
        <v>336</v>
      </c>
      <c r="F46" s="36">
        <v>100</v>
      </c>
      <c r="G46" s="36" t="s">
        <v>304</v>
      </c>
      <c r="H46" s="36" t="s">
        <v>265</v>
      </c>
      <c r="I46" s="1352"/>
    </row>
    <row r="47" spans="1:9">
      <c r="A47" s="36">
        <v>171</v>
      </c>
      <c r="B47" s="36" t="s">
        <v>308</v>
      </c>
      <c r="C47" s="36">
        <v>2414</v>
      </c>
      <c r="D47" s="36" t="s">
        <v>335</v>
      </c>
      <c r="E47" s="36" t="s">
        <v>337</v>
      </c>
      <c r="F47" s="36">
        <v>100</v>
      </c>
      <c r="G47" s="36" t="s">
        <v>304</v>
      </c>
      <c r="H47" s="36" t="s">
        <v>306</v>
      </c>
      <c r="I47" s="1352"/>
    </row>
    <row r="48" spans="1:9">
      <c r="A48" s="36">
        <v>171</v>
      </c>
      <c r="B48" s="36" t="s">
        <v>308</v>
      </c>
      <c r="C48" s="36">
        <v>2415</v>
      </c>
      <c r="D48" s="36" t="s">
        <v>292</v>
      </c>
      <c r="E48" s="36" t="s">
        <v>338</v>
      </c>
      <c r="F48" s="36">
        <v>100</v>
      </c>
      <c r="G48" s="36" t="s">
        <v>289</v>
      </c>
      <c r="H48" s="36" t="s">
        <v>265</v>
      </c>
      <c r="I48" s="1352"/>
    </row>
    <row r="49" spans="1:9">
      <c r="A49" s="36">
        <v>171</v>
      </c>
      <c r="B49" s="36" t="s">
        <v>308</v>
      </c>
      <c r="C49" s="36">
        <v>2416</v>
      </c>
      <c r="D49" s="36" t="s">
        <v>292</v>
      </c>
      <c r="E49" s="36" t="s">
        <v>339</v>
      </c>
      <c r="F49" s="36">
        <v>100</v>
      </c>
      <c r="G49" s="36" t="s">
        <v>289</v>
      </c>
      <c r="H49" s="36" t="s">
        <v>340</v>
      </c>
      <c r="I49" s="1352"/>
    </row>
    <row r="50" spans="1:9">
      <c r="A50" s="36">
        <v>171</v>
      </c>
      <c r="B50" s="36" t="s">
        <v>308</v>
      </c>
      <c r="C50" s="36">
        <v>2417</v>
      </c>
      <c r="D50" s="36" t="s">
        <v>292</v>
      </c>
      <c r="E50" s="36" t="s">
        <v>341</v>
      </c>
      <c r="F50" s="36">
        <v>100</v>
      </c>
      <c r="G50" s="36" t="s">
        <v>289</v>
      </c>
      <c r="H50" s="36" t="s">
        <v>340</v>
      </c>
      <c r="I50" s="1352"/>
    </row>
    <row r="51" spans="1:9">
      <c r="A51" s="36">
        <v>171</v>
      </c>
      <c r="B51" s="36" t="s">
        <v>308</v>
      </c>
      <c r="C51" s="36">
        <v>2418</v>
      </c>
      <c r="D51" s="36" t="s">
        <v>292</v>
      </c>
      <c r="E51" s="36" t="s">
        <v>342</v>
      </c>
      <c r="F51" s="36">
        <v>100</v>
      </c>
      <c r="G51" s="36" t="s">
        <v>289</v>
      </c>
      <c r="H51" s="36" t="s">
        <v>265</v>
      </c>
      <c r="I51" s="1352"/>
    </row>
    <row r="52" spans="1:9">
      <c r="A52" s="36">
        <v>171</v>
      </c>
      <c r="B52" s="36" t="s">
        <v>308</v>
      </c>
      <c r="C52" s="36">
        <v>2419</v>
      </c>
      <c r="D52" s="36" t="s">
        <v>300</v>
      </c>
      <c r="E52" s="36" t="s">
        <v>343</v>
      </c>
      <c r="F52" s="36">
        <v>100</v>
      </c>
      <c r="G52" s="36" t="s">
        <v>302</v>
      </c>
      <c r="H52" s="36" t="s">
        <v>302</v>
      </c>
      <c r="I52" s="1352"/>
    </row>
    <row r="53" spans="1:9">
      <c r="A53" s="36">
        <v>171</v>
      </c>
      <c r="B53" s="36" t="s">
        <v>308</v>
      </c>
      <c r="C53" s="36">
        <v>2420</v>
      </c>
      <c r="D53" s="36" t="s">
        <v>300</v>
      </c>
      <c r="E53" s="36" t="s">
        <v>344</v>
      </c>
      <c r="F53" s="36">
        <v>100</v>
      </c>
      <c r="G53" s="36" t="s">
        <v>302</v>
      </c>
      <c r="H53" s="36" t="s">
        <v>345</v>
      </c>
      <c r="I53" s="1352"/>
    </row>
    <row r="54" spans="1:9">
      <c r="A54" s="36">
        <v>171</v>
      </c>
      <c r="B54" s="36" t="s">
        <v>308</v>
      </c>
      <c r="C54" s="36">
        <v>2421</v>
      </c>
      <c r="D54" s="36" t="s">
        <v>300</v>
      </c>
      <c r="E54" s="36" t="s">
        <v>346</v>
      </c>
      <c r="F54" s="36">
        <v>100</v>
      </c>
      <c r="G54" s="36" t="s">
        <v>304</v>
      </c>
      <c r="H54" s="36" t="s">
        <v>265</v>
      </c>
      <c r="I54" s="1352"/>
    </row>
    <row r="55" spans="1:9" ht="15.95" customHeight="1">
      <c r="A55" s="36">
        <v>171</v>
      </c>
      <c r="B55" s="36" t="s">
        <v>308</v>
      </c>
      <c r="C55" s="36">
        <v>2422</v>
      </c>
      <c r="D55" s="36" t="s">
        <v>300</v>
      </c>
      <c r="E55" s="38" t="s">
        <v>347</v>
      </c>
      <c r="F55" s="36">
        <v>100</v>
      </c>
      <c r="G55" s="36" t="s">
        <v>316</v>
      </c>
      <c r="H55" s="36" t="s">
        <v>265</v>
      </c>
      <c r="I55" s="1352"/>
    </row>
    <row r="56" spans="1:9" ht="15.95" customHeight="1">
      <c r="A56" s="36">
        <v>171</v>
      </c>
      <c r="B56" s="36" t="s">
        <v>308</v>
      </c>
      <c r="C56" s="36">
        <v>2423</v>
      </c>
      <c r="D56" s="36" t="s">
        <v>300</v>
      </c>
      <c r="E56" s="38" t="s">
        <v>348</v>
      </c>
      <c r="F56" s="36">
        <v>100</v>
      </c>
      <c r="G56" s="36" t="s">
        <v>304</v>
      </c>
      <c r="H56" s="36" t="s">
        <v>294</v>
      </c>
      <c r="I56" s="1352"/>
    </row>
    <row r="57" spans="1:9">
      <c r="A57" s="36">
        <v>171</v>
      </c>
      <c r="B57" s="36" t="s">
        <v>308</v>
      </c>
      <c r="C57" s="36">
        <v>2424</v>
      </c>
      <c r="D57" s="36" t="s">
        <v>300</v>
      </c>
      <c r="E57" s="36" t="s">
        <v>349</v>
      </c>
      <c r="F57" s="36">
        <v>100</v>
      </c>
      <c r="G57" s="36" t="s">
        <v>316</v>
      </c>
      <c r="H57" s="36" t="s">
        <v>306</v>
      </c>
      <c r="I57" s="1352"/>
    </row>
    <row r="58" spans="1:9">
      <c r="A58" s="36">
        <v>171</v>
      </c>
      <c r="B58" s="36" t="s">
        <v>308</v>
      </c>
      <c r="C58" s="36">
        <v>2425</v>
      </c>
      <c r="D58" s="36" t="s">
        <v>300</v>
      </c>
      <c r="E58" s="36" t="s">
        <v>350</v>
      </c>
      <c r="F58" s="36">
        <v>100</v>
      </c>
      <c r="G58" s="36" t="s">
        <v>304</v>
      </c>
      <c r="H58" s="36" t="s">
        <v>265</v>
      </c>
      <c r="I58" s="1352"/>
    </row>
    <row r="59" spans="1:9">
      <c r="A59" s="36">
        <v>266</v>
      </c>
      <c r="B59" s="36" t="s">
        <v>351</v>
      </c>
      <c r="C59" s="36">
        <v>3825</v>
      </c>
      <c r="D59" s="36" t="s">
        <v>300</v>
      </c>
      <c r="E59" s="36" t="s">
        <v>352</v>
      </c>
      <c r="F59" s="36">
        <v>100</v>
      </c>
      <c r="G59" s="36" t="s">
        <v>353</v>
      </c>
      <c r="H59" s="36" t="s">
        <v>354</v>
      </c>
      <c r="I59" s="1352"/>
    </row>
    <row r="60" spans="1:9" ht="15.95" customHeight="1">
      <c r="A60" s="36">
        <v>311</v>
      </c>
      <c r="B60" s="36" t="s">
        <v>266</v>
      </c>
      <c r="C60" s="36">
        <v>4328</v>
      </c>
      <c r="D60" s="36" t="s">
        <v>300</v>
      </c>
      <c r="E60" s="38" t="s">
        <v>355</v>
      </c>
      <c r="F60" s="36">
        <v>100</v>
      </c>
      <c r="G60" s="36" t="s">
        <v>356</v>
      </c>
      <c r="H60" s="36" t="s">
        <v>357</v>
      </c>
      <c r="I60" s="1352"/>
    </row>
    <row r="61" spans="1:9">
      <c r="A61" s="36">
        <v>311</v>
      </c>
      <c r="B61" s="36" t="s">
        <v>266</v>
      </c>
      <c r="C61" s="36">
        <v>4329</v>
      </c>
      <c r="D61" s="36" t="s">
        <v>300</v>
      </c>
      <c r="E61" s="36" t="s">
        <v>358</v>
      </c>
      <c r="F61" s="36">
        <v>100</v>
      </c>
      <c r="G61" s="36" t="s">
        <v>356</v>
      </c>
      <c r="H61" s="36" t="s">
        <v>357</v>
      </c>
      <c r="I61" s="1352"/>
    </row>
    <row r="62" spans="1:9">
      <c r="A62" s="36">
        <v>311</v>
      </c>
      <c r="B62" s="36" t="s">
        <v>266</v>
      </c>
      <c r="C62" s="36">
        <v>4330</v>
      </c>
      <c r="D62" s="36" t="s">
        <v>300</v>
      </c>
      <c r="E62" s="36" t="s">
        <v>359</v>
      </c>
      <c r="F62" s="36">
        <v>100</v>
      </c>
      <c r="G62" s="36" t="s">
        <v>356</v>
      </c>
      <c r="H62" s="36" t="s">
        <v>357</v>
      </c>
      <c r="I62" s="1352"/>
    </row>
    <row r="63" spans="1:9">
      <c r="A63" s="36">
        <v>311</v>
      </c>
      <c r="B63" s="36" t="s">
        <v>266</v>
      </c>
      <c r="C63" s="36">
        <v>4331</v>
      </c>
      <c r="D63" s="36" t="s">
        <v>300</v>
      </c>
      <c r="E63" s="36" t="s">
        <v>360</v>
      </c>
      <c r="F63" s="36">
        <v>100</v>
      </c>
      <c r="G63" s="36" t="s">
        <v>356</v>
      </c>
      <c r="H63" s="36" t="s">
        <v>294</v>
      </c>
      <c r="I63" s="1352"/>
    </row>
    <row r="64" spans="1:9">
      <c r="A64" s="36">
        <v>311</v>
      </c>
      <c r="B64" s="36" t="s">
        <v>266</v>
      </c>
      <c r="C64" s="36">
        <v>4332</v>
      </c>
      <c r="D64" s="36" t="s">
        <v>300</v>
      </c>
      <c r="E64" s="36" t="s">
        <v>361</v>
      </c>
      <c r="F64" s="36">
        <v>100</v>
      </c>
      <c r="G64" s="36" t="s">
        <v>356</v>
      </c>
      <c r="H64" s="36" t="s">
        <v>357</v>
      </c>
      <c r="I64" s="1352"/>
    </row>
    <row r="65" spans="1:9">
      <c r="A65" s="36">
        <v>311</v>
      </c>
      <c r="B65" s="36" t="s">
        <v>266</v>
      </c>
      <c r="C65" s="36">
        <v>4333</v>
      </c>
      <c r="D65" s="36" t="s">
        <v>300</v>
      </c>
      <c r="E65" s="36" t="s">
        <v>362</v>
      </c>
      <c r="F65" s="36">
        <v>100</v>
      </c>
      <c r="G65" s="36" t="s">
        <v>356</v>
      </c>
      <c r="H65" s="36" t="s">
        <v>357</v>
      </c>
      <c r="I65" s="1352"/>
    </row>
    <row r="66" spans="1:9">
      <c r="A66" s="36">
        <v>311</v>
      </c>
      <c r="B66" s="36" t="s">
        <v>266</v>
      </c>
      <c r="C66" s="36">
        <v>4334</v>
      </c>
      <c r="D66" s="36" t="s">
        <v>300</v>
      </c>
      <c r="E66" s="36" t="s">
        <v>363</v>
      </c>
      <c r="F66" s="36">
        <v>100</v>
      </c>
      <c r="G66" s="36" t="s">
        <v>356</v>
      </c>
      <c r="H66" s="36" t="s">
        <v>357</v>
      </c>
      <c r="I66" s="1352"/>
    </row>
    <row r="67" spans="1:9">
      <c r="A67" s="36">
        <v>311</v>
      </c>
      <c r="B67" s="36" t="s">
        <v>266</v>
      </c>
      <c r="C67" s="36">
        <v>4335</v>
      </c>
      <c r="D67" s="36" t="s">
        <v>300</v>
      </c>
      <c r="E67" s="36" t="s">
        <v>364</v>
      </c>
      <c r="F67" s="36">
        <v>100</v>
      </c>
      <c r="G67" s="36" t="s">
        <v>365</v>
      </c>
      <c r="H67" s="36" t="s">
        <v>366</v>
      </c>
      <c r="I67" s="1352"/>
    </row>
    <row r="68" spans="1:9">
      <c r="A68" s="36">
        <v>311</v>
      </c>
      <c r="B68" s="36" t="s">
        <v>266</v>
      </c>
      <c r="C68" s="36">
        <v>4336</v>
      </c>
      <c r="D68" s="36" t="s">
        <v>300</v>
      </c>
      <c r="E68" s="36" t="s">
        <v>367</v>
      </c>
      <c r="F68" s="36">
        <v>100</v>
      </c>
      <c r="G68" s="36" t="s">
        <v>365</v>
      </c>
      <c r="H68" s="36" t="s">
        <v>366</v>
      </c>
      <c r="I68" s="1352"/>
    </row>
    <row r="69" spans="1:9">
      <c r="A69" s="36">
        <v>311</v>
      </c>
      <c r="B69" s="36" t="s">
        <v>266</v>
      </c>
      <c r="C69" s="36">
        <v>4337</v>
      </c>
      <c r="D69" s="36" t="s">
        <v>300</v>
      </c>
      <c r="E69" s="36" t="s">
        <v>368</v>
      </c>
      <c r="F69" s="36">
        <v>100</v>
      </c>
      <c r="G69" s="36" t="s">
        <v>365</v>
      </c>
      <c r="H69" s="36" t="s">
        <v>366</v>
      </c>
      <c r="I69" s="1352"/>
    </row>
    <row r="70" spans="1:9">
      <c r="A70" s="36">
        <v>311</v>
      </c>
      <c r="B70" s="36" t="s">
        <v>266</v>
      </c>
      <c r="C70" s="36">
        <v>4338</v>
      </c>
      <c r="D70" s="36" t="s">
        <v>300</v>
      </c>
      <c r="E70" s="36" t="s">
        <v>369</v>
      </c>
      <c r="F70" s="36">
        <v>100</v>
      </c>
      <c r="G70" s="36" t="s">
        <v>340</v>
      </c>
      <c r="H70" s="36" t="s">
        <v>357</v>
      </c>
      <c r="I70" s="1352"/>
    </row>
    <row r="71" spans="1:9">
      <c r="A71" s="36">
        <v>311</v>
      </c>
      <c r="B71" s="36" t="s">
        <v>266</v>
      </c>
      <c r="C71" s="36">
        <v>4339</v>
      </c>
      <c r="D71" s="36" t="s">
        <v>300</v>
      </c>
      <c r="E71" s="36" t="s">
        <v>370</v>
      </c>
      <c r="F71" s="36">
        <v>100</v>
      </c>
      <c r="G71" s="36" t="s">
        <v>356</v>
      </c>
      <c r="H71" s="36" t="s">
        <v>357</v>
      </c>
      <c r="I71" s="1352"/>
    </row>
    <row r="72" spans="1:9">
      <c r="A72" s="36">
        <v>311</v>
      </c>
      <c r="B72" s="36" t="s">
        <v>266</v>
      </c>
      <c r="C72" s="36">
        <v>4340</v>
      </c>
      <c r="D72" s="36" t="s">
        <v>300</v>
      </c>
      <c r="E72" s="36" t="s">
        <v>371</v>
      </c>
      <c r="F72" s="36">
        <v>100</v>
      </c>
      <c r="G72" s="36" t="s">
        <v>356</v>
      </c>
      <c r="H72" s="36" t="s">
        <v>357</v>
      </c>
      <c r="I72" s="1352"/>
    </row>
    <row r="73" spans="1:9">
      <c r="A73" s="36">
        <v>311</v>
      </c>
      <c r="B73" s="36" t="s">
        <v>266</v>
      </c>
      <c r="C73" s="36">
        <v>4341</v>
      </c>
      <c r="D73" s="36" t="s">
        <v>300</v>
      </c>
      <c r="E73" s="36" t="s">
        <v>372</v>
      </c>
      <c r="F73" s="36">
        <v>100</v>
      </c>
      <c r="G73" s="36" t="s">
        <v>356</v>
      </c>
      <c r="H73" s="36" t="s">
        <v>357</v>
      </c>
      <c r="I73" s="1352"/>
    </row>
    <row r="74" spans="1:9" ht="15.95" customHeight="1">
      <c r="A74" s="36">
        <v>320</v>
      </c>
      <c r="B74" s="36" t="s">
        <v>261</v>
      </c>
      <c r="C74" s="36">
        <v>4671</v>
      </c>
      <c r="D74" s="36" t="s">
        <v>274</v>
      </c>
      <c r="E74" s="38" t="s">
        <v>373</v>
      </c>
      <c r="F74" s="36">
        <v>100</v>
      </c>
      <c r="G74" s="36" t="s">
        <v>374</v>
      </c>
      <c r="H74" s="36" t="s">
        <v>375</v>
      </c>
      <c r="I74" s="1352"/>
    </row>
    <row r="75" spans="1:9">
      <c r="A75" s="36">
        <v>320</v>
      </c>
      <c r="B75" s="36" t="s">
        <v>261</v>
      </c>
      <c r="C75" s="36">
        <v>4672</v>
      </c>
      <c r="D75" s="36" t="s">
        <v>274</v>
      </c>
      <c r="E75" s="36" t="s">
        <v>376</v>
      </c>
      <c r="F75" s="36">
        <v>100</v>
      </c>
      <c r="G75" s="36" t="s">
        <v>374</v>
      </c>
      <c r="H75" s="36" t="s">
        <v>375</v>
      </c>
      <c r="I75" s="1352"/>
    </row>
    <row r="76" spans="1:9">
      <c r="A76" s="36">
        <v>320</v>
      </c>
      <c r="B76" s="36" t="s">
        <v>261</v>
      </c>
      <c r="C76" s="36">
        <v>4673</v>
      </c>
      <c r="D76" s="36" t="s">
        <v>274</v>
      </c>
      <c r="E76" s="36" t="s">
        <v>377</v>
      </c>
      <c r="F76" s="36">
        <v>100</v>
      </c>
      <c r="G76" s="36" t="s">
        <v>374</v>
      </c>
      <c r="H76" s="36" t="s">
        <v>378</v>
      </c>
      <c r="I76" s="1352"/>
    </row>
    <row r="77" spans="1:9" ht="15.95" customHeight="1">
      <c r="A77" s="36">
        <v>320</v>
      </c>
      <c r="B77" s="36" t="s">
        <v>261</v>
      </c>
      <c r="C77" s="36">
        <v>4674</v>
      </c>
      <c r="D77" s="36" t="s">
        <v>274</v>
      </c>
      <c r="E77" s="38" t="s">
        <v>379</v>
      </c>
      <c r="F77" s="36">
        <v>100</v>
      </c>
      <c r="G77" s="36" t="s">
        <v>374</v>
      </c>
      <c r="H77" s="36" t="s">
        <v>357</v>
      </c>
      <c r="I77" s="1352"/>
    </row>
    <row r="78" spans="1:9" ht="15.95" customHeight="1">
      <c r="A78" s="36">
        <v>320</v>
      </c>
      <c r="B78" s="36" t="s">
        <v>261</v>
      </c>
      <c r="C78" s="36">
        <v>4675</v>
      </c>
      <c r="D78" s="36" t="s">
        <v>274</v>
      </c>
      <c r="E78" s="38" t="s">
        <v>380</v>
      </c>
      <c r="F78" s="36">
        <v>100</v>
      </c>
      <c r="G78" s="36" t="s">
        <v>374</v>
      </c>
      <c r="H78" s="36" t="s">
        <v>375</v>
      </c>
      <c r="I78" s="1352"/>
    </row>
    <row r="79" spans="1:9">
      <c r="A79" s="36">
        <v>320</v>
      </c>
      <c r="B79" s="36" t="s">
        <v>261</v>
      </c>
      <c r="C79" s="36">
        <v>4676</v>
      </c>
      <c r="D79" s="36" t="s">
        <v>274</v>
      </c>
      <c r="E79" s="36" t="s">
        <v>381</v>
      </c>
      <c r="F79" s="36">
        <v>100</v>
      </c>
      <c r="G79" s="36" t="s">
        <v>374</v>
      </c>
      <c r="H79" s="36" t="s">
        <v>357</v>
      </c>
      <c r="I79" s="1352"/>
    </row>
    <row r="80" spans="1:9" ht="15.95" customHeight="1">
      <c r="A80" s="36">
        <v>346</v>
      </c>
      <c r="B80" s="36" t="s">
        <v>266</v>
      </c>
      <c r="C80" s="36">
        <v>5017</v>
      </c>
      <c r="D80" s="36" t="s">
        <v>262</v>
      </c>
      <c r="E80" s="38" t="s">
        <v>382</v>
      </c>
      <c r="F80" s="36">
        <v>100</v>
      </c>
      <c r="G80" s="36" t="s">
        <v>383</v>
      </c>
      <c r="H80" s="36" t="s">
        <v>384</v>
      </c>
      <c r="I80" s="1352"/>
    </row>
    <row r="81" spans="1:9" ht="15.95" customHeight="1">
      <c r="A81" s="36">
        <v>346</v>
      </c>
      <c r="B81" s="36" t="s">
        <v>266</v>
      </c>
      <c r="C81" s="36">
        <v>5018</v>
      </c>
      <c r="D81" s="36" t="s">
        <v>262</v>
      </c>
      <c r="E81" s="38" t="s">
        <v>385</v>
      </c>
      <c r="F81" s="36">
        <v>100</v>
      </c>
      <c r="G81" s="36" t="s">
        <v>386</v>
      </c>
      <c r="H81" s="36" t="s">
        <v>387</v>
      </c>
      <c r="I81" s="1352"/>
    </row>
    <row r="82" spans="1:9">
      <c r="A82" s="36">
        <v>346</v>
      </c>
      <c r="B82" s="36" t="s">
        <v>266</v>
      </c>
      <c r="C82" s="36">
        <v>5019</v>
      </c>
      <c r="D82" s="36" t="s">
        <v>262</v>
      </c>
      <c r="E82" s="36" t="s">
        <v>388</v>
      </c>
      <c r="F82" s="36">
        <v>100</v>
      </c>
      <c r="G82" s="36" t="s">
        <v>389</v>
      </c>
      <c r="H82" s="36" t="s">
        <v>390</v>
      </c>
      <c r="I82" s="1352"/>
    </row>
    <row r="83" spans="1:9">
      <c r="A83" s="36">
        <v>346</v>
      </c>
      <c r="B83" s="36" t="s">
        <v>266</v>
      </c>
      <c r="C83" s="36">
        <v>5020</v>
      </c>
      <c r="D83" s="36" t="s">
        <v>262</v>
      </c>
      <c r="E83" s="36" t="s">
        <v>391</v>
      </c>
      <c r="F83" s="36">
        <v>100</v>
      </c>
      <c r="G83" s="36" t="s">
        <v>392</v>
      </c>
      <c r="H83" s="36" t="s">
        <v>393</v>
      </c>
      <c r="I83" s="1352"/>
    </row>
    <row r="84" spans="1:9" ht="15.95" customHeight="1">
      <c r="A84" s="36">
        <v>346</v>
      </c>
      <c r="B84" s="36" t="s">
        <v>266</v>
      </c>
      <c r="C84" s="36">
        <v>5021</v>
      </c>
      <c r="D84" s="36" t="s">
        <v>262</v>
      </c>
      <c r="E84" s="38" t="s">
        <v>394</v>
      </c>
      <c r="F84" s="36">
        <v>0</v>
      </c>
      <c r="G84" s="36" t="s">
        <v>395</v>
      </c>
      <c r="H84" s="36" t="s">
        <v>396</v>
      </c>
      <c r="I84" s="1352" t="s">
        <v>2462</v>
      </c>
    </row>
    <row r="85" spans="1:9" ht="15.95" customHeight="1">
      <c r="A85" s="36">
        <v>346</v>
      </c>
      <c r="B85" s="36" t="s">
        <v>266</v>
      </c>
      <c r="C85" s="36">
        <v>5022</v>
      </c>
      <c r="D85" s="36" t="s">
        <v>262</v>
      </c>
      <c r="E85" s="36" t="s">
        <v>397</v>
      </c>
      <c r="F85" s="36">
        <v>100</v>
      </c>
      <c r="G85" s="36" t="s">
        <v>392</v>
      </c>
      <c r="H85" s="36" t="s">
        <v>393</v>
      </c>
      <c r="I85" s="1352"/>
    </row>
    <row r="86" spans="1:9" ht="15.95" customHeight="1">
      <c r="A86" s="36">
        <v>346</v>
      </c>
      <c r="B86" s="36" t="s">
        <v>266</v>
      </c>
      <c r="C86" s="36">
        <v>5023</v>
      </c>
      <c r="D86" s="36" t="s">
        <v>262</v>
      </c>
      <c r="E86" s="38" t="s">
        <v>398</v>
      </c>
      <c r="F86" s="36">
        <v>0</v>
      </c>
      <c r="G86" s="36" t="s">
        <v>399</v>
      </c>
      <c r="H86" s="36" t="s">
        <v>400</v>
      </c>
      <c r="I86" s="1352" t="s">
        <v>2462</v>
      </c>
    </row>
    <row r="87" spans="1:9">
      <c r="A87" s="36">
        <v>346</v>
      </c>
      <c r="B87" s="36" t="s">
        <v>266</v>
      </c>
      <c r="C87" s="36">
        <v>5025</v>
      </c>
      <c r="D87" s="36" t="s">
        <v>262</v>
      </c>
      <c r="E87" s="36" t="s">
        <v>401</v>
      </c>
      <c r="F87" s="36">
        <v>0</v>
      </c>
      <c r="G87" s="36" t="s">
        <v>392</v>
      </c>
      <c r="H87" s="36" t="s">
        <v>384</v>
      </c>
      <c r="I87" s="1352" t="s">
        <v>2462</v>
      </c>
    </row>
    <row r="88" spans="1:9">
      <c r="A88" s="36">
        <v>346</v>
      </c>
      <c r="B88" s="36" t="s">
        <v>266</v>
      </c>
      <c r="C88" s="36">
        <v>5026</v>
      </c>
      <c r="D88" s="36" t="s">
        <v>262</v>
      </c>
      <c r="E88" s="36" t="s">
        <v>402</v>
      </c>
      <c r="F88" s="36">
        <v>0</v>
      </c>
      <c r="G88" s="36" t="s">
        <v>392</v>
      </c>
      <c r="H88" s="36" t="s">
        <v>384</v>
      </c>
      <c r="I88" s="1352" t="s">
        <v>2462</v>
      </c>
    </row>
    <row r="89" spans="1:9" ht="15.95" customHeight="1">
      <c r="A89" s="36">
        <v>346</v>
      </c>
      <c r="B89" s="36" t="s">
        <v>266</v>
      </c>
      <c r="C89" s="36">
        <v>5027</v>
      </c>
      <c r="D89" s="36" t="s">
        <v>262</v>
      </c>
      <c r="E89" s="38" t="s">
        <v>403</v>
      </c>
      <c r="F89" s="36">
        <v>0</v>
      </c>
      <c r="G89" s="36" t="s">
        <v>383</v>
      </c>
      <c r="H89" s="36" t="s">
        <v>384</v>
      </c>
      <c r="I89" s="1352" t="s">
        <v>2462</v>
      </c>
    </row>
    <row r="90" spans="1:9" ht="15.95" customHeight="1">
      <c r="A90" s="36">
        <v>346</v>
      </c>
      <c r="B90" s="36" t="s">
        <v>266</v>
      </c>
      <c r="C90" s="36">
        <v>5028</v>
      </c>
      <c r="D90" s="36" t="s">
        <v>262</v>
      </c>
      <c r="E90" s="36" t="s">
        <v>404</v>
      </c>
      <c r="F90" s="36">
        <v>0</v>
      </c>
      <c r="G90" s="36" t="s">
        <v>392</v>
      </c>
      <c r="H90" s="36" t="s">
        <v>384</v>
      </c>
      <c r="I90" s="1352" t="s">
        <v>2462</v>
      </c>
    </row>
    <row r="91" spans="1:9" ht="15.95" customHeight="1">
      <c r="A91" s="36">
        <v>346</v>
      </c>
      <c r="B91" s="36" t="s">
        <v>266</v>
      </c>
      <c r="C91" s="36">
        <v>5029</v>
      </c>
      <c r="D91" s="36" t="s">
        <v>262</v>
      </c>
      <c r="E91" s="38" t="s">
        <v>405</v>
      </c>
      <c r="F91" s="36">
        <v>0</v>
      </c>
      <c r="G91" s="36" t="s">
        <v>383</v>
      </c>
      <c r="H91" s="36" t="s">
        <v>406</v>
      </c>
      <c r="I91" s="1352" t="s">
        <v>2462</v>
      </c>
    </row>
    <row r="92" spans="1:9" ht="15.95" customHeight="1">
      <c r="A92" s="36">
        <v>370</v>
      </c>
      <c r="B92" s="36" t="s">
        <v>266</v>
      </c>
      <c r="C92" s="36">
        <v>5404</v>
      </c>
      <c r="D92" s="36" t="s">
        <v>274</v>
      </c>
      <c r="E92" s="38" t="s">
        <v>407</v>
      </c>
      <c r="F92" s="36">
        <v>0</v>
      </c>
      <c r="G92" s="36" t="s">
        <v>408</v>
      </c>
      <c r="H92" s="36" t="s">
        <v>409</v>
      </c>
      <c r="I92" s="1352" t="s">
        <v>2463</v>
      </c>
    </row>
    <row r="93" spans="1:9" ht="15.95" customHeight="1">
      <c r="A93" s="36">
        <v>370</v>
      </c>
      <c r="B93" s="36" t="s">
        <v>266</v>
      </c>
      <c r="C93" s="36">
        <v>5405</v>
      </c>
      <c r="D93" s="36" t="s">
        <v>274</v>
      </c>
      <c r="E93" s="38" t="s">
        <v>410</v>
      </c>
      <c r="F93" s="36">
        <v>0</v>
      </c>
      <c r="G93" s="36" t="s">
        <v>408</v>
      </c>
      <c r="H93" s="36" t="s">
        <v>409</v>
      </c>
      <c r="I93" s="1352" t="s">
        <v>2463</v>
      </c>
    </row>
    <row r="94" spans="1:9" ht="15.95" customHeight="1">
      <c r="A94" s="36">
        <v>370</v>
      </c>
      <c r="B94" s="36" t="s">
        <v>266</v>
      </c>
      <c r="C94" s="36">
        <v>5406</v>
      </c>
      <c r="D94" s="36" t="s">
        <v>274</v>
      </c>
      <c r="E94" s="36" t="s">
        <v>411</v>
      </c>
      <c r="F94" s="36">
        <v>0</v>
      </c>
      <c r="G94" s="36" t="s">
        <v>412</v>
      </c>
      <c r="H94" s="36" t="s">
        <v>409</v>
      </c>
      <c r="I94" s="1352" t="s">
        <v>2463</v>
      </c>
    </row>
    <row r="95" spans="1:9" ht="15.95" customHeight="1">
      <c r="A95" s="36">
        <v>370</v>
      </c>
      <c r="B95" s="36" t="s">
        <v>266</v>
      </c>
      <c r="C95" s="36">
        <v>5407</v>
      </c>
      <c r="D95" s="36" t="s">
        <v>274</v>
      </c>
      <c r="E95" s="36" t="s">
        <v>413</v>
      </c>
      <c r="F95" s="36">
        <v>0</v>
      </c>
      <c r="G95" s="36" t="s">
        <v>408</v>
      </c>
      <c r="H95" s="36" t="s">
        <v>409</v>
      </c>
      <c r="I95" s="1352" t="s">
        <v>2463</v>
      </c>
    </row>
    <row r="96" spans="1:9" ht="15.95" customHeight="1">
      <c r="A96" s="36">
        <v>370</v>
      </c>
      <c r="B96" s="36" t="s">
        <v>266</v>
      </c>
      <c r="C96" s="36">
        <v>5408</v>
      </c>
      <c r="D96" s="36" t="s">
        <v>274</v>
      </c>
      <c r="E96" s="36" t="s">
        <v>414</v>
      </c>
      <c r="F96" s="36">
        <v>0</v>
      </c>
      <c r="G96" s="36" t="s">
        <v>415</v>
      </c>
      <c r="H96" s="36" t="s">
        <v>409</v>
      </c>
      <c r="I96" s="1352" t="s">
        <v>2463</v>
      </c>
    </row>
    <row r="97" spans="1:9" ht="15.95" customHeight="1">
      <c r="A97" s="36">
        <v>370</v>
      </c>
      <c r="B97" s="36" t="s">
        <v>266</v>
      </c>
      <c r="C97" s="36">
        <v>5409</v>
      </c>
      <c r="D97" s="36" t="s">
        <v>274</v>
      </c>
      <c r="E97" s="38" t="s">
        <v>416</v>
      </c>
      <c r="F97" s="36">
        <v>0</v>
      </c>
      <c r="G97" s="36" t="s">
        <v>417</v>
      </c>
      <c r="H97" s="36" t="s">
        <v>409</v>
      </c>
      <c r="I97" s="1352" t="s">
        <v>2463</v>
      </c>
    </row>
    <row r="98" spans="1:9" ht="15.95" customHeight="1">
      <c r="A98" s="36">
        <v>370</v>
      </c>
      <c r="B98" s="36" t="s">
        <v>266</v>
      </c>
      <c r="C98" s="36">
        <v>5410</v>
      </c>
      <c r="D98" s="36" t="s">
        <v>274</v>
      </c>
      <c r="E98" s="38" t="s">
        <v>418</v>
      </c>
      <c r="F98" s="36">
        <v>0</v>
      </c>
      <c r="G98" s="36" t="s">
        <v>408</v>
      </c>
      <c r="H98" s="36" t="s">
        <v>409</v>
      </c>
      <c r="I98" s="1352" t="s">
        <v>2463</v>
      </c>
    </row>
    <row r="99" spans="1:9" ht="15.95" customHeight="1">
      <c r="A99" s="36">
        <v>370</v>
      </c>
      <c r="B99" s="36" t="s">
        <v>266</v>
      </c>
      <c r="C99" s="36">
        <v>5411</v>
      </c>
      <c r="D99" s="36" t="s">
        <v>274</v>
      </c>
      <c r="E99" s="38" t="s">
        <v>419</v>
      </c>
      <c r="F99" s="36">
        <v>0</v>
      </c>
      <c r="G99" s="36" t="s">
        <v>393</v>
      </c>
      <c r="H99" s="36" t="s">
        <v>420</v>
      </c>
      <c r="I99" s="1352" t="s">
        <v>2463</v>
      </c>
    </row>
    <row r="100" spans="1:9" ht="15.95" customHeight="1">
      <c r="A100" s="36">
        <v>370</v>
      </c>
      <c r="B100" s="36" t="s">
        <v>266</v>
      </c>
      <c r="C100" s="36">
        <v>5412</v>
      </c>
      <c r="D100" s="36" t="s">
        <v>274</v>
      </c>
      <c r="E100" s="38" t="s">
        <v>421</v>
      </c>
      <c r="F100" s="36">
        <v>0</v>
      </c>
      <c r="G100" s="36" t="s">
        <v>408</v>
      </c>
      <c r="H100" s="36" t="s">
        <v>408</v>
      </c>
      <c r="I100" s="1352" t="s">
        <v>2463</v>
      </c>
    </row>
    <row r="101" spans="1:9" ht="15.95" customHeight="1">
      <c r="A101" s="36">
        <v>370</v>
      </c>
      <c r="B101" s="36" t="s">
        <v>266</v>
      </c>
      <c r="C101" s="36">
        <v>5413</v>
      </c>
      <c r="D101" s="36" t="s">
        <v>274</v>
      </c>
      <c r="E101" s="36" t="s">
        <v>422</v>
      </c>
      <c r="F101" s="36">
        <v>0</v>
      </c>
      <c r="G101" s="36" t="s">
        <v>423</v>
      </c>
      <c r="H101" s="36" t="s">
        <v>409</v>
      </c>
      <c r="I101" s="1352" t="s">
        <v>2463</v>
      </c>
    </row>
    <row r="102" spans="1:9" ht="15.95" customHeight="1">
      <c r="A102" s="36">
        <v>370</v>
      </c>
      <c r="B102" s="36" t="s">
        <v>266</v>
      </c>
      <c r="C102" s="36">
        <v>5414</v>
      </c>
      <c r="D102" s="36" t="s">
        <v>274</v>
      </c>
      <c r="E102" s="36" t="s">
        <v>424</v>
      </c>
      <c r="F102" s="36">
        <v>0</v>
      </c>
      <c r="G102" s="36" t="s">
        <v>408</v>
      </c>
      <c r="H102" s="36" t="s">
        <v>409</v>
      </c>
      <c r="I102" s="1352" t="s">
        <v>2463</v>
      </c>
    </row>
    <row r="103" spans="1:9" ht="15.95" customHeight="1">
      <c r="A103" s="36">
        <v>370</v>
      </c>
      <c r="B103" s="36" t="s">
        <v>266</v>
      </c>
      <c r="C103" s="36">
        <v>5415</v>
      </c>
      <c r="D103" s="36" t="s">
        <v>274</v>
      </c>
      <c r="E103" s="36" t="s">
        <v>425</v>
      </c>
      <c r="F103" s="36">
        <v>0</v>
      </c>
      <c r="G103" s="36" t="s">
        <v>408</v>
      </c>
      <c r="H103" s="36" t="s">
        <v>409</v>
      </c>
      <c r="I103" s="1352" t="s">
        <v>2463</v>
      </c>
    </row>
    <row r="104" spans="1:9" ht="15.95" customHeight="1">
      <c r="A104" s="36">
        <v>370</v>
      </c>
      <c r="B104" s="36" t="s">
        <v>266</v>
      </c>
      <c r="C104" s="36">
        <v>5416</v>
      </c>
      <c r="D104" s="36" t="s">
        <v>274</v>
      </c>
      <c r="E104" s="36" t="s">
        <v>426</v>
      </c>
      <c r="F104" s="36">
        <v>0</v>
      </c>
      <c r="G104" s="36" t="s">
        <v>296</v>
      </c>
      <c r="H104" s="36" t="s">
        <v>408</v>
      </c>
      <c r="I104" s="1352" t="s">
        <v>2463</v>
      </c>
    </row>
    <row r="105" spans="1:9" ht="15.95" customHeight="1">
      <c r="A105" s="36">
        <v>370</v>
      </c>
      <c r="B105" s="36" t="s">
        <v>266</v>
      </c>
      <c r="C105" s="36">
        <v>5417</v>
      </c>
      <c r="D105" s="36" t="s">
        <v>274</v>
      </c>
      <c r="E105" s="38" t="s">
        <v>427</v>
      </c>
      <c r="F105" s="36">
        <v>0</v>
      </c>
      <c r="G105" s="36" t="s">
        <v>428</v>
      </c>
      <c r="H105" s="36" t="s">
        <v>408</v>
      </c>
      <c r="I105" s="1352" t="s">
        <v>2463</v>
      </c>
    </row>
    <row r="106" spans="1:9" ht="15.95" customHeight="1">
      <c r="A106" s="36">
        <v>370</v>
      </c>
      <c r="B106" s="36" t="s">
        <v>266</v>
      </c>
      <c r="C106" s="36">
        <v>5418</v>
      </c>
      <c r="D106" s="36" t="s">
        <v>274</v>
      </c>
      <c r="E106" s="38" t="s">
        <v>429</v>
      </c>
      <c r="F106" s="36">
        <v>0</v>
      </c>
      <c r="G106" s="36" t="s">
        <v>430</v>
      </c>
      <c r="H106" s="36" t="s">
        <v>408</v>
      </c>
      <c r="I106" s="1352" t="s">
        <v>2463</v>
      </c>
    </row>
    <row r="107" spans="1:9" ht="15.95" customHeight="1">
      <c r="A107" s="36">
        <v>370</v>
      </c>
      <c r="B107" s="36" t="s">
        <v>266</v>
      </c>
      <c r="C107" s="36">
        <v>5419</v>
      </c>
      <c r="D107" s="36" t="s">
        <v>274</v>
      </c>
      <c r="E107" s="36" t="s">
        <v>431</v>
      </c>
      <c r="F107" s="36">
        <v>0</v>
      </c>
      <c r="G107" s="36" t="s">
        <v>408</v>
      </c>
      <c r="H107" s="36" t="s">
        <v>409</v>
      </c>
      <c r="I107" s="1352" t="s">
        <v>2463</v>
      </c>
    </row>
    <row r="108" spans="1:9" ht="15.95" customHeight="1">
      <c r="A108" s="36">
        <v>370</v>
      </c>
      <c r="B108" s="36" t="s">
        <v>266</v>
      </c>
      <c r="C108" s="36">
        <v>5420</v>
      </c>
      <c r="D108" s="36" t="s">
        <v>274</v>
      </c>
      <c r="E108" s="36" t="s">
        <v>432</v>
      </c>
      <c r="F108" s="36">
        <v>0</v>
      </c>
      <c r="G108" s="36" t="s">
        <v>423</v>
      </c>
      <c r="H108" s="36" t="s">
        <v>409</v>
      </c>
      <c r="I108" s="1352" t="s">
        <v>2463</v>
      </c>
    </row>
    <row r="109" spans="1:9" ht="15.95" customHeight="1">
      <c r="A109" s="36">
        <v>370</v>
      </c>
      <c r="B109" s="36" t="s">
        <v>266</v>
      </c>
      <c r="C109" s="36">
        <v>5421</v>
      </c>
      <c r="D109" s="36" t="s">
        <v>274</v>
      </c>
      <c r="E109" s="38" t="s">
        <v>433</v>
      </c>
      <c r="F109" s="36">
        <v>0</v>
      </c>
      <c r="G109" s="36" t="s">
        <v>408</v>
      </c>
      <c r="H109" s="36" t="s">
        <v>409</v>
      </c>
      <c r="I109" s="1352" t="s">
        <v>2463</v>
      </c>
    </row>
    <row r="110" spans="1:9" ht="15.95" customHeight="1">
      <c r="A110" s="36">
        <v>370</v>
      </c>
      <c r="B110" s="36" t="s">
        <v>266</v>
      </c>
      <c r="C110" s="36">
        <v>5423</v>
      </c>
      <c r="D110" s="36" t="s">
        <v>274</v>
      </c>
      <c r="E110" s="38" t="s">
        <v>434</v>
      </c>
      <c r="F110" s="36">
        <v>0</v>
      </c>
      <c r="G110" s="36" t="s">
        <v>435</v>
      </c>
      <c r="H110" s="36" t="s">
        <v>436</v>
      </c>
      <c r="I110" s="1352" t="s">
        <v>2463</v>
      </c>
    </row>
    <row r="111" spans="1:9" ht="15.95" customHeight="1">
      <c r="A111" s="36">
        <v>370</v>
      </c>
      <c r="B111" s="36" t="s">
        <v>266</v>
      </c>
      <c r="C111" s="36">
        <v>5424</v>
      </c>
      <c r="D111" s="36" t="s">
        <v>274</v>
      </c>
      <c r="E111" s="38" t="s">
        <v>437</v>
      </c>
      <c r="F111" s="36">
        <v>0</v>
      </c>
      <c r="G111" s="36" t="s">
        <v>438</v>
      </c>
      <c r="H111" s="36" t="s">
        <v>409</v>
      </c>
      <c r="I111" s="1352" t="s">
        <v>2463</v>
      </c>
    </row>
    <row r="112" spans="1:9" ht="15.95" customHeight="1">
      <c r="A112" s="36">
        <v>370</v>
      </c>
      <c r="B112" s="36" t="s">
        <v>266</v>
      </c>
      <c r="C112" s="36">
        <v>5425</v>
      </c>
      <c r="D112" s="36" t="s">
        <v>274</v>
      </c>
      <c r="E112" s="36" t="s">
        <v>439</v>
      </c>
      <c r="F112" s="36">
        <v>0</v>
      </c>
      <c r="G112" s="36" t="s">
        <v>440</v>
      </c>
      <c r="H112" s="36" t="s">
        <v>409</v>
      </c>
      <c r="I112" s="1352" t="s">
        <v>2463</v>
      </c>
    </row>
    <row r="113" spans="1:9" ht="15.95" customHeight="1">
      <c r="A113" s="36">
        <v>370</v>
      </c>
      <c r="B113" s="36" t="s">
        <v>266</v>
      </c>
      <c r="C113" s="36">
        <v>5427</v>
      </c>
      <c r="D113" s="36" t="s">
        <v>274</v>
      </c>
      <c r="E113" s="38" t="s">
        <v>441</v>
      </c>
      <c r="F113" s="36">
        <v>0</v>
      </c>
      <c r="G113" s="36" t="s">
        <v>442</v>
      </c>
      <c r="H113" s="36" t="s">
        <v>408</v>
      </c>
      <c r="I113" s="1352" t="s">
        <v>2463</v>
      </c>
    </row>
    <row r="114" spans="1:9" ht="15.95" customHeight="1">
      <c r="A114" s="36">
        <v>370</v>
      </c>
      <c r="B114" s="36" t="s">
        <v>266</v>
      </c>
      <c r="C114" s="36">
        <v>5428</v>
      </c>
      <c r="D114" s="36" t="s">
        <v>274</v>
      </c>
      <c r="E114" s="38" t="s">
        <v>443</v>
      </c>
      <c r="F114" s="36">
        <v>0</v>
      </c>
      <c r="G114" s="36" t="s">
        <v>444</v>
      </c>
      <c r="H114" s="36" t="s">
        <v>409</v>
      </c>
      <c r="I114" s="1352" t="s">
        <v>2463</v>
      </c>
    </row>
    <row r="115" spans="1:9" ht="15.95" customHeight="1">
      <c r="A115" s="36">
        <v>370</v>
      </c>
      <c r="B115" s="36" t="s">
        <v>266</v>
      </c>
      <c r="C115" s="36">
        <v>5429</v>
      </c>
      <c r="D115" s="36" t="s">
        <v>274</v>
      </c>
      <c r="E115" s="38" t="s">
        <v>445</v>
      </c>
      <c r="F115" s="36">
        <v>0</v>
      </c>
      <c r="G115" s="36" t="s">
        <v>446</v>
      </c>
      <c r="H115" s="36" t="s">
        <v>447</v>
      </c>
      <c r="I115" s="1352" t="s">
        <v>2463</v>
      </c>
    </row>
    <row r="116" spans="1:9" ht="15.95" customHeight="1">
      <c r="A116" s="36">
        <v>370</v>
      </c>
      <c r="B116" s="36" t="s">
        <v>266</v>
      </c>
      <c r="C116" s="36">
        <v>5431</v>
      </c>
      <c r="D116" s="36" t="s">
        <v>274</v>
      </c>
      <c r="E116" s="38" t="s">
        <v>448</v>
      </c>
      <c r="F116" s="36">
        <v>0</v>
      </c>
      <c r="G116" s="36" t="s">
        <v>399</v>
      </c>
      <c r="H116" s="36" t="s">
        <v>449</v>
      </c>
      <c r="I116" s="1352" t="s">
        <v>2463</v>
      </c>
    </row>
    <row r="117" spans="1:9" ht="15.95" customHeight="1">
      <c r="A117" s="36">
        <v>370</v>
      </c>
      <c r="B117" s="36" t="s">
        <v>266</v>
      </c>
      <c r="C117" s="36">
        <v>5432</v>
      </c>
      <c r="D117" s="36" t="s">
        <v>274</v>
      </c>
      <c r="E117" s="38" t="s">
        <v>450</v>
      </c>
      <c r="F117" s="36">
        <v>0</v>
      </c>
      <c r="G117" s="36" t="s">
        <v>399</v>
      </c>
      <c r="H117" s="36" t="s">
        <v>400</v>
      </c>
      <c r="I117" s="1352" t="s">
        <v>2463</v>
      </c>
    </row>
    <row r="118" spans="1:9" ht="15.95" customHeight="1">
      <c r="A118" s="36">
        <v>370</v>
      </c>
      <c r="B118" s="36" t="s">
        <v>266</v>
      </c>
      <c r="C118" s="36">
        <v>5434</v>
      </c>
      <c r="D118" s="36" t="s">
        <v>274</v>
      </c>
      <c r="E118" s="36" t="s">
        <v>451</v>
      </c>
      <c r="F118" s="36">
        <v>0</v>
      </c>
      <c r="G118" s="36" t="s">
        <v>399</v>
      </c>
      <c r="H118" s="36" t="s">
        <v>400</v>
      </c>
      <c r="I118" s="1352" t="s">
        <v>2463</v>
      </c>
    </row>
    <row r="119" spans="1:9" ht="15.95" customHeight="1">
      <c r="A119" s="36">
        <v>370</v>
      </c>
      <c r="B119" s="36" t="s">
        <v>266</v>
      </c>
      <c r="C119" s="36">
        <v>5435</v>
      </c>
      <c r="D119" s="36" t="s">
        <v>274</v>
      </c>
      <c r="E119" s="38" t="s">
        <v>452</v>
      </c>
      <c r="F119" s="36">
        <v>0</v>
      </c>
      <c r="G119" s="36" t="s">
        <v>399</v>
      </c>
      <c r="H119" s="36" t="s">
        <v>400</v>
      </c>
      <c r="I119" s="1352" t="s">
        <v>2463</v>
      </c>
    </row>
    <row r="120" spans="1:9" ht="15.95" customHeight="1">
      <c r="A120" s="36">
        <v>370</v>
      </c>
      <c r="B120" s="36" t="s">
        <v>266</v>
      </c>
      <c r="C120" s="36">
        <v>5436</v>
      </c>
      <c r="D120" s="36" t="s">
        <v>274</v>
      </c>
      <c r="E120" s="38" t="s">
        <v>453</v>
      </c>
      <c r="F120" s="36">
        <v>0</v>
      </c>
      <c r="G120" s="36" t="s">
        <v>454</v>
      </c>
      <c r="H120" s="36" t="s">
        <v>357</v>
      </c>
      <c r="I120" s="1352" t="s">
        <v>2463</v>
      </c>
    </row>
    <row r="121" spans="1:9" ht="15.95" customHeight="1">
      <c r="A121" s="36">
        <v>370</v>
      </c>
      <c r="B121" s="36" t="s">
        <v>266</v>
      </c>
      <c r="C121" s="36">
        <v>5437</v>
      </c>
      <c r="D121" s="36" t="s">
        <v>274</v>
      </c>
      <c r="E121" s="38" t="s">
        <v>455</v>
      </c>
      <c r="F121" s="36">
        <v>0</v>
      </c>
      <c r="G121" s="36" t="s">
        <v>270</v>
      </c>
      <c r="H121" s="36" t="s">
        <v>436</v>
      </c>
      <c r="I121" s="1352" t="s">
        <v>2463</v>
      </c>
    </row>
    <row r="122" spans="1:9" ht="15.95" customHeight="1">
      <c r="A122" s="36">
        <v>370</v>
      </c>
      <c r="B122" s="36" t="s">
        <v>266</v>
      </c>
      <c r="C122" s="36">
        <v>5438</v>
      </c>
      <c r="D122" s="36" t="s">
        <v>274</v>
      </c>
      <c r="E122" s="38" t="s">
        <v>456</v>
      </c>
      <c r="F122" s="36">
        <v>0</v>
      </c>
      <c r="G122" s="36" t="s">
        <v>454</v>
      </c>
      <c r="H122" s="36" t="s">
        <v>357</v>
      </c>
      <c r="I122" s="1352" t="s">
        <v>2463</v>
      </c>
    </row>
    <row r="123" spans="1:9" ht="15.95" customHeight="1">
      <c r="A123" s="36">
        <v>370</v>
      </c>
      <c r="B123" s="36" t="s">
        <v>266</v>
      </c>
      <c r="C123" s="36">
        <v>5439</v>
      </c>
      <c r="D123" s="36" t="s">
        <v>274</v>
      </c>
      <c r="E123" s="38" t="s">
        <v>457</v>
      </c>
      <c r="F123" s="36">
        <v>0</v>
      </c>
      <c r="G123" s="36" t="s">
        <v>297</v>
      </c>
      <c r="H123" s="36" t="s">
        <v>306</v>
      </c>
      <c r="I123" s="1352" t="s">
        <v>2463</v>
      </c>
    </row>
    <row r="124" spans="1:9" ht="15.95" customHeight="1">
      <c r="A124" s="36">
        <v>370</v>
      </c>
      <c r="B124" s="36" t="s">
        <v>266</v>
      </c>
      <c r="C124" s="36">
        <v>5440</v>
      </c>
      <c r="D124" s="36" t="s">
        <v>274</v>
      </c>
      <c r="E124" s="38" t="s">
        <v>458</v>
      </c>
      <c r="F124" s="36">
        <v>0</v>
      </c>
      <c r="G124" s="36" t="s">
        <v>459</v>
      </c>
      <c r="H124" s="36" t="s">
        <v>306</v>
      </c>
      <c r="I124" s="1352" t="s">
        <v>2463</v>
      </c>
    </row>
    <row r="125" spans="1:9" ht="15.95" customHeight="1">
      <c r="A125" s="36">
        <v>370</v>
      </c>
      <c r="B125" s="36" t="s">
        <v>266</v>
      </c>
      <c r="C125" s="36">
        <v>5441</v>
      </c>
      <c r="D125" s="36" t="s">
        <v>274</v>
      </c>
      <c r="E125" s="38" t="s">
        <v>460</v>
      </c>
      <c r="F125" s="36">
        <v>0</v>
      </c>
      <c r="G125" s="36" t="s">
        <v>297</v>
      </c>
      <c r="H125" s="36" t="s">
        <v>461</v>
      </c>
      <c r="I125" s="1352" t="s">
        <v>2463</v>
      </c>
    </row>
    <row r="126" spans="1:9" ht="15.95" customHeight="1">
      <c r="A126" s="36">
        <v>370</v>
      </c>
      <c r="B126" s="36" t="s">
        <v>266</v>
      </c>
      <c r="C126" s="36">
        <v>5442</v>
      </c>
      <c r="D126" s="36" t="s">
        <v>274</v>
      </c>
      <c r="E126" s="38" t="s">
        <v>462</v>
      </c>
      <c r="F126" s="36">
        <v>0</v>
      </c>
      <c r="G126" s="36" t="s">
        <v>297</v>
      </c>
      <c r="H126" s="36" t="s">
        <v>461</v>
      </c>
      <c r="I126" s="1352" t="s">
        <v>2463</v>
      </c>
    </row>
    <row r="127" spans="1:9" ht="15.95" customHeight="1">
      <c r="A127" s="36">
        <v>370</v>
      </c>
      <c r="B127" s="36" t="s">
        <v>266</v>
      </c>
      <c r="C127" s="36">
        <v>5443</v>
      </c>
      <c r="D127" s="36" t="s">
        <v>274</v>
      </c>
      <c r="E127" s="36" t="s">
        <v>463</v>
      </c>
      <c r="F127" s="36">
        <v>0</v>
      </c>
      <c r="G127" s="36" t="s">
        <v>297</v>
      </c>
      <c r="H127" s="36" t="s">
        <v>464</v>
      </c>
      <c r="I127" s="1352" t="s">
        <v>2463</v>
      </c>
    </row>
    <row r="128" spans="1:9" ht="15.95" customHeight="1">
      <c r="A128" s="36">
        <v>370</v>
      </c>
      <c r="B128" s="36" t="s">
        <v>266</v>
      </c>
      <c r="C128" s="36">
        <v>5444</v>
      </c>
      <c r="D128" s="36" t="s">
        <v>274</v>
      </c>
      <c r="E128" s="36" t="s">
        <v>465</v>
      </c>
      <c r="F128" s="36">
        <v>0</v>
      </c>
      <c r="G128" s="36" t="s">
        <v>454</v>
      </c>
      <c r="H128" s="36" t="s">
        <v>466</v>
      </c>
      <c r="I128" s="1352" t="s">
        <v>2463</v>
      </c>
    </row>
    <row r="129" spans="1:9" ht="15.95" customHeight="1">
      <c r="A129" s="36">
        <v>370</v>
      </c>
      <c r="B129" s="36" t="s">
        <v>266</v>
      </c>
      <c r="C129" s="36">
        <v>5445</v>
      </c>
      <c r="D129" s="36" t="s">
        <v>274</v>
      </c>
      <c r="E129" s="36" t="s">
        <v>467</v>
      </c>
      <c r="F129" s="36">
        <v>0</v>
      </c>
      <c r="G129" s="36" t="s">
        <v>454</v>
      </c>
      <c r="H129" s="36" t="s">
        <v>466</v>
      </c>
      <c r="I129" s="1352" t="s">
        <v>2463</v>
      </c>
    </row>
    <row r="130" spans="1:9" ht="15.95" customHeight="1">
      <c r="A130" s="36">
        <v>370</v>
      </c>
      <c r="B130" s="36" t="s">
        <v>266</v>
      </c>
      <c r="C130" s="36">
        <v>5446</v>
      </c>
      <c r="D130" s="36" t="s">
        <v>274</v>
      </c>
      <c r="E130" s="38" t="s">
        <v>468</v>
      </c>
      <c r="F130" s="36">
        <v>0</v>
      </c>
      <c r="G130" s="36" t="s">
        <v>417</v>
      </c>
      <c r="H130" s="36" t="s">
        <v>387</v>
      </c>
      <c r="I130" s="1352" t="s">
        <v>2463</v>
      </c>
    </row>
    <row r="131" spans="1:9" ht="15.95" customHeight="1">
      <c r="A131" s="36">
        <v>370</v>
      </c>
      <c r="B131" s="36" t="s">
        <v>266</v>
      </c>
      <c r="C131" s="36">
        <v>5447</v>
      </c>
      <c r="D131" s="36" t="s">
        <v>274</v>
      </c>
      <c r="E131" s="38" t="s">
        <v>469</v>
      </c>
      <c r="F131" s="36">
        <v>0</v>
      </c>
      <c r="G131" s="36" t="s">
        <v>454</v>
      </c>
      <c r="H131" s="36" t="s">
        <v>466</v>
      </c>
      <c r="I131" s="1352" t="s">
        <v>2463</v>
      </c>
    </row>
    <row r="132" spans="1:9" ht="15.95" customHeight="1">
      <c r="A132" s="36">
        <v>370</v>
      </c>
      <c r="B132" s="36" t="s">
        <v>266</v>
      </c>
      <c r="C132" s="36">
        <v>5448</v>
      </c>
      <c r="D132" s="36" t="s">
        <v>274</v>
      </c>
      <c r="E132" s="38" t="s">
        <v>470</v>
      </c>
      <c r="F132" s="36">
        <v>0</v>
      </c>
      <c r="G132" s="36" t="s">
        <v>417</v>
      </c>
      <c r="H132" s="36" t="s">
        <v>387</v>
      </c>
      <c r="I132" s="1352" t="s">
        <v>2463</v>
      </c>
    </row>
    <row r="133" spans="1:9" ht="15.95" customHeight="1">
      <c r="A133" s="36">
        <v>370</v>
      </c>
      <c r="B133" s="36" t="s">
        <v>266</v>
      </c>
      <c r="C133" s="36">
        <v>5449</v>
      </c>
      <c r="D133" s="36" t="s">
        <v>274</v>
      </c>
      <c r="E133" s="36" t="s">
        <v>471</v>
      </c>
      <c r="F133" s="36">
        <v>0</v>
      </c>
      <c r="G133" s="36" t="s">
        <v>454</v>
      </c>
      <c r="H133" s="36" t="s">
        <v>454</v>
      </c>
      <c r="I133" s="1352" t="s">
        <v>2463</v>
      </c>
    </row>
    <row r="134" spans="1:9" ht="15.95" customHeight="1">
      <c r="A134" s="36">
        <v>410</v>
      </c>
      <c r="B134" s="36" t="s">
        <v>266</v>
      </c>
      <c r="C134" s="36">
        <v>6394</v>
      </c>
      <c r="D134" s="36" t="s">
        <v>300</v>
      </c>
      <c r="E134" s="38" t="s">
        <v>472</v>
      </c>
      <c r="F134" s="36">
        <v>100</v>
      </c>
      <c r="G134" s="36" t="s">
        <v>473</v>
      </c>
      <c r="H134" s="36" t="s">
        <v>474</v>
      </c>
      <c r="I134" s="1352"/>
    </row>
    <row r="135" spans="1:9" ht="15.95" customHeight="1">
      <c r="A135" s="36">
        <v>410</v>
      </c>
      <c r="B135" s="36" t="s">
        <v>266</v>
      </c>
      <c r="C135" s="36">
        <v>6395</v>
      </c>
      <c r="D135" s="36" t="s">
        <v>300</v>
      </c>
      <c r="E135" s="38" t="s">
        <v>475</v>
      </c>
      <c r="F135" s="36">
        <v>100</v>
      </c>
      <c r="G135" s="36" t="s">
        <v>476</v>
      </c>
      <c r="H135" s="36" t="s">
        <v>387</v>
      </c>
      <c r="I135" s="1352"/>
    </row>
    <row r="136" spans="1:9" ht="15.95" customHeight="1">
      <c r="A136" s="36">
        <v>410</v>
      </c>
      <c r="B136" s="36" t="s">
        <v>266</v>
      </c>
      <c r="C136" s="36">
        <v>6396</v>
      </c>
      <c r="D136" s="36" t="s">
        <v>300</v>
      </c>
      <c r="E136" s="38" t="s">
        <v>477</v>
      </c>
      <c r="F136" s="36">
        <v>100</v>
      </c>
      <c r="G136" s="36" t="s">
        <v>478</v>
      </c>
      <c r="H136" s="36" t="s">
        <v>479</v>
      </c>
      <c r="I136" s="1352"/>
    </row>
    <row r="137" spans="1:9" ht="15.95" customHeight="1">
      <c r="A137" s="36">
        <v>537</v>
      </c>
      <c r="B137" s="36" t="s">
        <v>266</v>
      </c>
      <c r="C137" s="36"/>
      <c r="D137" s="36" t="s">
        <v>480</v>
      </c>
      <c r="E137" s="38" t="s">
        <v>481</v>
      </c>
      <c r="F137" s="36">
        <v>100</v>
      </c>
      <c r="G137" s="39">
        <v>42095</v>
      </c>
      <c r="H137" s="39">
        <v>42308</v>
      </c>
      <c r="I137" s="1352"/>
    </row>
    <row r="138" spans="1:9" ht="15.95" customHeight="1">
      <c r="A138" s="36">
        <v>614</v>
      </c>
      <c r="B138" s="36" t="s">
        <v>308</v>
      </c>
      <c r="C138" s="36"/>
      <c r="D138" s="36" t="s">
        <v>482</v>
      </c>
      <c r="E138" s="38" t="s">
        <v>483</v>
      </c>
      <c r="F138" s="36">
        <v>0</v>
      </c>
      <c r="G138" s="39">
        <v>42373</v>
      </c>
      <c r="H138" s="39">
        <v>42490</v>
      </c>
      <c r="I138" s="1352" t="s">
        <v>2463</v>
      </c>
    </row>
    <row r="139" spans="1:9" ht="15.95" customHeight="1">
      <c r="A139" s="36">
        <v>614</v>
      </c>
      <c r="B139" s="36" t="s">
        <v>308</v>
      </c>
      <c r="C139" s="36"/>
      <c r="D139" s="36" t="s">
        <v>274</v>
      </c>
      <c r="E139" s="38" t="s">
        <v>484</v>
      </c>
      <c r="F139" s="36">
        <v>0</v>
      </c>
      <c r="G139" s="39">
        <v>42370</v>
      </c>
      <c r="H139" s="39">
        <v>42429</v>
      </c>
      <c r="I139" s="1352" t="s">
        <v>2464</v>
      </c>
    </row>
    <row r="140" spans="1:9" ht="15.95" customHeight="1">
      <c r="A140" s="36">
        <v>614</v>
      </c>
      <c r="B140" s="36" t="s">
        <v>308</v>
      </c>
      <c r="C140" s="36"/>
      <c r="D140" s="36" t="s">
        <v>277</v>
      </c>
      <c r="E140" s="38" t="s">
        <v>485</v>
      </c>
      <c r="F140" s="36">
        <v>0</v>
      </c>
      <c r="G140" s="39">
        <v>42401</v>
      </c>
      <c r="H140" s="39">
        <v>42459</v>
      </c>
      <c r="I140" s="1352" t="s">
        <v>2464</v>
      </c>
    </row>
    <row r="141" spans="1:9" ht="15.95" customHeight="1">
      <c r="A141" s="36">
        <v>614</v>
      </c>
      <c r="B141" s="36" t="s">
        <v>308</v>
      </c>
      <c r="C141" s="36"/>
      <c r="D141" s="36" t="s">
        <v>486</v>
      </c>
      <c r="E141" s="38" t="s">
        <v>487</v>
      </c>
      <c r="F141" s="36">
        <v>0</v>
      </c>
      <c r="G141" s="39">
        <v>42323</v>
      </c>
      <c r="H141" s="39">
        <v>42339</v>
      </c>
      <c r="I141" s="1352" t="s">
        <v>2464</v>
      </c>
    </row>
    <row r="142" spans="1:9" ht="15.95" customHeight="1">
      <c r="A142" s="36">
        <v>614</v>
      </c>
      <c r="B142" s="36" t="s">
        <v>308</v>
      </c>
      <c r="C142" s="36"/>
      <c r="D142" s="36" t="s">
        <v>267</v>
      </c>
      <c r="E142" s="38" t="s">
        <v>488</v>
      </c>
      <c r="F142" s="36">
        <v>0</v>
      </c>
      <c r="G142" s="39">
        <v>42398</v>
      </c>
      <c r="H142" s="39">
        <v>42431</v>
      </c>
      <c r="I142" s="1352" t="s">
        <v>2464</v>
      </c>
    </row>
    <row r="143" spans="1:9" ht="33" customHeight="1">
      <c r="A143" s="1357">
        <v>668</v>
      </c>
      <c r="B143" s="1357" t="s">
        <v>489</v>
      </c>
      <c r="C143" s="1357"/>
      <c r="D143" s="1357" t="s">
        <v>300</v>
      </c>
      <c r="E143" s="1358" t="s">
        <v>490</v>
      </c>
      <c r="F143" s="1357">
        <v>0</v>
      </c>
      <c r="G143" s="1359">
        <v>42339</v>
      </c>
      <c r="H143" s="1359">
        <v>42400</v>
      </c>
      <c r="I143" s="1360" t="s">
        <v>2463</v>
      </c>
    </row>
    <row r="144" spans="1:9" ht="15.95" customHeight="1">
      <c r="A144" s="36">
        <v>668</v>
      </c>
      <c r="B144" s="36" t="s">
        <v>489</v>
      </c>
      <c r="C144" s="36"/>
      <c r="D144" s="36" t="s">
        <v>300</v>
      </c>
      <c r="E144" s="38" t="s">
        <v>491</v>
      </c>
      <c r="F144" s="36">
        <v>0</v>
      </c>
      <c r="G144" s="39">
        <v>42370</v>
      </c>
      <c r="H144" s="39">
        <v>42735</v>
      </c>
      <c r="I144" s="1352" t="s">
        <v>2464</v>
      </c>
    </row>
    <row r="145" spans="1:9" ht="15.95" customHeight="1">
      <c r="A145" s="36">
        <v>668</v>
      </c>
      <c r="B145" s="36" t="s">
        <v>489</v>
      </c>
      <c r="C145" s="36"/>
      <c r="D145" s="36" t="s">
        <v>300</v>
      </c>
      <c r="E145" s="38" t="s">
        <v>492</v>
      </c>
      <c r="F145" s="36">
        <v>0</v>
      </c>
      <c r="G145" s="39">
        <v>42370</v>
      </c>
      <c r="H145" s="39">
        <v>42735</v>
      </c>
      <c r="I145" s="1352" t="s">
        <v>2464</v>
      </c>
    </row>
    <row r="146" spans="1:9" ht="15.95" customHeight="1">
      <c r="A146" s="36">
        <v>668</v>
      </c>
      <c r="B146" s="36" t="s">
        <v>489</v>
      </c>
      <c r="C146" s="36"/>
      <c r="D146" s="36" t="s">
        <v>300</v>
      </c>
      <c r="E146" s="38" t="s">
        <v>493</v>
      </c>
      <c r="F146" s="36">
        <v>0</v>
      </c>
      <c r="G146" s="39">
        <v>42370</v>
      </c>
      <c r="H146" s="39">
        <v>42735</v>
      </c>
      <c r="I146" s="1352" t="s">
        <v>2464</v>
      </c>
    </row>
    <row r="147" spans="1:9" ht="15.95" customHeight="1">
      <c r="A147" s="36">
        <v>668</v>
      </c>
      <c r="B147" s="36" t="s">
        <v>489</v>
      </c>
      <c r="C147" s="36"/>
      <c r="D147" s="36" t="s">
        <v>300</v>
      </c>
      <c r="E147" s="38" t="s">
        <v>494</v>
      </c>
      <c r="F147" s="36">
        <v>0</v>
      </c>
      <c r="G147" s="39">
        <v>42339</v>
      </c>
      <c r="H147" s="39">
        <v>42735</v>
      </c>
      <c r="I147" s="1352" t="s">
        <v>2464</v>
      </c>
    </row>
    <row r="148" spans="1:9" ht="15.95" customHeight="1">
      <c r="A148" s="36">
        <v>668</v>
      </c>
      <c r="B148" s="36" t="s">
        <v>489</v>
      </c>
      <c r="C148" s="36"/>
      <c r="D148" s="36" t="s">
        <v>300</v>
      </c>
      <c r="E148" s="38" t="s">
        <v>495</v>
      </c>
      <c r="F148" s="36">
        <v>0</v>
      </c>
      <c r="G148" s="39">
        <v>42372</v>
      </c>
      <c r="H148" s="39">
        <v>42735</v>
      </c>
      <c r="I148" s="1352" t="s">
        <v>2464</v>
      </c>
    </row>
    <row r="149" spans="1:9" ht="15.95" customHeight="1">
      <c r="A149" s="36">
        <v>668</v>
      </c>
      <c r="B149" s="36" t="s">
        <v>489</v>
      </c>
      <c r="C149" s="36"/>
      <c r="D149" s="36" t="s">
        <v>300</v>
      </c>
      <c r="E149" s="38" t="s">
        <v>496</v>
      </c>
      <c r="F149" s="36">
        <v>0</v>
      </c>
      <c r="G149" s="39">
        <v>42339</v>
      </c>
      <c r="H149" s="39">
        <v>42735</v>
      </c>
      <c r="I149" s="1352" t="s">
        <v>2464</v>
      </c>
    </row>
    <row r="150" spans="1:9" ht="15.95" customHeight="1">
      <c r="A150" s="36">
        <v>668</v>
      </c>
      <c r="B150" s="36" t="s">
        <v>489</v>
      </c>
      <c r="C150" s="36"/>
      <c r="D150" s="36" t="s">
        <v>300</v>
      </c>
      <c r="E150" s="38" t="s">
        <v>497</v>
      </c>
      <c r="F150" s="36">
        <v>0</v>
      </c>
      <c r="G150" s="39">
        <v>42339</v>
      </c>
      <c r="H150" s="39">
        <v>42735</v>
      </c>
      <c r="I150" s="1352" t="s">
        <v>2464</v>
      </c>
    </row>
    <row r="151" spans="1:9" ht="15.75" customHeight="1">
      <c r="A151" s="36">
        <v>668</v>
      </c>
      <c r="B151" s="36" t="s">
        <v>489</v>
      </c>
      <c r="C151" s="36"/>
      <c r="D151" s="36" t="s">
        <v>300</v>
      </c>
      <c r="E151" s="38" t="s">
        <v>498</v>
      </c>
      <c r="F151" s="36">
        <v>0</v>
      </c>
      <c r="G151" s="39">
        <v>42008</v>
      </c>
      <c r="H151" s="36"/>
      <c r="I151" s="1352" t="s">
        <v>2464</v>
      </c>
    </row>
    <row r="152" spans="1:9" ht="15" customHeight="1">
      <c r="A152" s="36">
        <v>692</v>
      </c>
      <c r="B152" s="36" t="s">
        <v>266</v>
      </c>
      <c r="C152" s="36"/>
      <c r="D152" s="36" t="s">
        <v>300</v>
      </c>
      <c r="E152" s="38" t="s">
        <v>2436</v>
      </c>
      <c r="F152" s="36">
        <v>0</v>
      </c>
      <c r="G152" s="39">
        <v>42008</v>
      </c>
      <c r="H152" s="36"/>
      <c r="I152" s="1352" t="s">
        <v>2464</v>
      </c>
    </row>
    <row r="153" spans="1:9" ht="15" customHeight="1">
      <c r="A153" s="36">
        <v>692</v>
      </c>
      <c r="B153" s="36" t="s">
        <v>266</v>
      </c>
      <c r="C153" s="36"/>
      <c r="D153" s="36" t="s">
        <v>300</v>
      </c>
      <c r="E153" s="38" t="s">
        <v>2437</v>
      </c>
      <c r="F153" s="36">
        <v>0</v>
      </c>
      <c r="G153" s="39">
        <v>42008</v>
      </c>
      <c r="H153" s="36"/>
      <c r="I153" s="1352" t="s">
        <v>2464</v>
      </c>
    </row>
    <row r="154" spans="1:9" ht="15" customHeight="1">
      <c r="A154" s="36">
        <v>692</v>
      </c>
      <c r="B154" s="36" t="s">
        <v>266</v>
      </c>
      <c r="C154" s="36"/>
      <c r="D154" s="36" t="s">
        <v>318</v>
      </c>
      <c r="E154" s="38" t="s">
        <v>2438</v>
      </c>
      <c r="F154" s="36">
        <v>0</v>
      </c>
      <c r="G154" s="39">
        <v>42008</v>
      </c>
      <c r="H154" s="36"/>
      <c r="I154" s="1352" t="s">
        <v>2464</v>
      </c>
    </row>
    <row r="155" spans="1:9" ht="15" customHeight="1">
      <c r="A155" s="36">
        <v>692</v>
      </c>
      <c r="B155" s="36" t="s">
        <v>266</v>
      </c>
      <c r="C155" s="36"/>
      <c r="D155" s="36" t="s">
        <v>318</v>
      </c>
      <c r="E155" s="38" t="s">
        <v>2439</v>
      </c>
      <c r="F155" s="36">
        <v>0</v>
      </c>
      <c r="G155" s="39">
        <v>42008</v>
      </c>
      <c r="H155" s="36"/>
      <c r="I155" s="1352" t="s">
        <v>2464</v>
      </c>
    </row>
    <row r="156" spans="1:9" ht="15" customHeight="1">
      <c r="A156" s="36">
        <v>692</v>
      </c>
      <c r="B156" s="36" t="s">
        <v>266</v>
      </c>
      <c r="C156" s="36"/>
      <c r="D156" s="36" t="s">
        <v>292</v>
      </c>
      <c r="E156" s="38" t="s">
        <v>2440</v>
      </c>
      <c r="F156" s="36">
        <v>0</v>
      </c>
      <c r="G156" s="39">
        <v>42008</v>
      </c>
      <c r="H156" s="36"/>
      <c r="I156" s="1352" t="s">
        <v>2464</v>
      </c>
    </row>
    <row r="157" spans="1:9" ht="15.95" customHeight="1">
      <c r="A157" s="36">
        <v>692</v>
      </c>
      <c r="B157" s="36" t="s">
        <v>266</v>
      </c>
      <c r="C157" s="36"/>
      <c r="D157" s="36" t="s">
        <v>292</v>
      </c>
      <c r="E157" s="38" t="s">
        <v>2441</v>
      </c>
      <c r="F157" s="36">
        <v>0</v>
      </c>
      <c r="G157" s="39">
        <v>42008</v>
      </c>
      <c r="H157" s="36"/>
      <c r="I157" s="1352" t="s">
        <v>2464</v>
      </c>
    </row>
    <row r="158" spans="1:9" ht="15.95" customHeight="1">
      <c r="A158" s="36">
        <v>703</v>
      </c>
      <c r="B158" s="36" t="s">
        <v>2457</v>
      </c>
      <c r="C158" s="36"/>
      <c r="D158" s="36" t="s">
        <v>2458</v>
      </c>
      <c r="E158" s="38" t="s">
        <v>2459</v>
      </c>
      <c r="F158" s="36">
        <v>0</v>
      </c>
      <c r="G158" s="39">
        <v>42359</v>
      </c>
      <c r="H158" s="39">
        <v>42460</v>
      </c>
      <c r="I158" s="1352" t="s">
        <v>2464</v>
      </c>
    </row>
    <row r="159" spans="1:9" ht="15.95" customHeight="1">
      <c r="A159" s="36">
        <v>732</v>
      </c>
      <c r="B159" s="36" t="s">
        <v>266</v>
      </c>
      <c r="C159" s="36"/>
      <c r="D159" s="36" t="s">
        <v>300</v>
      </c>
      <c r="E159" s="38" t="s">
        <v>2442</v>
      </c>
      <c r="F159" s="36">
        <v>0</v>
      </c>
      <c r="G159" s="39">
        <v>42417</v>
      </c>
      <c r="H159" s="36"/>
      <c r="I159" s="1352" t="s">
        <v>2464</v>
      </c>
    </row>
    <row r="160" spans="1:9" ht="15.95" customHeight="1">
      <c r="A160" s="36">
        <v>732</v>
      </c>
      <c r="B160" s="36" t="s">
        <v>266</v>
      </c>
      <c r="C160" s="36"/>
      <c r="D160" s="36" t="s">
        <v>300</v>
      </c>
      <c r="E160" s="38" t="s">
        <v>2443</v>
      </c>
      <c r="F160" s="36">
        <v>0</v>
      </c>
      <c r="G160" s="39">
        <v>42417</v>
      </c>
      <c r="H160" s="36"/>
      <c r="I160" s="1352" t="s">
        <v>2464</v>
      </c>
    </row>
    <row r="161" spans="1:9" ht="15" customHeight="1">
      <c r="A161" s="36">
        <v>732</v>
      </c>
      <c r="B161" s="36" t="s">
        <v>266</v>
      </c>
      <c r="C161" s="36"/>
      <c r="D161" s="36" t="s">
        <v>300</v>
      </c>
      <c r="E161" s="38" t="s">
        <v>2444</v>
      </c>
      <c r="F161" s="36">
        <v>0</v>
      </c>
      <c r="G161" s="39">
        <v>42417</v>
      </c>
      <c r="H161" s="36"/>
      <c r="I161" s="1352" t="s">
        <v>2464</v>
      </c>
    </row>
    <row r="162" spans="1:9" ht="15" customHeight="1">
      <c r="A162" s="36">
        <v>732</v>
      </c>
      <c r="B162" s="36" t="s">
        <v>266</v>
      </c>
      <c r="C162" s="36"/>
      <c r="D162" s="36" t="s">
        <v>300</v>
      </c>
      <c r="E162" s="38" t="s">
        <v>2445</v>
      </c>
      <c r="F162" s="36">
        <v>0</v>
      </c>
      <c r="G162" s="39">
        <v>42417</v>
      </c>
      <c r="H162" s="36"/>
      <c r="I162" s="1352" t="s">
        <v>2464</v>
      </c>
    </row>
    <row r="163" spans="1:9" ht="15" customHeight="1">
      <c r="A163" s="36">
        <v>732</v>
      </c>
      <c r="B163" s="36" t="s">
        <v>266</v>
      </c>
      <c r="C163" s="36"/>
      <c r="D163" s="36" t="s">
        <v>300</v>
      </c>
      <c r="E163" s="38" t="s">
        <v>2446</v>
      </c>
      <c r="F163" s="36">
        <v>0</v>
      </c>
      <c r="G163" s="39">
        <v>42417</v>
      </c>
      <c r="H163" s="36"/>
      <c r="I163" s="1352" t="s">
        <v>2464</v>
      </c>
    </row>
    <row r="164" spans="1:9" ht="15" customHeight="1">
      <c r="A164" s="36">
        <v>732</v>
      </c>
      <c r="B164" s="36" t="s">
        <v>266</v>
      </c>
      <c r="C164" s="36"/>
      <c r="D164" s="36" t="s">
        <v>300</v>
      </c>
      <c r="E164" s="38" t="s">
        <v>2447</v>
      </c>
      <c r="F164" s="36">
        <v>0</v>
      </c>
      <c r="G164" s="39">
        <v>42417</v>
      </c>
      <c r="H164" s="36"/>
      <c r="I164" s="1352" t="s">
        <v>2464</v>
      </c>
    </row>
    <row r="165" spans="1:9" ht="15" customHeight="1">
      <c r="A165" s="36">
        <v>732</v>
      </c>
      <c r="B165" s="36" t="s">
        <v>266</v>
      </c>
      <c r="C165" s="36"/>
      <c r="D165" s="36" t="s">
        <v>300</v>
      </c>
      <c r="E165" s="38" t="s">
        <v>2448</v>
      </c>
      <c r="F165" s="36">
        <v>0</v>
      </c>
      <c r="G165" s="39">
        <v>42417</v>
      </c>
      <c r="H165" s="36"/>
      <c r="I165" s="1352" t="s">
        <v>2464</v>
      </c>
    </row>
    <row r="166" spans="1:9" ht="15" customHeight="1">
      <c r="A166" s="36">
        <v>732</v>
      </c>
      <c r="B166" s="36" t="s">
        <v>266</v>
      </c>
      <c r="C166" s="36"/>
      <c r="D166" s="36" t="s">
        <v>300</v>
      </c>
      <c r="E166" s="38" t="s">
        <v>2449</v>
      </c>
      <c r="F166" s="36">
        <v>0</v>
      </c>
      <c r="G166" s="39">
        <v>42417</v>
      </c>
      <c r="H166" s="36"/>
      <c r="I166" s="1352" t="s">
        <v>2464</v>
      </c>
    </row>
    <row r="167" spans="1:9" ht="15" customHeight="1">
      <c r="A167" s="36">
        <v>744</v>
      </c>
      <c r="B167" s="36" t="s">
        <v>266</v>
      </c>
      <c r="C167" s="36"/>
      <c r="D167" s="36" t="s">
        <v>300</v>
      </c>
      <c r="E167" s="38" t="s">
        <v>2451</v>
      </c>
      <c r="F167" s="36">
        <v>0</v>
      </c>
      <c r="G167" s="39">
        <v>42417</v>
      </c>
      <c r="H167" s="36"/>
      <c r="I167" s="1352" t="s">
        <v>2464</v>
      </c>
    </row>
    <row r="168" spans="1:9" ht="15" customHeight="1">
      <c r="A168" s="36">
        <v>744</v>
      </c>
      <c r="B168" s="36" t="s">
        <v>266</v>
      </c>
      <c r="C168" s="36"/>
      <c r="D168" s="36" t="s">
        <v>300</v>
      </c>
      <c r="E168" s="38" t="s">
        <v>2452</v>
      </c>
      <c r="F168" s="36">
        <v>0</v>
      </c>
      <c r="G168" s="39">
        <v>42417</v>
      </c>
      <c r="H168" s="36"/>
      <c r="I168" s="1352" t="s">
        <v>2464</v>
      </c>
    </row>
    <row r="169" spans="1:9" ht="15" customHeight="1">
      <c r="A169" s="36">
        <v>744</v>
      </c>
      <c r="B169" s="36" t="s">
        <v>266</v>
      </c>
      <c r="C169" s="36"/>
      <c r="D169" s="36" t="s">
        <v>300</v>
      </c>
      <c r="E169" s="38" t="s">
        <v>2453</v>
      </c>
      <c r="F169" s="36">
        <v>0</v>
      </c>
      <c r="G169" s="39">
        <v>42417</v>
      </c>
      <c r="H169" s="36"/>
      <c r="I169" s="1352" t="s">
        <v>2464</v>
      </c>
    </row>
    <row r="170" spans="1:9" ht="15" customHeight="1">
      <c r="A170" s="36">
        <v>744</v>
      </c>
      <c r="B170" s="36" t="s">
        <v>266</v>
      </c>
      <c r="C170" s="36"/>
      <c r="D170" s="36" t="s">
        <v>300</v>
      </c>
      <c r="E170" s="38" t="s">
        <v>2454</v>
      </c>
      <c r="F170" s="36">
        <v>0</v>
      </c>
      <c r="G170" s="39">
        <v>42417</v>
      </c>
      <c r="H170" s="36"/>
      <c r="I170" s="1352" t="s">
        <v>2464</v>
      </c>
    </row>
    <row r="171" spans="1:9" ht="15" customHeight="1">
      <c r="A171" s="36">
        <v>761</v>
      </c>
      <c r="B171" s="36" t="s">
        <v>266</v>
      </c>
      <c r="C171" s="36"/>
      <c r="D171" s="36" t="s">
        <v>300</v>
      </c>
      <c r="E171" s="38" t="s">
        <v>2455</v>
      </c>
      <c r="F171" s="36">
        <v>0</v>
      </c>
      <c r="G171" s="39">
        <v>42443</v>
      </c>
      <c r="H171" s="36"/>
      <c r="I171" s="1352" t="s">
        <v>2464</v>
      </c>
    </row>
    <row r="172" spans="1:9" ht="15" customHeight="1">
      <c r="A172" s="36">
        <v>785</v>
      </c>
      <c r="B172" s="36" t="s">
        <v>2450</v>
      </c>
      <c r="C172" s="36"/>
      <c r="D172" s="36" t="s">
        <v>274</v>
      </c>
      <c r="E172" s="38" t="s">
        <v>2456</v>
      </c>
      <c r="F172" s="36">
        <v>0</v>
      </c>
      <c r="G172" s="39">
        <v>42460</v>
      </c>
      <c r="H172" s="36"/>
      <c r="I172" s="1352" t="s">
        <v>2464</v>
      </c>
    </row>
  </sheetData>
  <sheetProtection password="EDC9" sheet="1" objects="1" scenarios="1" selectLockedCells="1" selectUnlockedCells="1"/>
  <autoFilter ref="A1:I172"/>
  <pageMargins left="0.7" right="0.7" top="0.75" bottom="0.75" header="0.51180555555555551" footer="0.51180555555555551"/>
  <pageSetup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topLeftCell="B16" workbookViewId="0">
      <selection activeCell="E16" sqref="E16"/>
    </sheetView>
  </sheetViews>
  <sheetFormatPr baseColWidth="10" defaultRowHeight="14.25"/>
  <cols>
    <col min="1" max="2" width="11.42578125" style="1"/>
    <col min="3" max="3" width="27.5703125" style="1" customWidth="1"/>
    <col min="4" max="4" width="11.42578125" style="1"/>
    <col min="5" max="5" width="33.5703125" style="1" customWidth="1"/>
    <col min="6" max="6" width="24.140625" style="1" customWidth="1"/>
    <col min="7" max="7" width="33.140625" style="1" customWidth="1"/>
    <col min="8" max="8" width="24.7109375" style="1" customWidth="1"/>
    <col min="9" max="9" width="16.140625" style="1" customWidth="1"/>
    <col min="10" max="10" width="22.5703125" style="1" customWidth="1"/>
    <col min="11" max="11" width="24.42578125" style="1" customWidth="1"/>
    <col min="12" max="12" width="16.7109375" style="1" customWidth="1"/>
    <col min="13" max="13" width="16.85546875" style="1" customWidth="1"/>
    <col min="14" max="16384" width="11.42578125" style="1"/>
  </cols>
  <sheetData>
    <row r="1" spans="1:19">
      <c r="B1" s="2" t="s">
        <v>0</v>
      </c>
      <c r="C1" s="2">
        <v>8</v>
      </c>
      <c r="D1" s="1751" t="s">
        <v>1</v>
      </c>
      <c r="E1" s="1751"/>
      <c r="F1" s="1751"/>
      <c r="G1" s="1751"/>
      <c r="H1" s="1751"/>
    </row>
    <row r="2" spans="1:19" ht="15" customHeight="1">
      <c r="B2" s="2" t="s">
        <v>2</v>
      </c>
      <c r="C2" s="2">
        <v>3401</v>
      </c>
      <c r="D2" s="1751" t="s">
        <v>3</v>
      </c>
      <c r="E2" s="1751"/>
      <c r="F2" s="1751"/>
      <c r="G2" s="1751"/>
      <c r="H2" s="1751"/>
    </row>
    <row r="3" spans="1:19">
      <c r="B3" s="2" t="s">
        <v>4</v>
      </c>
      <c r="C3" s="2">
        <v>1</v>
      </c>
    </row>
    <row r="4" spans="1:19">
      <c r="B4" s="2" t="s">
        <v>5</v>
      </c>
      <c r="C4" s="2">
        <v>608</v>
      </c>
    </row>
    <row r="5" spans="1:19">
      <c r="B5" s="2" t="s">
        <v>6</v>
      </c>
      <c r="C5" s="3">
        <v>41113</v>
      </c>
    </row>
    <row r="6" spans="1:19">
      <c r="B6" s="2" t="s">
        <v>7</v>
      </c>
      <c r="C6" s="2">
        <v>1</v>
      </c>
      <c r="D6" s="2" t="s">
        <v>8</v>
      </c>
    </row>
    <row r="8" spans="1:19" ht="15" customHeight="1">
      <c r="A8" s="2" t="s">
        <v>9</v>
      </c>
      <c r="B8" s="1751" t="s">
        <v>10</v>
      </c>
      <c r="C8" s="1751"/>
      <c r="D8" s="1751"/>
      <c r="E8" s="1751"/>
      <c r="F8" s="1751"/>
      <c r="G8" s="1751"/>
      <c r="H8" s="1751"/>
      <c r="I8" s="1751"/>
      <c r="J8" s="1751"/>
      <c r="K8" s="1751"/>
      <c r="L8" s="1751"/>
      <c r="M8" s="1751"/>
      <c r="N8" s="1751"/>
      <c r="O8" s="1751"/>
      <c r="P8" s="1751"/>
      <c r="Q8" s="1751"/>
      <c r="R8" s="1751"/>
    </row>
    <row r="9" spans="1:19">
      <c r="C9" s="4">
        <v>4</v>
      </c>
      <c r="D9" s="5">
        <v>8</v>
      </c>
      <c r="E9" s="6">
        <v>12</v>
      </c>
      <c r="F9" s="7">
        <v>16</v>
      </c>
      <c r="G9" s="6">
        <v>20</v>
      </c>
      <c r="H9" s="8">
        <v>24</v>
      </c>
      <c r="I9" s="5">
        <v>28</v>
      </c>
      <c r="J9" s="8">
        <v>32</v>
      </c>
      <c r="K9" s="8">
        <v>36</v>
      </c>
      <c r="L9" s="6">
        <v>40</v>
      </c>
      <c r="M9" s="6">
        <v>44</v>
      </c>
      <c r="N9" s="5">
        <v>48</v>
      </c>
      <c r="O9" s="6">
        <v>52</v>
      </c>
      <c r="P9" s="5">
        <v>56</v>
      </c>
      <c r="Q9" s="5">
        <v>60</v>
      </c>
      <c r="R9" s="5">
        <v>64</v>
      </c>
      <c r="S9" s="5">
        <v>68</v>
      </c>
    </row>
    <row r="10" spans="1:19" ht="51">
      <c r="C10" s="9" t="s">
        <v>11</v>
      </c>
      <c r="D10" s="10" t="s">
        <v>12</v>
      </c>
      <c r="E10" s="9" t="s">
        <v>13</v>
      </c>
      <c r="F10" s="9" t="s">
        <v>14</v>
      </c>
      <c r="G10" s="9" t="s">
        <v>15</v>
      </c>
      <c r="H10" s="9" t="s">
        <v>16</v>
      </c>
      <c r="I10" s="11" t="s">
        <v>17</v>
      </c>
      <c r="J10" s="9" t="s">
        <v>18</v>
      </c>
      <c r="K10" s="12" t="s">
        <v>19</v>
      </c>
      <c r="L10" s="9" t="s">
        <v>20</v>
      </c>
      <c r="M10" s="9" t="s">
        <v>21</v>
      </c>
      <c r="N10" s="11" t="s">
        <v>22</v>
      </c>
      <c r="O10" s="9" t="s">
        <v>23</v>
      </c>
      <c r="P10" s="11" t="s">
        <v>24</v>
      </c>
      <c r="Q10" s="11" t="s">
        <v>25</v>
      </c>
      <c r="R10" s="11" t="s">
        <v>26</v>
      </c>
      <c r="S10" s="11" t="s">
        <v>27</v>
      </c>
    </row>
    <row r="11" spans="1:19" ht="370.5">
      <c r="A11" s="2">
        <v>10</v>
      </c>
      <c r="B11" s="1" t="s">
        <v>28</v>
      </c>
      <c r="C11" s="13" t="s">
        <v>29</v>
      </c>
      <c r="D11" s="14" t="s">
        <v>30</v>
      </c>
      <c r="E11" s="15" t="s">
        <v>31</v>
      </c>
      <c r="F11" s="16" t="s">
        <v>32</v>
      </c>
      <c r="G11" s="15" t="s">
        <v>33</v>
      </c>
      <c r="H11" s="15" t="s">
        <v>34</v>
      </c>
      <c r="I11" s="17" t="s">
        <v>35</v>
      </c>
      <c r="J11" s="15" t="s">
        <v>36</v>
      </c>
      <c r="K11" s="15" t="s">
        <v>37</v>
      </c>
      <c r="L11" s="18">
        <v>42195</v>
      </c>
      <c r="M11" s="19">
        <v>42369</v>
      </c>
      <c r="N11" s="15"/>
      <c r="O11" s="20"/>
      <c r="P11" s="20"/>
      <c r="Q11" s="20"/>
      <c r="R11" s="21" t="s">
        <v>38</v>
      </c>
    </row>
    <row r="12" spans="1:19" ht="299.25">
      <c r="A12" s="2">
        <v>20</v>
      </c>
      <c r="B12" s="1" t="s">
        <v>39</v>
      </c>
      <c r="C12" s="13" t="s">
        <v>29</v>
      </c>
      <c r="D12" s="17" t="s">
        <v>40</v>
      </c>
      <c r="E12" s="15" t="s">
        <v>41</v>
      </c>
      <c r="F12" s="16" t="s">
        <v>42</v>
      </c>
      <c r="G12" s="15" t="s">
        <v>43</v>
      </c>
      <c r="H12" s="15" t="s">
        <v>44</v>
      </c>
      <c r="I12" s="17" t="s">
        <v>45</v>
      </c>
      <c r="J12" s="15" t="s">
        <v>46</v>
      </c>
      <c r="K12" s="15" t="s">
        <v>47</v>
      </c>
      <c r="L12" s="18">
        <v>42195</v>
      </c>
      <c r="M12" s="19">
        <v>42460</v>
      </c>
      <c r="N12" s="22"/>
      <c r="O12" s="20"/>
      <c r="P12" s="20"/>
      <c r="Q12" s="20"/>
      <c r="R12" s="21" t="s">
        <v>38</v>
      </c>
    </row>
    <row r="13" spans="1:19" ht="171">
      <c r="A13" s="2">
        <v>30</v>
      </c>
      <c r="B13" s="1" t="s">
        <v>48</v>
      </c>
      <c r="C13" s="13" t="s">
        <v>49</v>
      </c>
      <c r="D13" s="17" t="s">
        <v>50</v>
      </c>
      <c r="E13" s="15" t="s">
        <v>51</v>
      </c>
      <c r="F13" s="16" t="s">
        <v>52</v>
      </c>
      <c r="G13" s="15" t="s">
        <v>53</v>
      </c>
      <c r="H13" s="15" t="s">
        <v>54</v>
      </c>
      <c r="I13" s="17">
        <v>1</v>
      </c>
      <c r="J13" s="15" t="s">
        <v>55</v>
      </c>
      <c r="K13" s="15" t="s">
        <v>56</v>
      </c>
      <c r="L13" s="18">
        <v>42309</v>
      </c>
      <c r="M13" s="19">
        <v>42460</v>
      </c>
      <c r="N13" s="22"/>
      <c r="O13" s="20"/>
      <c r="P13" s="20"/>
      <c r="Q13" s="20"/>
      <c r="R13" s="21" t="s">
        <v>38</v>
      </c>
    </row>
    <row r="14" spans="1:19" ht="399">
      <c r="A14" s="2">
        <v>40</v>
      </c>
      <c r="B14" s="1" t="s">
        <v>57</v>
      </c>
      <c r="C14" s="13" t="s">
        <v>49</v>
      </c>
      <c r="D14" s="17" t="s">
        <v>58</v>
      </c>
      <c r="E14" s="15" t="s">
        <v>59</v>
      </c>
      <c r="F14" s="16" t="s">
        <v>60</v>
      </c>
      <c r="G14" s="15" t="s">
        <v>61</v>
      </c>
      <c r="H14" s="15" t="s">
        <v>62</v>
      </c>
      <c r="I14" s="17">
        <v>1</v>
      </c>
      <c r="J14" s="15" t="s">
        <v>63</v>
      </c>
      <c r="K14" s="15" t="s">
        <v>64</v>
      </c>
      <c r="L14" s="18">
        <v>42200</v>
      </c>
      <c r="M14" s="19">
        <v>42369</v>
      </c>
      <c r="N14" s="22"/>
      <c r="O14" s="20"/>
      <c r="P14" s="20"/>
      <c r="Q14" s="20"/>
      <c r="R14" s="21" t="s">
        <v>38</v>
      </c>
    </row>
    <row r="15" spans="1:19" ht="370.5">
      <c r="A15" s="2">
        <v>50</v>
      </c>
      <c r="B15" s="1" t="s">
        <v>65</v>
      </c>
      <c r="C15" s="13" t="s">
        <v>66</v>
      </c>
      <c r="D15" s="17" t="s">
        <v>67</v>
      </c>
      <c r="E15" s="15" t="s">
        <v>68</v>
      </c>
      <c r="F15" s="16" t="s">
        <v>69</v>
      </c>
      <c r="G15" s="15" t="s">
        <v>70</v>
      </c>
      <c r="H15" s="15" t="s">
        <v>71</v>
      </c>
      <c r="I15" s="17">
        <v>1</v>
      </c>
      <c r="J15" s="15" t="s">
        <v>72</v>
      </c>
      <c r="K15" s="15" t="s">
        <v>73</v>
      </c>
      <c r="L15" s="18">
        <v>42005</v>
      </c>
      <c r="M15" s="19">
        <v>42369</v>
      </c>
      <c r="N15" s="23"/>
      <c r="O15" s="20"/>
      <c r="P15" s="20"/>
      <c r="Q15" s="20"/>
      <c r="R15" s="21" t="s">
        <v>38</v>
      </c>
    </row>
    <row r="16" spans="1:19" ht="256.5">
      <c r="A16" s="2">
        <v>60</v>
      </c>
      <c r="B16" s="1" t="s">
        <v>74</v>
      </c>
      <c r="C16" s="13" t="s">
        <v>66</v>
      </c>
      <c r="D16" s="17" t="s">
        <v>75</v>
      </c>
      <c r="E16" s="15" t="s">
        <v>76</v>
      </c>
      <c r="F16" s="16" t="s">
        <v>77</v>
      </c>
      <c r="G16" s="15" t="s">
        <v>78</v>
      </c>
      <c r="H16" s="15" t="s">
        <v>79</v>
      </c>
      <c r="I16" s="17">
        <v>1</v>
      </c>
      <c r="J16" s="15" t="s">
        <v>80</v>
      </c>
      <c r="K16" s="15" t="s">
        <v>73</v>
      </c>
      <c r="L16" s="18">
        <v>42005</v>
      </c>
      <c r="M16" s="19">
        <v>42369</v>
      </c>
      <c r="N16" s="15"/>
      <c r="O16" s="20"/>
      <c r="P16" s="20"/>
      <c r="Q16" s="20"/>
      <c r="R16" s="21" t="s">
        <v>38</v>
      </c>
    </row>
    <row r="17" spans="1:18" ht="142.5">
      <c r="A17" s="2">
        <v>70</v>
      </c>
      <c r="B17" s="1" t="s">
        <v>81</v>
      </c>
      <c r="C17" s="13" t="s">
        <v>66</v>
      </c>
      <c r="D17" s="17" t="s">
        <v>82</v>
      </c>
      <c r="E17" s="22" t="s">
        <v>83</v>
      </c>
      <c r="F17" s="16" t="s">
        <v>84</v>
      </c>
      <c r="G17" s="15" t="s">
        <v>85</v>
      </c>
      <c r="H17" s="15" t="s">
        <v>86</v>
      </c>
      <c r="I17" s="17">
        <v>1</v>
      </c>
      <c r="J17" s="22" t="s">
        <v>72</v>
      </c>
      <c r="K17" s="15" t="s">
        <v>73</v>
      </c>
      <c r="L17" s="18">
        <v>42005</v>
      </c>
      <c r="M17" s="19">
        <v>42369</v>
      </c>
      <c r="N17" s="22"/>
      <c r="O17" s="20"/>
      <c r="P17" s="20"/>
      <c r="Q17" s="20"/>
      <c r="R17" s="21" t="s">
        <v>38</v>
      </c>
    </row>
    <row r="18" spans="1:18" ht="114">
      <c r="A18" s="2">
        <v>80</v>
      </c>
      <c r="B18" s="1" t="s">
        <v>87</v>
      </c>
      <c r="C18" s="13" t="s">
        <v>88</v>
      </c>
      <c r="D18" s="17" t="s">
        <v>89</v>
      </c>
      <c r="E18" s="15" t="s">
        <v>90</v>
      </c>
      <c r="F18" s="16" t="s">
        <v>91</v>
      </c>
      <c r="G18" s="22" t="s">
        <v>92</v>
      </c>
      <c r="H18" s="15" t="s">
        <v>93</v>
      </c>
      <c r="I18" s="17">
        <v>1</v>
      </c>
      <c r="J18" s="22" t="s">
        <v>94</v>
      </c>
      <c r="K18" s="15" t="s">
        <v>95</v>
      </c>
      <c r="L18" s="18">
        <v>42109</v>
      </c>
      <c r="M18" s="19">
        <v>42369</v>
      </c>
      <c r="N18" s="15"/>
      <c r="O18" s="20"/>
      <c r="P18" s="20"/>
      <c r="Q18" s="20"/>
      <c r="R18" s="21" t="s">
        <v>38</v>
      </c>
    </row>
    <row r="19" spans="1:18" ht="156.75">
      <c r="A19" s="2">
        <v>90</v>
      </c>
      <c r="B19" s="1" t="s">
        <v>96</v>
      </c>
      <c r="C19" s="13" t="s">
        <v>88</v>
      </c>
      <c r="D19" s="17" t="s">
        <v>89</v>
      </c>
      <c r="E19" s="15" t="s">
        <v>97</v>
      </c>
      <c r="F19" s="16" t="s">
        <v>98</v>
      </c>
      <c r="G19" s="22" t="s">
        <v>99</v>
      </c>
      <c r="H19" s="15" t="s">
        <v>100</v>
      </c>
      <c r="I19" s="17">
        <v>1</v>
      </c>
      <c r="J19" s="15" t="s">
        <v>101</v>
      </c>
      <c r="K19" s="15" t="s">
        <v>102</v>
      </c>
      <c r="L19" s="18">
        <v>42109</v>
      </c>
      <c r="M19" s="19">
        <v>42369</v>
      </c>
      <c r="N19" s="15"/>
      <c r="O19" s="20"/>
      <c r="P19" s="20"/>
      <c r="Q19" s="20"/>
      <c r="R19" s="21" t="s">
        <v>38</v>
      </c>
    </row>
    <row r="20" spans="1:18" ht="114">
      <c r="A20" s="2">
        <v>100</v>
      </c>
      <c r="B20" s="1" t="s">
        <v>103</v>
      </c>
      <c r="C20" s="13" t="s">
        <v>88</v>
      </c>
      <c r="D20" s="17" t="s">
        <v>89</v>
      </c>
      <c r="E20" s="15" t="s">
        <v>104</v>
      </c>
      <c r="F20" s="16" t="s">
        <v>105</v>
      </c>
      <c r="G20" s="15" t="s">
        <v>106</v>
      </c>
      <c r="H20" s="15" t="s">
        <v>107</v>
      </c>
      <c r="I20" s="17">
        <v>1</v>
      </c>
      <c r="J20" s="22" t="s">
        <v>108</v>
      </c>
      <c r="K20" s="22" t="s">
        <v>109</v>
      </c>
      <c r="L20" s="18">
        <v>42109</v>
      </c>
      <c r="M20" s="19">
        <v>42369</v>
      </c>
      <c r="N20" s="15"/>
      <c r="O20" s="20"/>
      <c r="P20" s="20"/>
      <c r="Q20" s="20"/>
      <c r="R20" s="21" t="s">
        <v>38</v>
      </c>
    </row>
    <row r="21" spans="1:18" ht="142.5">
      <c r="A21" s="2">
        <v>110</v>
      </c>
      <c r="B21" s="1" t="s">
        <v>110</v>
      </c>
      <c r="C21" s="13" t="s">
        <v>88</v>
      </c>
      <c r="D21" s="17" t="s">
        <v>111</v>
      </c>
      <c r="E21" s="15" t="s">
        <v>112</v>
      </c>
      <c r="F21" s="16" t="s">
        <v>113</v>
      </c>
      <c r="G21" s="15" t="s">
        <v>114</v>
      </c>
      <c r="H21" s="15" t="s">
        <v>115</v>
      </c>
      <c r="I21" s="17">
        <v>1</v>
      </c>
      <c r="J21" s="15" t="s">
        <v>116</v>
      </c>
      <c r="K21" s="15" t="s">
        <v>117</v>
      </c>
      <c r="L21" s="18">
        <v>42109</v>
      </c>
      <c r="M21" s="19">
        <v>42369</v>
      </c>
      <c r="N21" s="15"/>
      <c r="O21" s="20"/>
      <c r="P21" s="20"/>
      <c r="Q21" s="20"/>
      <c r="R21" s="21" t="s">
        <v>38</v>
      </c>
    </row>
    <row r="22" spans="1:18" ht="114">
      <c r="A22" s="2">
        <v>120</v>
      </c>
      <c r="B22" s="1" t="s">
        <v>118</v>
      </c>
      <c r="C22" s="13" t="s">
        <v>88</v>
      </c>
      <c r="D22" s="17" t="s">
        <v>119</v>
      </c>
      <c r="E22" s="15" t="s">
        <v>120</v>
      </c>
      <c r="F22" s="16" t="s">
        <v>121</v>
      </c>
      <c r="G22" s="15" t="s">
        <v>122</v>
      </c>
      <c r="H22" s="15" t="s">
        <v>123</v>
      </c>
      <c r="I22" s="17">
        <v>1</v>
      </c>
      <c r="J22" s="15" t="s">
        <v>124</v>
      </c>
      <c r="K22" s="15" t="s">
        <v>125</v>
      </c>
      <c r="L22" s="18">
        <v>42109</v>
      </c>
      <c r="M22" s="19" t="s">
        <v>126</v>
      </c>
      <c r="N22" s="15"/>
      <c r="O22" s="20"/>
      <c r="P22" s="20"/>
      <c r="Q22" s="20"/>
      <c r="R22" s="21" t="s">
        <v>38</v>
      </c>
    </row>
    <row r="23" spans="1:18" ht="99.75">
      <c r="A23" s="2">
        <v>130</v>
      </c>
      <c r="B23" s="1" t="s">
        <v>127</v>
      </c>
      <c r="C23" s="13" t="s">
        <v>88</v>
      </c>
      <c r="D23" s="17" t="s">
        <v>128</v>
      </c>
      <c r="E23" s="15" t="s">
        <v>129</v>
      </c>
      <c r="F23" s="16" t="s">
        <v>130</v>
      </c>
      <c r="G23" s="15" t="s">
        <v>131</v>
      </c>
      <c r="H23" s="15" t="s">
        <v>132</v>
      </c>
      <c r="I23" s="17">
        <v>1</v>
      </c>
      <c r="J23" s="22" t="s">
        <v>94</v>
      </c>
      <c r="K23" s="15" t="s">
        <v>133</v>
      </c>
      <c r="L23" s="18">
        <v>42109</v>
      </c>
      <c r="M23" s="19" t="s">
        <v>126</v>
      </c>
      <c r="N23" s="15"/>
      <c r="O23" s="20"/>
      <c r="P23" s="20"/>
      <c r="Q23" s="20"/>
      <c r="R23" s="21" t="s">
        <v>38</v>
      </c>
    </row>
    <row r="24" spans="1:18" ht="128.25">
      <c r="A24" s="2">
        <v>140</v>
      </c>
      <c r="B24" s="1" t="s">
        <v>134</v>
      </c>
      <c r="C24" s="13" t="s">
        <v>88</v>
      </c>
      <c r="D24" s="17" t="s">
        <v>135</v>
      </c>
      <c r="E24" s="15" t="s">
        <v>136</v>
      </c>
      <c r="F24" s="16" t="s">
        <v>137</v>
      </c>
      <c r="G24" s="15" t="s">
        <v>138</v>
      </c>
      <c r="H24" s="15" t="s">
        <v>139</v>
      </c>
      <c r="I24" s="17">
        <v>1</v>
      </c>
      <c r="J24" s="22" t="s">
        <v>94</v>
      </c>
      <c r="K24" s="15" t="s">
        <v>140</v>
      </c>
      <c r="L24" s="18">
        <v>42109</v>
      </c>
      <c r="M24" s="19">
        <v>42369</v>
      </c>
      <c r="N24" s="15"/>
      <c r="O24" s="20"/>
      <c r="P24" s="20"/>
      <c r="Q24" s="20"/>
      <c r="R24" s="21" t="s">
        <v>38</v>
      </c>
    </row>
    <row r="25" spans="1:18" ht="213.75">
      <c r="A25" s="2">
        <v>150</v>
      </c>
      <c r="B25" s="1" t="s">
        <v>141</v>
      </c>
      <c r="C25" s="13" t="s">
        <v>88</v>
      </c>
      <c r="D25" s="17" t="s">
        <v>142</v>
      </c>
      <c r="E25" s="15" t="s">
        <v>143</v>
      </c>
      <c r="F25" s="16" t="s">
        <v>42</v>
      </c>
      <c r="G25" s="22" t="s">
        <v>144</v>
      </c>
      <c r="H25" s="15" t="s">
        <v>145</v>
      </c>
      <c r="I25" s="17">
        <v>1</v>
      </c>
      <c r="J25" s="15" t="s">
        <v>46</v>
      </c>
      <c r="K25" s="15" t="s">
        <v>47</v>
      </c>
      <c r="L25" s="18">
        <v>42195</v>
      </c>
      <c r="M25" s="19">
        <v>42460</v>
      </c>
      <c r="N25" s="15"/>
      <c r="O25" s="20"/>
      <c r="P25" s="20"/>
      <c r="Q25" s="20"/>
      <c r="R25" s="21" t="s">
        <v>38</v>
      </c>
    </row>
    <row r="26" spans="1:18" ht="242.25">
      <c r="A26" s="2">
        <v>160</v>
      </c>
      <c r="B26" s="1" t="s">
        <v>146</v>
      </c>
      <c r="C26" s="13" t="s">
        <v>88</v>
      </c>
      <c r="D26" s="17" t="s">
        <v>147</v>
      </c>
      <c r="E26" s="15" t="s">
        <v>148</v>
      </c>
      <c r="F26" s="16" t="s">
        <v>149</v>
      </c>
      <c r="G26" s="15" t="s">
        <v>150</v>
      </c>
      <c r="H26" s="15" t="s">
        <v>151</v>
      </c>
      <c r="I26" s="17">
        <v>1</v>
      </c>
      <c r="J26" s="15" t="s">
        <v>46</v>
      </c>
      <c r="K26" s="15" t="s">
        <v>152</v>
      </c>
      <c r="L26" s="18">
        <v>42109</v>
      </c>
      <c r="M26" s="19">
        <v>42369</v>
      </c>
      <c r="N26" s="15"/>
      <c r="O26" s="20"/>
      <c r="P26" s="20"/>
      <c r="Q26" s="20"/>
      <c r="R26" s="21" t="s">
        <v>38</v>
      </c>
    </row>
    <row r="27" spans="1:18" ht="142.5">
      <c r="A27" s="2">
        <v>170</v>
      </c>
      <c r="B27" s="1" t="s">
        <v>153</v>
      </c>
      <c r="C27" s="13" t="s">
        <v>88</v>
      </c>
      <c r="D27" s="17" t="s">
        <v>154</v>
      </c>
      <c r="E27" s="15" t="s">
        <v>155</v>
      </c>
      <c r="F27" s="24" t="s">
        <v>156</v>
      </c>
      <c r="G27" s="15" t="s">
        <v>157</v>
      </c>
      <c r="H27" s="15" t="s">
        <v>158</v>
      </c>
      <c r="I27" s="17">
        <v>1</v>
      </c>
      <c r="J27" s="15" t="s">
        <v>159</v>
      </c>
      <c r="K27" s="15" t="s">
        <v>160</v>
      </c>
      <c r="L27" s="18">
        <v>42109</v>
      </c>
      <c r="M27" s="19">
        <v>42369</v>
      </c>
      <c r="N27" s="15"/>
      <c r="O27" s="20"/>
      <c r="P27" s="20"/>
      <c r="Q27" s="20"/>
      <c r="R27" s="21" t="s">
        <v>38</v>
      </c>
    </row>
    <row r="28" spans="1:18" ht="128.25">
      <c r="A28" s="2">
        <v>180</v>
      </c>
      <c r="B28" s="1" t="s">
        <v>161</v>
      </c>
      <c r="C28" s="13" t="s">
        <v>88</v>
      </c>
      <c r="D28" s="17" t="s">
        <v>154</v>
      </c>
      <c r="E28" s="15" t="s">
        <v>162</v>
      </c>
      <c r="F28" s="16" t="s">
        <v>163</v>
      </c>
      <c r="G28" s="22" t="s">
        <v>164</v>
      </c>
      <c r="H28" s="22" t="s">
        <v>165</v>
      </c>
      <c r="I28" s="17" t="s">
        <v>166</v>
      </c>
      <c r="J28" s="15" t="s">
        <v>159</v>
      </c>
      <c r="K28" s="15" t="s">
        <v>160</v>
      </c>
      <c r="L28" s="18">
        <v>42109</v>
      </c>
      <c r="M28" s="19">
        <v>42369</v>
      </c>
      <c r="N28" s="15"/>
      <c r="O28" s="20"/>
      <c r="P28" s="20"/>
      <c r="Q28" s="20"/>
      <c r="R28" s="21" t="s">
        <v>38</v>
      </c>
    </row>
    <row r="29" spans="1:18" ht="67.5">
      <c r="A29" s="2">
        <v>190</v>
      </c>
      <c r="B29" s="1" t="s">
        <v>167</v>
      </c>
      <c r="C29" s="25" t="s">
        <v>88</v>
      </c>
      <c r="D29" s="26" t="s">
        <v>154</v>
      </c>
      <c r="E29" s="27" t="s">
        <v>168</v>
      </c>
      <c r="F29" s="28" t="s">
        <v>169</v>
      </c>
      <c r="G29" s="27" t="s">
        <v>170</v>
      </c>
      <c r="H29" s="29" t="s">
        <v>171</v>
      </c>
      <c r="I29" s="26">
        <v>1</v>
      </c>
      <c r="J29" s="29" t="s">
        <v>159</v>
      </c>
      <c r="K29" s="29" t="s">
        <v>160</v>
      </c>
      <c r="L29" s="30">
        <v>42109</v>
      </c>
      <c r="M29" s="31">
        <v>42369</v>
      </c>
      <c r="N29" s="32"/>
      <c r="O29" s="33"/>
      <c r="P29" s="33"/>
      <c r="Q29" s="27"/>
      <c r="R29" s="27" t="s">
        <v>38</v>
      </c>
    </row>
    <row r="30" spans="1:18" ht="78.75">
      <c r="A30" s="2">
        <v>200</v>
      </c>
      <c r="B30" s="1" t="s">
        <v>172</v>
      </c>
      <c r="C30" s="25" t="s">
        <v>88</v>
      </c>
      <c r="D30" s="26" t="s">
        <v>154</v>
      </c>
      <c r="E30" s="27" t="s">
        <v>173</v>
      </c>
      <c r="F30" s="28" t="s">
        <v>174</v>
      </c>
      <c r="G30" s="27" t="s">
        <v>175</v>
      </c>
      <c r="H30" s="29" t="s">
        <v>176</v>
      </c>
      <c r="I30" s="26">
        <v>100</v>
      </c>
      <c r="J30" s="29" t="s">
        <v>159</v>
      </c>
      <c r="K30" s="29" t="s">
        <v>177</v>
      </c>
      <c r="L30" s="34">
        <v>42109</v>
      </c>
      <c r="M30" s="35">
        <v>42369</v>
      </c>
      <c r="N30" s="27"/>
      <c r="O30" s="33"/>
      <c r="P30" s="33"/>
      <c r="Q30" s="27"/>
      <c r="R30" s="27" t="s">
        <v>38</v>
      </c>
    </row>
    <row r="31" spans="1:18" ht="67.5">
      <c r="A31" s="2">
        <v>210</v>
      </c>
      <c r="B31" s="1" t="s">
        <v>178</v>
      </c>
      <c r="C31" s="25" t="s">
        <v>88</v>
      </c>
      <c r="D31" s="26" t="s">
        <v>179</v>
      </c>
      <c r="E31" s="27" t="s">
        <v>180</v>
      </c>
      <c r="F31" s="28" t="s">
        <v>181</v>
      </c>
      <c r="G31" s="27" t="s">
        <v>182</v>
      </c>
      <c r="H31" s="29" t="s">
        <v>183</v>
      </c>
      <c r="I31" s="26">
        <v>1</v>
      </c>
      <c r="J31" s="29" t="s">
        <v>184</v>
      </c>
      <c r="K31" s="29" t="s">
        <v>185</v>
      </c>
      <c r="L31" s="34">
        <v>41991</v>
      </c>
      <c r="M31" s="35">
        <v>42369</v>
      </c>
      <c r="N31" s="27"/>
      <c r="O31" s="33"/>
      <c r="P31" s="33"/>
      <c r="Q31" s="27"/>
      <c r="R31" s="27" t="s">
        <v>38</v>
      </c>
    </row>
    <row r="32" spans="1:18" ht="101.25">
      <c r="A32" s="2">
        <v>220</v>
      </c>
      <c r="B32" s="1" t="s">
        <v>186</v>
      </c>
      <c r="C32" s="25" t="s">
        <v>88</v>
      </c>
      <c r="D32" s="26" t="s">
        <v>187</v>
      </c>
      <c r="E32" s="27" t="s">
        <v>188</v>
      </c>
      <c r="F32" s="28" t="s">
        <v>98</v>
      </c>
      <c r="G32" s="27" t="s">
        <v>189</v>
      </c>
      <c r="H32" s="29" t="s">
        <v>190</v>
      </c>
      <c r="I32" s="26"/>
      <c r="J32" s="29" t="s">
        <v>191</v>
      </c>
      <c r="K32" s="29" t="s">
        <v>192</v>
      </c>
      <c r="L32" s="34">
        <v>42109</v>
      </c>
      <c r="M32" s="35">
        <v>42369</v>
      </c>
      <c r="N32" s="27"/>
      <c r="O32" s="33"/>
      <c r="P32" s="33"/>
      <c r="Q32" s="27"/>
      <c r="R32" s="27" t="s">
        <v>38</v>
      </c>
    </row>
    <row r="33" spans="1:18" ht="56.25">
      <c r="A33" s="2">
        <v>230</v>
      </c>
      <c r="B33" s="1" t="s">
        <v>193</v>
      </c>
      <c r="C33" s="25" t="s">
        <v>88</v>
      </c>
      <c r="D33" s="26" t="s">
        <v>194</v>
      </c>
      <c r="E33" s="27" t="s">
        <v>195</v>
      </c>
      <c r="F33" s="28" t="s">
        <v>196</v>
      </c>
      <c r="G33" s="27" t="s">
        <v>197</v>
      </c>
      <c r="H33" s="29" t="s">
        <v>198</v>
      </c>
      <c r="I33" s="26">
        <v>1</v>
      </c>
      <c r="J33" s="29" t="s">
        <v>199</v>
      </c>
      <c r="K33" s="29" t="s">
        <v>200</v>
      </c>
      <c r="L33" s="34">
        <v>42109</v>
      </c>
      <c r="M33" s="35">
        <v>42369</v>
      </c>
      <c r="N33" s="27"/>
      <c r="O33" s="33"/>
      <c r="P33" s="33"/>
      <c r="Q33" s="27"/>
      <c r="R33" s="27" t="s">
        <v>38</v>
      </c>
    </row>
    <row r="34" spans="1:18" ht="101.25">
      <c r="A34" s="2">
        <v>240</v>
      </c>
      <c r="B34" s="1" t="s">
        <v>201</v>
      </c>
      <c r="C34" s="25" t="s">
        <v>88</v>
      </c>
      <c r="D34" s="26" t="s">
        <v>202</v>
      </c>
      <c r="E34" s="27" t="s">
        <v>203</v>
      </c>
      <c r="F34" s="28" t="s">
        <v>98</v>
      </c>
      <c r="G34" s="27" t="s">
        <v>189</v>
      </c>
      <c r="H34" s="29" t="s">
        <v>190</v>
      </c>
      <c r="I34" s="26"/>
      <c r="J34" s="29" t="s">
        <v>204</v>
      </c>
      <c r="K34" s="29" t="s">
        <v>205</v>
      </c>
      <c r="L34" s="34">
        <v>42109</v>
      </c>
      <c r="M34" s="35">
        <v>42369</v>
      </c>
      <c r="N34" s="27"/>
      <c r="O34" s="33"/>
      <c r="P34" s="33"/>
      <c r="Q34" s="27"/>
      <c r="R34" s="27" t="s">
        <v>38</v>
      </c>
    </row>
    <row r="35" spans="1:18" ht="78.75">
      <c r="A35" s="2">
        <v>250</v>
      </c>
      <c r="B35" s="1" t="s">
        <v>206</v>
      </c>
      <c r="C35" s="25" t="s">
        <v>207</v>
      </c>
      <c r="D35" s="26" t="s">
        <v>208</v>
      </c>
      <c r="E35" s="27" t="s">
        <v>209</v>
      </c>
      <c r="F35" s="28" t="s">
        <v>137</v>
      </c>
      <c r="G35" s="27" t="s">
        <v>138</v>
      </c>
      <c r="H35" s="29" t="s">
        <v>139</v>
      </c>
      <c r="I35" s="26">
        <v>1</v>
      </c>
      <c r="J35" s="29" t="s">
        <v>94</v>
      </c>
      <c r="K35" s="29" t="s">
        <v>210</v>
      </c>
      <c r="L35" s="34">
        <v>42195</v>
      </c>
      <c r="M35" s="35">
        <v>42369</v>
      </c>
      <c r="N35" s="27"/>
      <c r="O35" s="33"/>
      <c r="P35" s="33"/>
      <c r="Q35" s="27"/>
      <c r="R35" s="27" t="s">
        <v>38</v>
      </c>
    </row>
    <row r="36" spans="1:18" ht="78.75">
      <c r="A36" s="2">
        <v>260</v>
      </c>
      <c r="B36" s="1" t="s">
        <v>211</v>
      </c>
      <c r="C36" s="25" t="s">
        <v>207</v>
      </c>
      <c r="D36" s="26" t="s">
        <v>212</v>
      </c>
      <c r="E36" s="27" t="s">
        <v>213</v>
      </c>
      <c r="F36" s="28" t="s">
        <v>137</v>
      </c>
      <c r="G36" s="27" t="s">
        <v>138</v>
      </c>
      <c r="H36" s="29" t="s">
        <v>139</v>
      </c>
      <c r="I36" s="26">
        <v>1</v>
      </c>
      <c r="J36" s="29" t="s">
        <v>94</v>
      </c>
      <c r="K36" s="29" t="s">
        <v>210</v>
      </c>
      <c r="L36" s="34">
        <v>42195</v>
      </c>
      <c r="M36" s="35">
        <v>42369</v>
      </c>
      <c r="N36" s="27"/>
      <c r="O36" s="33"/>
      <c r="P36" s="33"/>
      <c r="Q36" s="27"/>
      <c r="R36" s="27" t="s">
        <v>38</v>
      </c>
    </row>
    <row r="37" spans="1:18" ht="45">
      <c r="A37" s="2">
        <v>270</v>
      </c>
      <c r="B37" s="1" t="s">
        <v>214</v>
      </c>
      <c r="C37" s="25" t="s">
        <v>207</v>
      </c>
      <c r="D37" s="26" t="s">
        <v>215</v>
      </c>
      <c r="E37" s="27" t="s">
        <v>216</v>
      </c>
      <c r="F37" s="28" t="s">
        <v>98</v>
      </c>
      <c r="G37" s="27" t="s">
        <v>217</v>
      </c>
      <c r="H37" s="29" t="s">
        <v>218</v>
      </c>
      <c r="I37" s="26">
        <v>1</v>
      </c>
      <c r="J37" s="29" t="s">
        <v>94</v>
      </c>
      <c r="K37" s="29" t="s">
        <v>219</v>
      </c>
      <c r="L37" s="34">
        <v>42299</v>
      </c>
      <c r="M37" s="35">
        <v>42323</v>
      </c>
      <c r="N37" s="27"/>
      <c r="O37" s="33"/>
      <c r="P37" s="33"/>
      <c r="Q37" s="27"/>
      <c r="R37" s="27" t="s">
        <v>38</v>
      </c>
    </row>
    <row r="38" spans="1:18" ht="56.25">
      <c r="A38" s="2">
        <v>280</v>
      </c>
      <c r="B38" s="1" t="s">
        <v>220</v>
      </c>
      <c r="C38" s="25" t="s">
        <v>207</v>
      </c>
      <c r="D38" s="26" t="s">
        <v>215</v>
      </c>
      <c r="E38" s="27" t="s">
        <v>221</v>
      </c>
      <c r="F38" s="28" t="s">
        <v>98</v>
      </c>
      <c r="G38" s="27" t="s">
        <v>222</v>
      </c>
      <c r="H38" s="29" t="s">
        <v>223</v>
      </c>
      <c r="I38" s="26">
        <v>1</v>
      </c>
      <c r="J38" s="29" t="s">
        <v>94</v>
      </c>
      <c r="K38" s="29" t="s">
        <v>219</v>
      </c>
      <c r="L38" s="34">
        <v>42299</v>
      </c>
      <c r="M38" s="35">
        <v>42323</v>
      </c>
      <c r="N38" s="27"/>
      <c r="O38" s="33"/>
      <c r="P38" s="33"/>
      <c r="Q38" s="27"/>
      <c r="R38" s="27" t="s">
        <v>38</v>
      </c>
    </row>
    <row r="39" spans="1:18" ht="112.5">
      <c r="A39" s="2">
        <v>290</v>
      </c>
      <c r="B39" s="1" t="s">
        <v>224</v>
      </c>
      <c r="C39" s="25" t="s">
        <v>207</v>
      </c>
      <c r="D39" s="26" t="s">
        <v>215</v>
      </c>
      <c r="E39" s="27" t="s">
        <v>225</v>
      </c>
      <c r="F39" s="28" t="s">
        <v>98</v>
      </c>
      <c r="G39" s="27" t="s">
        <v>226</v>
      </c>
      <c r="H39" s="29" t="s">
        <v>227</v>
      </c>
      <c r="I39" s="26">
        <v>1</v>
      </c>
      <c r="J39" s="29" t="s">
        <v>94</v>
      </c>
      <c r="K39" s="29" t="s">
        <v>228</v>
      </c>
      <c r="L39" s="34">
        <v>42299</v>
      </c>
      <c r="M39" s="35">
        <v>42734</v>
      </c>
      <c r="N39" s="27"/>
      <c r="O39" s="33"/>
      <c r="P39" s="33"/>
      <c r="Q39" s="27"/>
      <c r="R39" s="27" t="s">
        <v>38</v>
      </c>
    </row>
    <row r="40" spans="1:18" ht="101.25">
      <c r="A40" s="2">
        <v>300</v>
      </c>
      <c r="B40" s="1" t="s">
        <v>229</v>
      </c>
      <c r="C40" s="25" t="s">
        <v>207</v>
      </c>
      <c r="D40" s="26" t="s">
        <v>230</v>
      </c>
      <c r="E40" s="27" t="s">
        <v>231</v>
      </c>
      <c r="F40" s="28" t="s">
        <v>232</v>
      </c>
      <c r="G40" s="27" t="s">
        <v>233</v>
      </c>
      <c r="H40" s="29" t="s">
        <v>234</v>
      </c>
      <c r="I40" s="26">
        <v>1</v>
      </c>
      <c r="J40" s="29" t="s">
        <v>94</v>
      </c>
      <c r="K40" s="29" t="s">
        <v>235</v>
      </c>
      <c r="L40" s="34">
        <v>42299</v>
      </c>
      <c r="M40" s="35">
        <v>42734</v>
      </c>
      <c r="N40" s="27"/>
      <c r="O40" s="33"/>
      <c r="P40" s="33"/>
      <c r="Q40" s="27"/>
      <c r="R40" s="27" t="s">
        <v>38</v>
      </c>
    </row>
    <row r="41" spans="1:18" ht="90">
      <c r="A41" s="2">
        <v>310</v>
      </c>
      <c r="B41" s="1" t="s">
        <v>236</v>
      </c>
      <c r="C41" s="25" t="s">
        <v>207</v>
      </c>
      <c r="D41" s="26" t="s">
        <v>237</v>
      </c>
      <c r="E41" s="27" t="s">
        <v>238</v>
      </c>
      <c r="F41" s="28" t="s">
        <v>239</v>
      </c>
      <c r="G41" s="27" t="s">
        <v>240</v>
      </c>
      <c r="H41" s="29" t="s">
        <v>241</v>
      </c>
      <c r="I41" s="26">
        <v>1</v>
      </c>
      <c r="J41" s="29" t="s">
        <v>94</v>
      </c>
      <c r="K41" s="29" t="s">
        <v>242</v>
      </c>
      <c r="L41" s="34">
        <v>42299</v>
      </c>
      <c r="M41" s="35">
        <v>42734</v>
      </c>
      <c r="N41" s="27"/>
      <c r="O41" s="33"/>
      <c r="P41" s="33"/>
      <c r="Q41" s="27"/>
      <c r="R41" s="27" t="s">
        <v>38</v>
      </c>
    </row>
    <row r="42" spans="1:18" ht="78.75">
      <c r="A42" s="2">
        <v>320</v>
      </c>
      <c r="B42" s="1" t="s">
        <v>243</v>
      </c>
      <c r="C42" s="25" t="s">
        <v>207</v>
      </c>
      <c r="D42" s="26" t="s">
        <v>244</v>
      </c>
      <c r="E42" s="27" t="s">
        <v>245</v>
      </c>
      <c r="F42" s="28" t="s">
        <v>246</v>
      </c>
      <c r="G42" s="27" t="s">
        <v>247</v>
      </c>
      <c r="H42" s="29" t="s">
        <v>248</v>
      </c>
      <c r="I42" s="26">
        <v>1</v>
      </c>
      <c r="J42" s="29" t="s">
        <v>94</v>
      </c>
      <c r="K42" s="29" t="s">
        <v>249</v>
      </c>
      <c r="L42" s="34">
        <v>42299</v>
      </c>
      <c r="M42" s="35">
        <v>42734</v>
      </c>
      <c r="N42" s="27"/>
      <c r="O42" s="33"/>
      <c r="P42" s="33"/>
      <c r="Q42" s="27"/>
      <c r="R42" s="27" t="s">
        <v>38</v>
      </c>
    </row>
    <row r="43" spans="1:18" ht="67.5">
      <c r="A43" s="2">
        <v>330</v>
      </c>
      <c r="B43" s="1" t="s">
        <v>250</v>
      </c>
      <c r="C43" s="25" t="s">
        <v>207</v>
      </c>
      <c r="D43" s="26" t="s">
        <v>251</v>
      </c>
      <c r="E43" s="27" t="s">
        <v>252</v>
      </c>
      <c r="F43" s="28" t="s">
        <v>239</v>
      </c>
      <c r="G43" s="27" t="s">
        <v>253</v>
      </c>
      <c r="H43" s="29" t="s">
        <v>241</v>
      </c>
      <c r="I43" s="26">
        <v>1</v>
      </c>
      <c r="J43" s="29" t="s">
        <v>94</v>
      </c>
      <c r="K43" s="29" t="s">
        <v>242</v>
      </c>
      <c r="L43" s="34">
        <v>42299</v>
      </c>
      <c r="M43" s="35">
        <v>42734</v>
      </c>
      <c r="N43" s="27"/>
      <c r="O43" s="33"/>
      <c r="P43" s="33"/>
      <c r="Q43" s="27"/>
      <c r="R43" s="27" t="s">
        <v>38</v>
      </c>
    </row>
  </sheetData>
  <sheetProtection selectLockedCells="1" selectUnlockedCells="1"/>
  <mergeCells count="3">
    <mergeCell ref="D1:H1"/>
    <mergeCell ref="D2:H2"/>
    <mergeCell ref="B8:R8"/>
  </mergeCells>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Plan Gestion 2016</vt:lpstr>
      <vt:lpstr>resumen 2012-2015</vt:lpstr>
      <vt:lpstr>Plan Gestion 2015</vt:lpstr>
      <vt:lpstr>Plan Gestion 2014</vt:lpstr>
      <vt:lpstr>Plan Gestion 2013</vt:lpstr>
      <vt:lpstr>Plan Gestion 2012</vt:lpstr>
      <vt:lpstr>Control Interno</vt:lpstr>
      <vt:lpstr>Contraloría</vt:lpstr>
      <vt:lpstr>'Plan Gestion 2015'!Área_de_impresión</vt:lpstr>
      <vt:lpstr>'Plan Gestion 2016'!Área_de_impresión</vt:lpstr>
      <vt:lpstr>'Plan Gestion 2015'!Títulos_a_imprimir</vt:lpstr>
      <vt:lpstr>'Plan Gestion 2016'!Títulos_a_imprimir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Rebeca.Gonzalez</dc:creator>
  <cp:lastModifiedBy>Apolo</cp:lastModifiedBy>
  <dcterms:created xsi:type="dcterms:W3CDTF">2015-12-04T21:30:47Z</dcterms:created>
  <dcterms:modified xsi:type="dcterms:W3CDTF">2017-03-30T00:14:15Z</dcterms:modified>
</cp:coreProperties>
</file>