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pivotTables/pivotTable4.xml" ContentType="application/vnd.openxmlformats-officedocument.spreadsheetml.pivotTable+xml"/>
  <Override PartName="/xl/drawings/drawing7.xml" ContentType="application/vnd.openxmlformats-officedocument.drawing+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RECUPERADO\Calidad\2017\PDL\"/>
    </mc:Choice>
  </mc:AlternateContent>
  <bookViews>
    <workbookView xWindow="0" yWindow="0" windowWidth="15360" windowHeight="7155" tabRatio="692" firstSheet="5" activeTab="11"/>
  </bookViews>
  <sheets>
    <sheet name="MUSI" sheetId="16" r:id="rId1"/>
    <sheet name="contratacion2013" sheetId="17" r:id="rId2"/>
    <sheet name="contratacion2014" sheetId="18" r:id="rId3"/>
    <sheet name="contratacion2015" sheetId="19" r:id="rId4"/>
    <sheet name="Desplegables" sheetId="5" state="hidden" r:id="rId5"/>
    <sheet name="contratacion2016" sheetId="23" r:id="rId6"/>
    <sheet name="APC" sheetId="6" r:id="rId7"/>
    <sheet name="APR" sheetId="7" r:id="rId8"/>
    <sheet name="Insumo Ponderacion" sheetId="35" state="hidden" r:id="rId9"/>
    <sheet name="PMR" sheetId="9" r:id="rId10"/>
    <sheet name="insumo PMR" sheetId="20" state="hidden" r:id="rId11"/>
    <sheet name="Informe Ejecutivo" sheetId="14" r:id="rId12"/>
    <sheet name="Insumo Informe E" sheetId="21" state="hidden" r:id="rId13"/>
  </sheets>
  <externalReferences>
    <externalReference r:id="rId14"/>
    <externalReference r:id="rId15"/>
    <externalReference r:id="rId16"/>
  </externalReferences>
  <definedNames>
    <definedName name="_xlnm._FilterDatabase" localSheetId="6" hidden="1">APC!$A$1:$R$43</definedName>
    <definedName name="_xlnm._FilterDatabase" localSheetId="1" hidden="1">contratacion2013!$A$2:$CC$178</definedName>
    <definedName name="_xlnm._FilterDatabase" localSheetId="2" hidden="1">contratacion2014!$A$2:$IO$209</definedName>
    <definedName name="_xlnm._FilterDatabase" localSheetId="3" hidden="1">contratacion2015!$A$2:$IG$170</definedName>
    <definedName name="_xlnm._FilterDatabase" localSheetId="5" hidden="1">contratacion2016!$A$2:$IF$150</definedName>
    <definedName name="_xlnm._FilterDatabase" localSheetId="0" hidden="1">MUSI!$A$2:$BC$46</definedName>
    <definedName name="_xlnm.Print_Area" localSheetId="3">contratacion2015!$A$1:$AT$134</definedName>
    <definedName name="_xlnm.Print_Area" localSheetId="0">MUSI!$A$1:$BC$55</definedName>
    <definedName name="EJE_DOS" localSheetId="11">#REF!</definedName>
    <definedName name="EJE_DOS">#REF!</definedName>
    <definedName name="EJE_TRES" localSheetId="11">#REF!</definedName>
    <definedName name="EJE_TRES">#REF!</definedName>
    <definedName name="EJE_UNO" localSheetId="11">#REF!</definedName>
    <definedName name="EJE_UNO">#REF!</definedName>
    <definedName name="EJES" localSheetId="11">#REF!</definedName>
    <definedName name="EJES">#REF!</definedName>
    <definedName name="ESTADO" localSheetId="4">Desplegables!$A$50:$A$57</definedName>
    <definedName name="ESTADO">[1]Hoja1!$A$43:$A$50</definedName>
    <definedName name="ESTADODELCONTRATO">[2]Hoja1!$A$51:$A$58</definedName>
    <definedName name="Excel_BuiltIn__FilterDatabase" localSheetId="1">contratacion2013!$A$2:$BH$177</definedName>
    <definedName name="Excel_BuiltIn__FilterDatabase" localSheetId="2">contratacion2014!$A$2:$AP$208</definedName>
    <definedName name="Excel_BuiltIn__FilterDatabase" localSheetId="3">contratacion2015!$A$2:$K$168</definedName>
    <definedName name="Excel_BuiltIn__FilterDatabase" localSheetId="0">MUSI!$A$2:$BC$45</definedName>
    <definedName name="FORMADEPAGO" localSheetId="4">Desplegables!$A$47:$A$51</definedName>
    <definedName name="FORMADEPAGO">[2]Hoja1!$A$42:$A$46</definedName>
    <definedName name="GESTIONPUBLICA" localSheetId="4">Desplegables!$A$61:$A$74</definedName>
    <definedName name="GESTIONPUBLICA">[2]Hoja1!$A$63:$A$76</definedName>
    <definedName name="INDICADOR_UNIFICADO">#REF!</definedName>
    <definedName name="INDICADORAGREGADO" localSheetId="4">Desplegables!$D$81:$D$158</definedName>
    <definedName name="INDICADORAGREGADO">[2]Hoja1!$D$81:$D$158</definedName>
    <definedName name="LOCALIDADES" localSheetId="11">[3]Hoja1!$B$4:$B$23</definedName>
    <definedName name="LOCALIDADES">#REF!</definedName>
    <definedName name="MODALIDAD" localSheetId="4">Desplegables!$A$17:$A$26</definedName>
    <definedName name="MODALIDAD">[2]Hoja1!$A$16:$A$21</definedName>
    <definedName name="SECTOR" localSheetId="4">Desplegables!$A$2:$A$13</definedName>
    <definedName name="SECTORES" localSheetId="4">Desplegables!$A$2:$A$13</definedName>
    <definedName name="SECTORES">[2]Hoja1!$A$2:$A$12</definedName>
    <definedName name="TIPODECONTRATO" localSheetId="4">Desplegables!$A$31:$A$45</definedName>
    <definedName name="TIPODECONTRATO">[2]Hoja1!$A$26:$A$37</definedName>
    <definedName name="TIPOMETA" localSheetId="11">#REF!</definedName>
    <definedName name="TIPOMETA">#REF!</definedName>
    <definedName name="_xlnm.Print_Titles" localSheetId="1">contratacion2013!$1:$2</definedName>
    <definedName name="_xlnm.Print_Titles" localSheetId="2">contratacion2014!$1:$2</definedName>
    <definedName name="_xlnm.Print_Titles" localSheetId="3">contratacion2015!$1:$2</definedName>
    <definedName name="_xlnm.Print_Titles" localSheetId="11">'Informe Ejecutivo'!$7:$8</definedName>
    <definedName name="_xlnm.Print_Titles" localSheetId="0">MUSI!$1:$2</definedName>
    <definedName name="_xlnm.Print_Titles" localSheetId="9">PMR!$1:$3</definedName>
    <definedName name="TRES" localSheetId="1">#REF!</definedName>
    <definedName name="TRES" localSheetId="2">#REF!</definedName>
    <definedName name="TRES" localSheetId="3">#REF!</definedName>
    <definedName name="TRES" localSheetId="11">#REF!</definedName>
    <definedName name="TRES">#REF!</definedName>
  </definedNames>
  <calcPr calcId="152511"/>
  <pivotCaches>
    <pivotCache cacheId="11" r:id="rId17"/>
    <pivotCache cacheId="12" r:id="rId18"/>
    <pivotCache cacheId="13" r:id="rId19"/>
    <pivotCache cacheId="14" r:id="rId20"/>
    <pivotCache cacheId="15" r:id="rId21"/>
  </pivotCaches>
</workbook>
</file>

<file path=xl/calcChain.xml><?xml version="1.0" encoding="utf-8"?>
<calcChain xmlns="http://schemas.openxmlformats.org/spreadsheetml/2006/main">
  <c r="AP3" i="17" l="1"/>
  <c r="AQ3" i="17" s="1"/>
  <c r="BI3" i="17"/>
  <c r="BK3" i="17" s="1"/>
  <c r="CA3" i="17"/>
  <c r="CC3" i="17" s="1"/>
  <c r="AP4" i="17"/>
  <c r="AQ4" i="17" s="1"/>
  <c r="BI4" i="17"/>
  <c r="BJ4" i="17" s="1"/>
  <c r="CA4" i="17"/>
  <c r="CC4" i="17" s="1"/>
  <c r="BI5" i="17"/>
  <c r="BJ5" i="17" s="1"/>
  <c r="CA5" i="17"/>
  <c r="CB5" i="17" s="1"/>
  <c r="AP6" i="17"/>
  <c r="AR6" i="17" s="1"/>
  <c r="BI6" i="17"/>
  <c r="BJ6" i="17" s="1"/>
  <c r="CA6" i="17"/>
  <c r="CC6" i="17" s="1"/>
  <c r="S7" i="17"/>
  <c r="AP7" i="17"/>
  <c r="AR7" i="17" s="1"/>
  <c r="BI7" i="17"/>
  <c r="BJ7" i="17" s="1"/>
  <c r="CA7" i="17"/>
  <c r="CC7" i="17" s="1"/>
  <c r="BI8" i="17"/>
  <c r="BJ8" i="17" s="1"/>
  <c r="CA8" i="17"/>
  <c r="CB8" i="17" s="1"/>
  <c r="AP9" i="17"/>
  <c r="AR9" i="17" s="1"/>
  <c r="BI9" i="17"/>
  <c r="BJ9" i="17" s="1"/>
  <c r="CA9" i="17"/>
  <c r="CB9" i="17" s="1"/>
  <c r="AP10" i="17"/>
  <c r="AR10" i="17" s="1"/>
  <c r="BI10" i="17"/>
  <c r="BJ10" i="17" s="1"/>
  <c r="CA10" i="17"/>
  <c r="CB10" i="17" s="1"/>
  <c r="AP11" i="17"/>
  <c r="AQ11" i="17" s="1"/>
  <c r="BI11" i="17"/>
  <c r="BK11" i="17" s="1"/>
  <c r="CA11" i="17"/>
  <c r="CB11" i="17" s="1"/>
  <c r="AP12" i="17"/>
  <c r="AR12" i="17" s="1"/>
  <c r="BI12" i="17"/>
  <c r="BJ12" i="17" s="1"/>
  <c r="CA12" i="17"/>
  <c r="CC12" i="17" s="1"/>
  <c r="CQ12" i="17"/>
  <c r="CS12" i="17" s="1"/>
  <c r="CT12" i="17" s="1"/>
  <c r="S13" i="17"/>
  <c r="AP13" i="17"/>
  <c r="AQ13" i="17" s="1"/>
  <c r="BI13" i="17"/>
  <c r="BK13" i="17" s="1"/>
  <c r="CA13" i="17"/>
  <c r="CB13" i="17" s="1"/>
  <c r="AP14" i="17"/>
  <c r="AR14" i="17" s="1"/>
  <c r="BI14" i="17"/>
  <c r="BJ14" i="17" s="1"/>
  <c r="CA14" i="17"/>
  <c r="CC14" i="17" s="1"/>
  <c r="AP15" i="17"/>
  <c r="AQ15" i="17" s="1"/>
  <c r="BI15" i="17"/>
  <c r="BK15" i="17" s="1"/>
  <c r="CA15" i="17"/>
  <c r="CB15" i="17" s="1"/>
  <c r="AP16" i="17"/>
  <c r="AR16" i="17" s="1"/>
  <c r="BI16" i="17"/>
  <c r="BJ16" i="17" s="1"/>
  <c r="CA16" i="17"/>
  <c r="CC16" i="17" s="1"/>
  <c r="BI17" i="17"/>
  <c r="BJ17" i="17" s="1"/>
  <c r="CA17" i="17"/>
  <c r="CB17" i="17" s="1"/>
  <c r="AP18" i="17"/>
  <c r="AR18" i="17" s="1"/>
  <c r="BI18" i="17"/>
  <c r="BJ18" i="17" s="1"/>
  <c r="CA18" i="17"/>
  <c r="CC18" i="17" s="1"/>
  <c r="AP19" i="17"/>
  <c r="AQ19" i="17" s="1"/>
  <c r="BI19" i="17"/>
  <c r="BK19" i="17" s="1"/>
  <c r="CA19" i="17"/>
  <c r="CB19" i="17" s="1"/>
  <c r="BI20" i="17"/>
  <c r="BJ20" i="17" s="1"/>
  <c r="CA20" i="17"/>
  <c r="CC20" i="17" s="1"/>
  <c r="AP21" i="17"/>
  <c r="AQ21" i="17" s="1"/>
  <c r="BI21" i="17"/>
  <c r="BK21" i="17" s="1"/>
  <c r="CA21" i="17"/>
  <c r="CB21" i="17" s="1"/>
  <c r="AP22" i="17"/>
  <c r="AR22" i="17" s="1"/>
  <c r="BI22" i="17"/>
  <c r="BJ22" i="17" s="1"/>
  <c r="CA22" i="17"/>
  <c r="CC22" i="17" s="1"/>
  <c r="BI23" i="17"/>
  <c r="BJ23" i="17" s="1"/>
  <c r="CA23" i="17"/>
  <c r="CB23" i="17" s="1"/>
  <c r="AP24" i="17"/>
  <c r="AR24" i="17" s="1"/>
  <c r="BI24" i="17"/>
  <c r="BJ24" i="17" s="1"/>
  <c r="CA24" i="17"/>
  <c r="CC24" i="17" s="1"/>
  <c r="AP25" i="17"/>
  <c r="AQ25" i="17" s="1"/>
  <c r="BI25" i="17"/>
  <c r="BK25" i="17" s="1"/>
  <c r="CA25" i="17"/>
  <c r="CB25" i="17" s="1"/>
  <c r="AP26" i="17"/>
  <c r="AR26" i="17" s="1"/>
  <c r="BI26" i="17"/>
  <c r="BJ26" i="17" s="1"/>
  <c r="CA26" i="17"/>
  <c r="CC26" i="17" s="1"/>
  <c r="AP27" i="17"/>
  <c r="AQ27" i="17" s="1"/>
  <c r="BI27" i="17"/>
  <c r="BK27" i="17" s="1"/>
  <c r="CA27" i="17"/>
  <c r="CB27" i="17" s="1"/>
  <c r="AP28" i="17"/>
  <c r="AR28" i="17" s="1"/>
  <c r="BI28" i="17"/>
  <c r="BJ28" i="17" s="1"/>
  <c r="CA28" i="17"/>
  <c r="CB28" i="17" s="1"/>
  <c r="AP29" i="17"/>
  <c r="AR29" i="17" s="1"/>
  <c r="BI29" i="17"/>
  <c r="BJ29" i="17" s="1"/>
  <c r="CA29" i="17"/>
  <c r="CB29" i="17" s="1"/>
  <c r="AP30" i="17"/>
  <c r="AR30" i="17" s="1"/>
  <c r="BI30" i="17"/>
  <c r="BJ30" i="17" s="1"/>
  <c r="CA30" i="17"/>
  <c r="CC30" i="17" s="1"/>
  <c r="AP31" i="17"/>
  <c r="AQ31" i="17" s="1"/>
  <c r="BI31" i="17"/>
  <c r="BK31" i="17" s="1"/>
  <c r="CA31" i="17"/>
  <c r="CB31" i="17" s="1"/>
  <c r="BI32" i="17"/>
  <c r="BJ32" i="17" s="1"/>
  <c r="CA32" i="17"/>
  <c r="CC32" i="17" s="1"/>
  <c r="BI33" i="17"/>
  <c r="BJ33" i="17" s="1"/>
  <c r="CA33" i="17"/>
  <c r="CB33" i="17" s="1"/>
  <c r="BI34" i="17"/>
  <c r="BJ34" i="17" s="1"/>
  <c r="CA34" i="17"/>
  <c r="CC34" i="17" s="1"/>
  <c r="AP35" i="17"/>
  <c r="AQ35" i="17" s="1"/>
  <c r="BI35" i="17"/>
  <c r="BJ35" i="17" s="1"/>
  <c r="CA35" i="17"/>
  <c r="CC35" i="17" s="1"/>
  <c r="BI36" i="17"/>
  <c r="BJ36" i="17" s="1"/>
  <c r="CA36" i="17"/>
  <c r="CB36" i="17" s="1"/>
  <c r="BI37" i="17"/>
  <c r="BJ37" i="17" s="1"/>
  <c r="CA37" i="17"/>
  <c r="CC37" i="17" s="1"/>
  <c r="BI38" i="17"/>
  <c r="BJ38" i="17" s="1"/>
  <c r="CA38" i="17"/>
  <c r="CB38" i="17" s="1"/>
  <c r="BI39" i="17"/>
  <c r="BJ39" i="17" s="1"/>
  <c r="CA39" i="17"/>
  <c r="CC39" i="17" s="1"/>
  <c r="BI40" i="17"/>
  <c r="BJ40" i="17" s="1"/>
  <c r="CA40" i="17"/>
  <c r="CB40" i="17" s="1"/>
  <c r="AP41" i="17"/>
  <c r="AQ41" i="17" s="1"/>
  <c r="BI41" i="17"/>
  <c r="BJ41" i="17" s="1"/>
  <c r="CA41" i="17"/>
  <c r="CB41" i="17" s="1"/>
  <c r="AP42" i="17"/>
  <c r="AR42" i="17" s="1"/>
  <c r="BI42" i="17"/>
  <c r="BJ42" i="17" s="1"/>
  <c r="CA42" i="17"/>
  <c r="CC42" i="17" s="1"/>
  <c r="AP43" i="17"/>
  <c r="AQ43" i="17" s="1"/>
  <c r="BI43" i="17"/>
  <c r="BJ43" i="17" s="1"/>
  <c r="CA43" i="17"/>
  <c r="CB43" i="17" s="1"/>
  <c r="AP44" i="17"/>
  <c r="AR44" i="17" s="1"/>
  <c r="BI44" i="17"/>
  <c r="BJ44" i="17" s="1"/>
  <c r="CA44" i="17"/>
  <c r="CB44" i="17" s="1"/>
  <c r="AP45" i="17"/>
  <c r="AR45" i="17" s="1"/>
  <c r="BI45" i="17"/>
  <c r="BJ45" i="17" s="1"/>
  <c r="CA45" i="17"/>
  <c r="CC45" i="17" s="1"/>
  <c r="AP46" i="17"/>
  <c r="AQ46" i="17" s="1"/>
  <c r="BI46" i="17"/>
  <c r="BK46" i="17" s="1"/>
  <c r="CA46" i="17"/>
  <c r="CB46" i="17" s="1"/>
  <c r="AP47" i="17"/>
  <c r="AR47" i="17" s="1"/>
  <c r="BI47" i="17"/>
  <c r="BJ47" i="17" s="1"/>
  <c r="CA47" i="17"/>
  <c r="CC47" i="17" s="1"/>
  <c r="AP48" i="17"/>
  <c r="AQ48" i="17" s="1"/>
  <c r="BI48" i="17"/>
  <c r="BK48" i="17" s="1"/>
  <c r="CA48" i="17"/>
  <c r="CB48" i="17" s="1"/>
  <c r="AP49" i="17"/>
  <c r="AR49" i="17" s="1"/>
  <c r="BI49" i="17"/>
  <c r="CA49" i="17"/>
  <c r="CC49" i="17" s="1"/>
  <c r="AP50" i="17"/>
  <c r="AQ50" i="17" s="1"/>
  <c r="BI50" i="17"/>
  <c r="BK50" i="17" s="1"/>
  <c r="CA50" i="17"/>
  <c r="AP51" i="17"/>
  <c r="AR51" i="17" s="1"/>
  <c r="BI51" i="17"/>
  <c r="BJ51" i="17" s="1"/>
  <c r="CA51" i="17"/>
  <c r="CC51" i="17" s="1"/>
  <c r="AP52" i="17"/>
  <c r="BI52" i="17"/>
  <c r="BK52" i="17" s="1"/>
  <c r="CA52" i="17"/>
  <c r="CB52" i="17" s="1"/>
  <c r="AP53" i="17"/>
  <c r="AR53" i="17" s="1"/>
  <c r="BI53" i="17"/>
  <c r="CA53" i="17"/>
  <c r="CC53" i="17" s="1"/>
  <c r="AP54" i="17"/>
  <c r="AQ54" i="17" s="1"/>
  <c r="BI54" i="17"/>
  <c r="BK54" i="17" s="1"/>
  <c r="CA54" i="17"/>
  <c r="CB54" i="17" s="1"/>
  <c r="AP55" i="17"/>
  <c r="AR55" i="17" s="1"/>
  <c r="BI55" i="17"/>
  <c r="BJ55" i="17" s="1"/>
  <c r="CA55" i="17"/>
  <c r="CC55" i="17" s="1"/>
  <c r="AP56" i="17"/>
  <c r="AQ56" i="17" s="1"/>
  <c r="BI56" i="17"/>
  <c r="BK56" i="17" s="1"/>
  <c r="CA56" i="17"/>
  <c r="CB56" i="17" s="1"/>
  <c r="AP57" i="17"/>
  <c r="AR57" i="17" s="1"/>
  <c r="BI57" i="17"/>
  <c r="BJ57" i="17" s="1"/>
  <c r="CA57" i="17"/>
  <c r="CC57" i="17" s="1"/>
  <c r="AP58" i="17"/>
  <c r="AQ58" i="17" s="1"/>
  <c r="BI58" i="17"/>
  <c r="BK58" i="17" s="1"/>
  <c r="CA58" i="17"/>
  <c r="CB58" i="17" s="1"/>
  <c r="AP59" i="17"/>
  <c r="AR59" i="17" s="1"/>
  <c r="BI59" i="17"/>
  <c r="BJ59" i="17" s="1"/>
  <c r="CA59" i="17"/>
  <c r="CC59" i="17" s="1"/>
  <c r="AP60" i="17"/>
  <c r="AQ60" i="17" s="1"/>
  <c r="BI60" i="17"/>
  <c r="BJ60" i="17" s="1"/>
  <c r="CA60" i="17"/>
  <c r="CB60" i="17" s="1"/>
  <c r="AP61" i="17"/>
  <c r="AR61" i="17" s="1"/>
  <c r="BI61" i="17"/>
  <c r="BJ61" i="17" s="1"/>
  <c r="CA61" i="17"/>
  <c r="CB61" i="17" s="1"/>
  <c r="AP62" i="17"/>
  <c r="AQ62" i="17" s="1"/>
  <c r="BI62" i="17"/>
  <c r="BK62" i="17" s="1"/>
  <c r="CA62" i="17"/>
  <c r="CB62" i="17" s="1"/>
  <c r="AP63" i="17"/>
  <c r="AQ63" i="17" s="1"/>
  <c r="BI63" i="17"/>
  <c r="BJ63" i="17" s="1"/>
  <c r="CA63" i="17"/>
  <c r="CC63" i="17" s="1"/>
  <c r="AP64" i="17"/>
  <c r="AQ64" i="17" s="1"/>
  <c r="BI64" i="17"/>
  <c r="BJ64" i="17" s="1"/>
  <c r="CA64" i="17"/>
  <c r="CB64" i="17" s="1"/>
  <c r="BI65" i="17"/>
  <c r="BJ65" i="17" s="1"/>
  <c r="CA65" i="17"/>
  <c r="CC65" i="17" s="1"/>
  <c r="AP66" i="17"/>
  <c r="AQ66" i="17" s="1"/>
  <c r="BI66" i="17"/>
  <c r="BJ66" i="17" s="1"/>
  <c r="CA66" i="17"/>
  <c r="CC66" i="17" s="1"/>
  <c r="AP67" i="17"/>
  <c r="AQ67" i="17" s="1"/>
  <c r="BI67" i="17"/>
  <c r="BK67" i="17" s="1"/>
  <c r="CA67" i="17"/>
  <c r="CB67" i="17" s="1"/>
  <c r="BI68" i="17"/>
  <c r="BJ68" i="17" s="1"/>
  <c r="CA68" i="17"/>
  <c r="CC68" i="17" s="1"/>
  <c r="AP69" i="17"/>
  <c r="AQ69" i="17" s="1"/>
  <c r="BI69" i="17"/>
  <c r="BJ69" i="17" s="1"/>
  <c r="CA69" i="17"/>
  <c r="CC69" i="17" s="1"/>
  <c r="AP70" i="17"/>
  <c r="AQ70" i="17" s="1"/>
  <c r="BI70" i="17"/>
  <c r="BJ70" i="17" s="1"/>
  <c r="CA70" i="17"/>
  <c r="CC70" i="17" s="1"/>
  <c r="AP71" i="17"/>
  <c r="AQ71" i="17" s="1"/>
  <c r="BI71" i="17"/>
  <c r="BJ71" i="17" s="1"/>
  <c r="CA71" i="17"/>
  <c r="CB71" i="17" s="1"/>
  <c r="AP72" i="17"/>
  <c r="AQ72" i="17" s="1"/>
  <c r="BI72" i="17"/>
  <c r="BJ72" i="17" s="1"/>
  <c r="CA72" i="17"/>
  <c r="CC72" i="17" s="1"/>
  <c r="AP73" i="17"/>
  <c r="AQ73" i="17" s="1"/>
  <c r="BI73" i="17"/>
  <c r="BJ73" i="17" s="1"/>
  <c r="CA73" i="17"/>
  <c r="AP74" i="17"/>
  <c r="AR74" i="17" s="1"/>
  <c r="BI74" i="17"/>
  <c r="BJ74" i="17" s="1"/>
  <c r="CA74" i="17"/>
  <c r="CB74" i="17" s="1"/>
  <c r="AP75" i="17"/>
  <c r="BI75" i="17"/>
  <c r="BK75" i="17" s="1"/>
  <c r="CA75" i="17"/>
  <c r="CB75" i="17" s="1"/>
  <c r="AP76" i="17"/>
  <c r="AQ76" i="17" s="1"/>
  <c r="BI76" i="17"/>
  <c r="CA76" i="17"/>
  <c r="CC76" i="17" s="1"/>
  <c r="AP77" i="17"/>
  <c r="AQ77" i="17" s="1"/>
  <c r="BI77" i="17"/>
  <c r="BJ77" i="17" s="1"/>
  <c r="CA77" i="17"/>
  <c r="AP78" i="17"/>
  <c r="AR78" i="17" s="1"/>
  <c r="BI78" i="17"/>
  <c r="BJ78" i="17" s="1"/>
  <c r="CA78" i="17"/>
  <c r="CB78" i="17" s="1"/>
  <c r="AP79" i="17"/>
  <c r="BI79" i="17"/>
  <c r="BK79" i="17" s="1"/>
  <c r="CA79" i="17"/>
  <c r="CB79" i="17" s="1"/>
  <c r="AP80" i="17"/>
  <c r="AQ80" i="17" s="1"/>
  <c r="BI80" i="17"/>
  <c r="CA80" i="17"/>
  <c r="CC80" i="17" s="1"/>
  <c r="AP81" i="17"/>
  <c r="AQ81" i="17" s="1"/>
  <c r="BI81" i="17"/>
  <c r="BJ81" i="17" s="1"/>
  <c r="CA81" i="17"/>
  <c r="AP82" i="17"/>
  <c r="AR82" i="17" s="1"/>
  <c r="BI82" i="17"/>
  <c r="BJ82" i="17" s="1"/>
  <c r="CA82" i="17"/>
  <c r="CB82" i="17" s="1"/>
  <c r="AP83" i="17"/>
  <c r="BI83" i="17"/>
  <c r="BK83" i="17" s="1"/>
  <c r="CA83" i="17"/>
  <c r="CB83" i="17" s="1"/>
  <c r="AP84" i="17"/>
  <c r="AQ84" i="17" s="1"/>
  <c r="BI84" i="17"/>
  <c r="CA84" i="17"/>
  <c r="CC84" i="17" s="1"/>
  <c r="AP85" i="17"/>
  <c r="AQ85" i="17" s="1"/>
  <c r="BI85" i="17"/>
  <c r="BJ85" i="17" s="1"/>
  <c r="CA85" i="17"/>
  <c r="AP86" i="17"/>
  <c r="AR86" i="17" s="1"/>
  <c r="BI86" i="17"/>
  <c r="BJ86" i="17" s="1"/>
  <c r="CA86" i="17"/>
  <c r="CB86" i="17" s="1"/>
  <c r="AP87" i="17"/>
  <c r="BI87" i="17"/>
  <c r="BK87" i="17" s="1"/>
  <c r="CA87" i="17"/>
  <c r="CB87" i="17" s="1"/>
  <c r="AP88" i="17"/>
  <c r="AQ88" i="17" s="1"/>
  <c r="BI88" i="17"/>
  <c r="CA88" i="17"/>
  <c r="CC88" i="17" s="1"/>
  <c r="AP89" i="17"/>
  <c r="AQ89" i="17" s="1"/>
  <c r="BI89" i="17"/>
  <c r="BJ89" i="17" s="1"/>
  <c r="CA89" i="17"/>
  <c r="CC89" i="17" s="1"/>
  <c r="AP90" i="17"/>
  <c r="AQ90" i="17" s="1"/>
  <c r="BI90" i="17"/>
  <c r="BJ90" i="17" s="1"/>
  <c r="CA90" i="17"/>
  <c r="CC90" i="17" s="1"/>
  <c r="AP91" i="17"/>
  <c r="AQ91" i="17" s="1"/>
  <c r="BI91" i="17"/>
  <c r="BJ91" i="17" s="1"/>
  <c r="CA91" i="17"/>
  <c r="AP92" i="17"/>
  <c r="AR92" i="17" s="1"/>
  <c r="BI92" i="17"/>
  <c r="BJ92" i="17" s="1"/>
  <c r="CA92" i="17"/>
  <c r="CB92" i="17" s="1"/>
  <c r="AP93" i="17"/>
  <c r="BI93" i="17"/>
  <c r="BK93" i="17" s="1"/>
  <c r="CA93" i="17"/>
  <c r="CB93" i="17" s="1"/>
  <c r="AP94" i="17"/>
  <c r="AQ94" i="17" s="1"/>
  <c r="BI94" i="17"/>
  <c r="CA94" i="17"/>
  <c r="CC94" i="17" s="1"/>
  <c r="AP95" i="17"/>
  <c r="AQ95" i="17" s="1"/>
  <c r="BI95" i="17"/>
  <c r="BJ95" i="17" s="1"/>
  <c r="CA95" i="17"/>
  <c r="CB95" i="17" s="1"/>
  <c r="BI96" i="17"/>
  <c r="BJ96" i="17" s="1"/>
  <c r="CA96" i="17"/>
  <c r="CB96" i="17" s="1"/>
  <c r="BI97" i="17"/>
  <c r="BJ97" i="17" s="1"/>
  <c r="CA97" i="17"/>
  <c r="CB97" i="17" s="1"/>
  <c r="BI98" i="17"/>
  <c r="BJ98" i="17" s="1"/>
  <c r="CA98" i="17"/>
  <c r="CC98" i="17" s="1"/>
  <c r="AP99" i="17"/>
  <c r="AQ99" i="17" s="1"/>
  <c r="BI99" i="17"/>
  <c r="CA99" i="17"/>
  <c r="CB99" i="17" s="1"/>
  <c r="AP100" i="17"/>
  <c r="AR100" i="17" s="1"/>
  <c r="BI100" i="17"/>
  <c r="BJ100" i="17" s="1"/>
  <c r="CA100" i="17"/>
  <c r="CC100" i="17" s="1"/>
  <c r="BI101" i="17"/>
  <c r="BJ101" i="17" s="1"/>
  <c r="CA101" i="17"/>
  <c r="CB101" i="17" s="1"/>
  <c r="AP102" i="17"/>
  <c r="AQ102" i="17" s="1"/>
  <c r="BI102" i="17"/>
  <c r="BJ102" i="17" s="1"/>
  <c r="CA102" i="17"/>
  <c r="CC102" i="17" s="1"/>
  <c r="AP103" i="17"/>
  <c r="AQ103" i="17" s="1"/>
  <c r="BI103" i="17"/>
  <c r="BK103" i="17" s="1"/>
  <c r="CA103" i="17"/>
  <c r="CB103" i="17" s="1"/>
  <c r="AP104" i="17"/>
  <c r="BI104" i="17"/>
  <c r="BJ104" i="17" s="1"/>
  <c r="CA104" i="17"/>
  <c r="CB104" i="17" s="1"/>
  <c r="AP105" i="17"/>
  <c r="AQ105" i="17" s="1"/>
  <c r="BI105" i="17"/>
  <c r="CA105" i="17"/>
  <c r="CB105" i="17" s="1"/>
  <c r="AP106" i="17"/>
  <c r="BI106" i="17"/>
  <c r="BJ106" i="17" s="1"/>
  <c r="CA106" i="17"/>
  <c r="AP107" i="17"/>
  <c r="AQ107" i="17" s="1"/>
  <c r="BI107" i="17"/>
  <c r="BK107" i="17" s="1"/>
  <c r="CA107" i="17"/>
  <c r="CB107" i="17" s="1"/>
  <c r="BI108" i="17"/>
  <c r="BJ108" i="17" s="1"/>
  <c r="CA108" i="17"/>
  <c r="CB108" i="17" s="1"/>
  <c r="AP109" i="17"/>
  <c r="AQ109" i="17" s="1"/>
  <c r="BI109" i="17"/>
  <c r="BK109" i="17" s="1"/>
  <c r="CA109" i="17"/>
  <c r="CB109" i="17" s="1"/>
  <c r="BI110" i="17"/>
  <c r="BJ110" i="17" s="1"/>
  <c r="CA110" i="17"/>
  <c r="CC110" i="17" s="1"/>
  <c r="BI111" i="17"/>
  <c r="BJ111" i="17" s="1"/>
  <c r="CA111" i="17"/>
  <c r="CB111" i="17" s="1"/>
  <c r="AP112" i="17"/>
  <c r="BI112" i="17"/>
  <c r="BJ112" i="17" s="1"/>
  <c r="CA112" i="17"/>
  <c r="AP113" i="17"/>
  <c r="AQ113" i="17" s="1"/>
  <c r="BI113" i="17"/>
  <c r="CA113" i="17"/>
  <c r="CB113" i="17" s="1"/>
  <c r="BI114" i="17"/>
  <c r="BJ114" i="17" s="1"/>
  <c r="CA114" i="17"/>
  <c r="CC114" i="17" s="1"/>
  <c r="BI115" i="17"/>
  <c r="BJ115" i="17" s="1"/>
  <c r="CA115" i="17"/>
  <c r="BI116" i="17"/>
  <c r="BJ116" i="17" s="1"/>
  <c r="CA116" i="17"/>
  <c r="BI117" i="17"/>
  <c r="BJ117" i="17" s="1"/>
  <c r="CA117" i="17"/>
  <c r="AP118" i="17"/>
  <c r="AQ118" i="17" s="1"/>
  <c r="BI118" i="17"/>
  <c r="BJ118" i="17" s="1"/>
  <c r="CA118" i="17"/>
  <c r="CC118" i="17" s="1"/>
  <c r="AP119" i="17"/>
  <c r="AQ119" i="17" s="1"/>
  <c r="BI119" i="17"/>
  <c r="BJ119" i="17" s="1"/>
  <c r="CA119" i="17"/>
  <c r="CC119" i="17" s="1"/>
  <c r="AP120" i="17"/>
  <c r="AQ120" i="17" s="1"/>
  <c r="BI120" i="17"/>
  <c r="BJ120" i="17" s="1"/>
  <c r="CA120" i="17"/>
  <c r="CB120" i="17" s="1"/>
  <c r="AP121" i="17"/>
  <c r="AR121" i="17" s="1"/>
  <c r="BI121" i="17"/>
  <c r="BJ121" i="17" s="1"/>
  <c r="CA121" i="17"/>
  <c r="CC121" i="17" s="1"/>
  <c r="AP122" i="17"/>
  <c r="AQ122" i="17" s="1"/>
  <c r="BI122" i="17"/>
  <c r="BK122" i="17" s="1"/>
  <c r="CA122" i="17"/>
  <c r="CB122" i="17" s="1"/>
  <c r="AP123" i="17"/>
  <c r="AQ123" i="17" s="1"/>
  <c r="BI123" i="17"/>
  <c r="CA123" i="17"/>
  <c r="CC123" i="17" s="1"/>
  <c r="AP124" i="17"/>
  <c r="BI124" i="17"/>
  <c r="BJ124" i="17" s="1"/>
  <c r="CA124" i="17"/>
  <c r="BI125" i="17"/>
  <c r="BJ125" i="17" s="1"/>
  <c r="CA125" i="17"/>
  <c r="CB125" i="17" s="1"/>
  <c r="AP126" i="17"/>
  <c r="BI126" i="17"/>
  <c r="BJ126" i="17" s="1"/>
  <c r="CA126" i="17"/>
  <c r="CC126" i="17" s="1"/>
  <c r="BI127" i="17"/>
  <c r="BJ127" i="17" s="1"/>
  <c r="CA127" i="17"/>
  <c r="CB127" i="17" s="1"/>
  <c r="BI128" i="17"/>
  <c r="BJ128" i="17" s="1"/>
  <c r="CA128" i="17"/>
  <c r="CC128" i="17" s="1"/>
  <c r="AP129" i="17"/>
  <c r="AQ129" i="17" s="1"/>
  <c r="BI129" i="17"/>
  <c r="BJ129" i="17" s="1"/>
  <c r="CA129" i="17"/>
  <c r="AP130" i="17"/>
  <c r="AR130" i="17" s="1"/>
  <c r="BI130" i="17"/>
  <c r="CA130" i="17"/>
  <c r="CB130" i="17" s="1"/>
  <c r="BI131" i="17"/>
  <c r="BJ131" i="17" s="1"/>
  <c r="CA131" i="17"/>
  <c r="CB131" i="17" s="1"/>
  <c r="AP132" i="17"/>
  <c r="BI132" i="17"/>
  <c r="BJ132" i="17" s="1"/>
  <c r="CA132" i="17"/>
  <c r="CC132" i="17" s="1"/>
  <c r="AP133" i="17"/>
  <c r="AQ133" i="17" s="1"/>
  <c r="BI133" i="17"/>
  <c r="BK133" i="17" s="1"/>
  <c r="CA133" i="17"/>
  <c r="CB133" i="17" s="1"/>
  <c r="BI134" i="17"/>
  <c r="BJ134" i="17" s="1"/>
  <c r="CA134" i="17"/>
  <c r="CC134" i="17" s="1"/>
  <c r="BI135" i="17"/>
  <c r="BJ135" i="17" s="1"/>
  <c r="CA135" i="17"/>
  <c r="CB135" i="17" s="1"/>
  <c r="BI136" i="17"/>
  <c r="BJ136" i="17" s="1"/>
  <c r="CA136" i="17"/>
  <c r="CC136" i="17" s="1"/>
  <c r="BI137" i="17"/>
  <c r="BJ137" i="17" s="1"/>
  <c r="CA137" i="17"/>
  <c r="CB137" i="17" s="1"/>
  <c r="AP138" i="17"/>
  <c r="AR138" i="17" s="1"/>
  <c r="BI138" i="17"/>
  <c r="BJ138" i="17" s="1"/>
  <c r="CA138" i="17"/>
  <c r="CB138" i="17" s="1"/>
  <c r="AP139" i="17"/>
  <c r="AQ139" i="17" s="1"/>
  <c r="BI139" i="17"/>
  <c r="BJ139" i="17" s="1"/>
  <c r="CA139" i="17"/>
  <c r="CB139" i="17" s="1"/>
  <c r="AP140" i="17"/>
  <c r="AQ140" i="17" s="1"/>
  <c r="BI140" i="17"/>
  <c r="BJ140" i="17" s="1"/>
  <c r="CA140" i="17"/>
  <c r="CB140" i="17" s="1"/>
  <c r="AP141" i="17"/>
  <c r="AR141" i="17" s="1"/>
  <c r="BI141" i="17"/>
  <c r="BJ141" i="17" s="1"/>
  <c r="CA141" i="17"/>
  <c r="CB141" i="17" s="1"/>
  <c r="AP142" i="17"/>
  <c r="AQ142" i="17" s="1"/>
  <c r="BI142" i="17"/>
  <c r="BJ142" i="17" s="1"/>
  <c r="CA142" i="17"/>
  <c r="CB142" i="17" s="1"/>
  <c r="AA143" i="17"/>
  <c r="AP143" i="17"/>
  <c r="AQ143" i="17" s="1"/>
  <c r="BI143" i="17"/>
  <c r="BJ143" i="17" s="1"/>
  <c r="CA143" i="17"/>
  <c r="CB143" i="17" s="1"/>
  <c r="AA144" i="17"/>
  <c r="AP144" i="17"/>
  <c r="AQ144" i="17" s="1"/>
  <c r="BI144" i="17"/>
  <c r="BJ144" i="17" s="1"/>
  <c r="CA144" i="17"/>
  <c r="CB144" i="17" s="1"/>
  <c r="AA145" i="17"/>
  <c r="AP145" i="17"/>
  <c r="AQ145" i="17" s="1"/>
  <c r="BI145" i="17"/>
  <c r="BJ145" i="17" s="1"/>
  <c r="CA145" i="17"/>
  <c r="CB145" i="17" s="1"/>
  <c r="BI146" i="17"/>
  <c r="BJ146" i="17" s="1"/>
  <c r="CA146" i="17"/>
  <c r="CB146" i="17" s="1"/>
  <c r="BI147" i="17"/>
  <c r="BJ147" i="17" s="1"/>
  <c r="CA147" i="17"/>
  <c r="CB147" i="17" s="1"/>
  <c r="BI148" i="17"/>
  <c r="BJ148" i="17" s="1"/>
  <c r="CA148" i="17"/>
  <c r="CB148" i="17" s="1"/>
  <c r="AP149" i="17"/>
  <c r="AQ149" i="17" s="1"/>
  <c r="BI149" i="17"/>
  <c r="BJ149" i="17" s="1"/>
  <c r="CA149" i="17"/>
  <c r="CB149" i="17" s="1"/>
  <c r="AP150" i="17"/>
  <c r="AQ150" i="17" s="1"/>
  <c r="BI150" i="17"/>
  <c r="BJ150" i="17" s="1"/>
  <c r="CA150" i="17"/>
  <c r="CB150" i="17" s="1"/>
  <c r="AP151" i="17"/>
  <c r="AQ151" i="17" s="1"/>
  <c r="BI151" i="17"/>
  <c r="BK151" i="17" s="1"/>
  <c r="CA151" i="17"/>
  <c r="CB151" i="17" s="1"/>
  <c r="AP152" i="17"/>
  <c r="AQ152" i="17" s="1"/>
  <c r="BI152" i="17"/>
  <c r="BJ152" i="17" s="1"/>
  <c r="CA152" i="17"/>
  <c r="CB152" i="17" s="1"/>
  <c r="AP153" i="17"/>
  <c r="AQ153" i="17" s="1"/>
  <c r="BI153" i="17"/>
  <c r="BJ153" i="17" s="1"/>
  <c r="CA153" i="17"/>
  <c r="CB153" i="17" s="1"/>
  <c r="BI154" i="17"/>
  <c r="BJ154" i="17" s="1"/>
  <c r="CA154" i="17"/>
  <c r="CB154" i="17" s="1"/>
  <c r="BI155" i="17"/>
  <c r="BJ155" i="17" s="1"/>
  <c r="CA155" i="17"/>
  <c r="CB155" i="17" s="1"/>
  <c r="BI156" i="17"/>
  <c r="BJ156" i="17" s="1"/>
  <c r="CA156" i="17"/>
  <c r="CB156" i="17" s="1"/>
  <c r="BI157" i="17"/>
  <c r="BJ157" i="17" s="1"/>
  <c r="CA157" i="17"/>
  <c r="CB157" i="17" s="1"/>
  <c r="AP158" i="17"/>
  <c r="AQ158" i="17" s="1"/>
  <c r="BI158" i="17"/>
  <c r="BJ158" i="17" s="1"/>
  <c r="CA158" i="17"/>
  <c r="CB158" i="17" s="1"/>
  <c r="BI159" i="17"/>
  <c r="BJ159" i="17" s="1"/>
  <c r="CA159" i="17"/>
  <c r="CB159" i="17" s="1"/>
  <c r="BI160" i="17"/>
  <c r="BJ160" i="17" s="1"/>
  <c r="CA160" i="17"/>
  <c r="CC160" i="17" s="1"/>
  <c r="AP161" i="17"/>
  <c r="AQ161" i="17" s="1"/>
  <c r="BI161" i="17"/>
  <c r="BJ161" i="17" s="1"/>
  <c r="CA161" i="17"/>
  <c r="CB161" i="17" s="1"/>
  <c r="AP162" i="17"/>
  <c r="AQ162" i="17" s="1"/>
  <c r="BI162" i="17"/>
  <c r="BJ162" i="17" s="1"/>
  <c r="CA162" i="17"/>
  <c r="CB162" i="17" s="1"/>
  <c r="AP163" i="17"/>
  <c r="AQ163" i="17" s="1"/>
  <c r="BI163" i="17"/>
  <c r="BK163" i="17" s="1"/>
  <c r="CA163" i="17"/>
  <c r="CB163" i="17" s="1"/>
  <c r="AP164" i="17"/>
  <c r="AQ164" i="17" s="1"/>
  <c r="BI164" i="17"/>
  <c r="BJ164" i="17" s="1"/>
  <c r="CA164" i="17"/>
  <c r="CC164" i="17" s="1"/>
  <c r="AP165" i="17"/>
  <c r="AQ165" i="17" s="1"/>
  <c r="BI165" i="17"/>
  <c r="BJ165" i="17" s="1"/>
  <c r="CA165" i="17"/>
  <c r="CB165" i="17" s="1"/>
  <c r="AP166" i="17"/>
  <c r="AR166" i="17" s="1"/>
  <c r="BI166" i="17"/>
  <c r="BJ166" i="17" s="1"/>
  <c r="CA166" i="17"/>
  <c r="CB166" i="17" s="1"/>
  <c r="AP167" i="17"/>
  <c r="AQ167" i="17" s="1"/>
  <c r="BI167" i="17"/>
  <c r="BJ167" i="17" s="1"/>
  <c r="CA167" i="17"/>
  <c r="CB167" i="17" s="1"/>
  <c r="AA168" i="17"/>
  <c r="AP168" i="17"/>
  <c r="AQ168" i="17" s="1"/>
  <c r="BI168" i="17"/>
  <c r="BJ168" i="17" s="1"/>
  <c r="CA168" i="17"/>
  <c r="CB168" i="17" s="1"/>
  <c r="BI169" i="17"/>
  <c r="BJ169" i="17" s="1"/>
  <c r="CA169" i="17"/>
  <c r="CB169" i="17" s="1"/>
  <c r="BI170" i="17"/>
  <c r="BJ170" i="17" s="1"/>
  <c r="CA170" i="17"/>
  <c r="CB170" i="17" s="1"/>
  <c r="BI171" i="17"/>
  <c r="BJ171" i="17" s="1"/>
  <c r="CA171" i="17"/>
  <c r="CB171" i="17" s="1"/>
  <c r="BI172" i="17"/>
  <c r="BJ172" i="17" s="1"/>
  <c r="CA172" i="17"/>
  <c r="CB172" i="17" s="1"/>
  <c r="BI173" i="17"/>
  <c r="BJ173" i="17" s="1"/>
  <c r="CA173" i="17"/>
  <c r="CB173" i="17" s="1"/>
  <c r="AP174" i="17"/>
  <c r="AR174" i="17" s="1"/>
  <c r="BI174" i="17"/>
  <c r="BJ174" i="17" s="1"/>
  <c r="CA174" i="17"/>
  <c r="CB174" i="17" s="1"/>
  <c r="CS174" i="17"/>
  <c r="CT174" i="17" s="1"/>
  <c r="AP175" i="17"/>
  <c r="AQ175" i="17" s="1"/>
  <c r="BI175" i="17"/>
  <c r="BJ175" i="17" s="1"/>
  <c r="CA175" i="17"/>
  <c r="CB175" i="17" s="1"/>
  <c r="CS175" i="17"/>
  <c r="CT175" i="17" s="1"/>
  <c r="BI176" i="17"/>
  <c r="BJ176" i="17" s="1"/>
  <c r="CA176" i="17"/>
  <c r="CC176" i="17" s="1"/>
  <c r="AC177" i="17"/>
  <c r="AV177" i="17"/>
  <c r="AW177" i="17"/>
  <c r="AX177" i="17"/>
  <c r="AY177" i="17"/>
  <c r="AZ177" i="17"/>
  <c r="BA177" i="17"/>
  <c r="BB177" i="17"/>
  <c r="BC177" i="17"/>
  <c r="BD177" i="17"/>
  <c r="BE177" i="17"/>
  <c r="BF177" i="17"/>
  <c r="BG177" i="17"/>
  <c r="BH177" i="17"/>
  <c r="BN177" i="17"/>
  <c r="AR4" i="17" l="1"/>
  <c r="AR71" i="17"/>
  <c r="CB4" i="17"/>
  <c r="AR150" i="17"/>
  <c r="CB57" i="17"/>
  <c r="AQ30" i="17"/>
  <c r="CC130" i="17"/>
  <c r="BJ107" i="17"/>
  <c r="AQ138" i="17"/>
  <c r="CC131" i="17"/>
  <c r="BJ48" i="17"/>
  <c r="BK47" i="17"/>
  <c r="AR35" i="17"/>
  <c r="AQ29" i="17"/>
  <c r="CC171" i="17"/>
  <c r="CC168" i="17"/>
  <c r="CB119" i="17"/>
  <c r="CC104" i="17"/>
  <c r="CC60" i="17"/>
  <c r="CB59" i="17"/>
  <c r="BJ56" i="17"/>
  <c r="AQ6" i="17"/>
  <c r="CC155" i="17"/>
  <c r="AR153" i="17"/>
  <c r="AR123" i="17"/>
  <c r="BK63" i="17"/>
  <c r="BK60" i="17"/>
  <c r="AQ22" i="17"/>
  <c r="AR21" i="17"/>
  <c r="BK18" i="17"/>
  <c r="AR63" i="17"/>
  <c r="CB55" i="17"/>
  <c r="AQ174" i="17"/>
  <c r="CC172" i="17"/>
  <c r="CC148" i="17"/>
  <c r="CC137" i="17"/>
  <c r="BK129" i="17"/>
  <c r="AR118" i="17"/>
  <c r="CC96" i="17"/>
  <c r="CB65" i="17"/>
  <c r="AR56" i="17"/>
  <c r="BK55" i="17"/>
  <c r="BJ54" i="17"/>
  <c r="BJ31" i="17"/>
  <c r="CB30" i="17"/>
  <c r="AR25" i="17"/>
  <c r="AQ24" i="17"/>
  <c r="CB20" i="17"/>
  <c r="AQ14" i="17"/>
  <c r="AR13" i="17"/>
  <c r="CB12" i="17"/>
  <c r="AQ12" i="17"/>
  <c r="AQ166" i="17"/>
  <c r="AR165" i="17"/>
  <c r="AR158" i="17"/>
  <c r="BJ151" i="17"/>
  <c r="BK150" i="17"/>
  <c r="AQ121" i="17"/>
  <c r="BK100" i="17"/>
  <c r="CB45" i="17"/>
  <c r="CC44" i="17"/>
  <c r="BK167" i="17"/>
  <c r="BJ163" i="17"/>
  <c r="BK162" i="17"/>
  <c r="BK144" i="17"/>
  <c r="CC142" i="17"/>
  <c r="AQ141" i="17"/>
  <c r="AR140" i="17"/>
  <c r="CB134" i="17"/>
  <c r="BK132" i="17"/>
  <c r="CB128" i="17"/>
  <c r="BJ122" i="17"/>
  <c r="CB121" i="17"/>
  <c r="CC108" i="17"/>
  <c r="AR102" i="17"/>
  <c r="CC99" i="17"/>
  <c r="CB68" i="17"/>
  <c r="AR64" i="17"/>
  <c r="BK61" i="17"/>
  <c r="AQ59" i="17"/>
  <c r="BJ58" i="17"/>
  <c r="AQ57" i="17"/>
  <c r="AQ55" i="17"/>
  <c r="BJ52" i="17"/>
  <c r="BK51" i="17"/>
  <c r="CB49" i="17"/>
  <c r="CC48" i="17"/>
  <c r="AQ47" i="17"/>
  <c r="AR46" i="17"/>
  <c r="BK43" i="17"/>
  <c r="CB42" i="17"/>
  <c r="AQ42" i="17"/>
  <c r="AR41" i="17"/>
  <c r="CB35" i="17"/>
  <c r="CC33" i="17"/>
  <c r="CC29" i="17"/>
  <c r="CC27" i="17"/>
  <c r="CC19" i="17"/>
  <c r="BJ15" i="17"/>
  <c r="BK14" i="17"/>
  <c r="CC10" i="17"/>
  <c r="AQ10" i="17"/>
  <c r="AQ9" i="17"/>
  <c r="CB7" i="17"/>
  <c r="AQ7" i="17"/>
  <c r="CB6" i="17"/>
  <c r="AQ44" i="17"/>
  <c r="CB37" i="17"/>
  <c r="CB34" i="17"/>
  <c r="BK26" i="17"/>
  <c r="BJ25" i="17"/>
  <c r="CC23" i="17"/>
  <c r="BK22" i="17"/>
  <c r="BJ11" i="17"/>
  <c r="AR175" i="17"/>
  <c r="BK174" i="17"/>
  <c r="CB160" i="17"/>
  <c r="CC156" i="17"/>
  <c r="CC144" i="17"/>
  <c r="BK142" i="17"/>
  <c r="CB132" i="17"/>
  <c r="AQ130" i="17"/>
  <c r="CB123" i="17"/>
  <c r="BK120" i="17"/>
  <c r="CB110" i="17"/>
  <c r="CC58" i="17"/>
  <c r="AR58" i="17"/>
  <c r="CB53" i="17"/>
  <c r="CC52" i="17"/>
  <c r="AQ51" i="17"/>
  <c r="AR50" i="17"/>
  <c r="CB16" i="17"/>
  <c r="CC15" i="17"/>
  <c r="AR167" i="17"/>
  <c r="BI177" i="17"/>
  <c r="CB176" i="17"/>
  <c r="CB164" i="17"/>
  <c r="CC163" i="17"/>
  <c r="CC159" i="17"/>
  <c r="BK158" i="17"/>
  <c r="AR149" i="17"/>
  <c r="BK141" i="17"/>
  <c r="CC133" i="17"/>
  <c r="BJ130" i="17"/>
  <c r="BK130" i="17"/>
  <c r="CB126" i="17"/>
  <c r="BJ123" i="17"/>
  <c r="BK123" i="17"/>
  <c r="CC106" i="17"/>
  <c r="CB106" i="17"/>
  <c r="BK105" i="17"/>
  <c r="BJ105" i="17"/>
  <c r="AR162" i="17"/>
  <c r="CC152" i="17"/>
  <c r="CC139" i="17"/>
  <c r="AR132" i="17"/>
  <c r="AQ132" i="17"/>
  <c r="AQ124" i="17"/>
  <c r="AR124" i="17"/>
  <c r="CB117" i="17"/>
  <c r="CC117" i="17"/>
  <c r="CB115" i="17"/>
  <c r="CC115" i="17"/>
  <c r="CB112" i="17"/>
  <c r="CC112" i="17"/>
  <c r="AR161" i="17"/>
  <c r="CC151" i="17"/>
  <c r="CC147" i="17"/>
  <c r="AR145" i="17"/>
  <c r="AR143" i="17"/>
  <c r="CC138" i="17"/>
  <c r="CB136" i="17"/>
  <c r="BJ133" i="17"/>
  <c r="CC124" i="17"/>
  <c r="CB124" i="17"/>
  <c r="AQ106" i="17"/>
  <c r="AR106" i="17"/>
  <c r="AR104" i="17"/>
  <c r="AQ104" i="17"/>
  <c r="BJ99" i="17"/>
  <c r="BK99" i="17"/>
  <c r="CB129" i="17"/>
  <c r="CC129" i="17"/>
  <c r="AR126" i="17"/>
  <c r="AQ126" i="17"/>
  <c r="CB116" i="17"/>
  <c r="CC116" i="17"/>
  <c r="BK113" i="17"/>
  <c r="BJ113" i="17"/>
  <c r="AR112" i="17"/>
  <c r="AQ112" i="17"/>
  <c r="BK121" i="17"/>
  <c r="CC120" i="17"/>
  <c r="CB114" i="17"/>
  <c r="BJ103" i="17"/>
  <c r="CB100" i="17"/>
  <c r="AQ100" i="17"/>
  <c r="CB98" i="17"/>
  <c r="BK95" i="17"/>
  <c r="AR94" i="17"/>
  <c r="CC92" i="17"/>
  <c r="BK91" i="17"/>
  <c r="AR88" i="17"/>
  <c r="CC86" i="17"/>
  <c r="BK85" i="17"/>
  <c r="AR84" i="17"/>
  <c r="CC82" i="17"/>
  <c r="BK81" i="17"/>
  <c r="AR80" i="17"/>
  <c r="CC78" i="17"/>
  <c r="BK77" i="17"/>
  <c r="AR76" i="17"/>
  <c r="CC74" i="17"/>
  <c r="BK73" i="17"/>
  <c r="AR72" i="17"/>
  <c r="BJ67" i="17"/>
  <c r="CB66" i="17"/>
  <c r="AR66" i="17"/>
  <c r="BK64" i="17"/>
  <c r="CC61" i="17"/>
  <c r="AQ53" i="17"/>
  <c r="CB51" i="17"/>
  <c r="BJ50" i="17"/>
  <c r="AQ49" i="17"/>
  <c r="CB47" i="17"/>
  <c r="BJ46" i="17"/>
  <c r="AQ45" i="17"/>
  <c r="CB39" i="17"/>
  <c r="CC38" i="17"/>
  <c r="CB32" i="17"/>
  <c r="CC28" i="17"/>
  <c r="BJ27" i="17"/>
  <c r="AQ26" i="17"/>
  <c r="CB24" i="17"/>
  <c r="CB22" i="17"/>
  <c r="BJ21" i="17"/>
  <c r="BJ19" i="17"/>
  <c r="AQ18" i="17"/>
  <c r="AQ16" i="17"/>
  <c r="CB14" i="17"/>
  <c r="BJ13" i="17"/>
  <c r="CC11" i="17"/>
  <c r="BK10" i="17"/>
  <c r="BK6" i="17"/>
  <c r="CB94" i="17"/>
  <c r="BJ93" i="17"/>
  <c r="AQ92" i="17"/>
  <c r="CB90" i="17"/>
  <c r="AR90" i="17"/>
  <c r="CB88" i="17"/>
  <c r="BJ87" i="17"/>
  <c r="AQ86" i="17"/>
  <c r="CB84" i="17"/>
  <c r="BJ83" i="17"/>
  <c r="AQ82" i="17"/>
  <c r="CB80" i="17"/>
  <c r="BJ79" i="17"/>
  <c r="AQ78" i="17"/>
  <c r="CB76" i="17"/>
  <c r="BJ75" i="17"/>
  <c r="AQ74" i="17"/>
  <c r="CB72" i="17"/>
  <c r="CB70" i="17"/>
  <c r="AR70" i="17"/>
  <c r="CB63" i="17"/>
  <c r="BJ62" i="17"/>
  <c r="AQ61" i="17"/>
  <c r="BJ3" i="17"/>
  <c r="CB118" i="17"/>
  <c r="BK112" i="17"/>
  <c r="CC111" i="17"/>
  <c r="BJ109" i="17"/>
  <c r="CC107" i="17"/>
  <c r="CC105" i="17"/>
  <c r="AR105" i="17"/>
  <c r="CB102" i="17"/>
  <c r="AR95" i="17"/>
  <c r="CC93" i="17"/>
  <c r="BK92" i="17"/>
  <c r="AR91" i="17"/>
  <c r="CB89" i="17"/>
  <c r="AR89" i="17"/>
  <c r="CC87" i="17"/>
  <c r="BK86" i="17"/>
  <c r="AR85" i="17"/>
  <c r="CC83" i="17"/>
  <c r="BK82" i="17"/>
  <c r="AR81" i="17"/>
  <c r="CC79" i="17"/>
  <c r="BK78" i="17"/>
  <c r="AR77" i="17"/>
  <c r="CC75" i="17"/>
  <c r="BK74" i="17"/>
  <c r="AR73" i="17"/>
  <c r="CC71" i="17"/>
  <c r="CC43" i="17"/>
  <c r="BK42" i="17"/>
  <c r="AR31" i="17"/>
  <c r="AQ28" i="17"/>
  <c r="CB26" i="17"/>
  <c r="CB18" i="17"/>
  <c r="AP177" i="17"/>
  <c r="BK175" i="17"/>
  <c r="CC174" i="17"/>
  <c r="CC170" i="17"/>
  <c r="AR168" i="17"/>
  <c r="CC167" i="17"/>
  <c r="BK165" i="17"/>
  <c r="AR164" i="17"/>
  <c r="CC162" i="17"/>
  <c r="BK161" i="17"/>
  <c r="CC158" i="17"/>
  <c r="CC154" i="17"/>
  <c r="BK153" i="17"/>
  <c r="AR152" i="17"/>
  <c r="CC150" i="17"/>
  <c r="BK149" i="17"/>
  <c r="CC146" i="17"/>
  <c r="BK145" i="17"/>
  <c r="BK143" i="17"/>
  <c r="CC141" i="17"/>
  <c r="BK140" i="17"/>
  <c r="AR139" i="17"/>
  <c r="CC127" i="17"/>
  <c r="AR120" i="17"/>
  <c r="BK104" i="17"/>
  <c r="CC103" i="17"/>
  <c r="AR103" i="17"/>
  <c r="BK102" i="17"/>
  <c r="AR99" i="17"/>
  <c r="CC175" i="17"/>
  <c r="CC173" i="17"/>
  <c r="CC169" i="17"/>
  <c r="BK168" i="17"/>
  <c r="CC166" i="17"/>
  <c r="CC165" i="17"/>
  <c r="BK164" i="17"/>
  <c r="AR163" i="17"/>
  <c r="CC161" i="17"/>
  <c r="CC157" i="17"/>
  <c r="CC153" i="17"/>
  <c r="BK152" i="17"/>
  <c r="AR151" i="17"/>
  <c r="CC149" i="17"/>
  <c r="CC145" i="17"/>
  <c r="AR144" i="17"/>
  <c r="CC143" i="17"/>
  <c r="AR142" i="17"/>
  <c r="CC140" i="17"/>
  <c r="BK139" i="17"/>
  <c r="CC135" i="17"/>
  <c r="AR133" i="17"/>
  <c r="CC101" i="17"/>
  <c r="AR129" i="17"/>
  <c r="BK126" i="17"/>
  <c r="CC125" i="17"/>
  <c r="CC122" i="17"/>
  <c r="AR122" i="17"/>
  <c r="AR119" i="17"/>
  <c r="BK118" i="17"/>
  <c r="CC113" i="17"/>
  <c r="AR113" i="17"/>
  <c r="CC109" i="17"/>
  <c r="AR109" i="17"/>
  <c r="AR107" i="17"/>
  <c r="BK106" i="17"/>
  <c r="CC97" i="17"/>
  <c r="CC95" i="17"/>
  <c r="BJ94" i="17"/>
  <c r="BK94" i="17"/>
  <c r="AQ93" i="17"/>
  <c r="AR93" i="17"/>
  <c r="CB91" i="17"/>
  <c r="CC91" i="17"/>
  <c r="BJ88" i="17"/>
  <c r="BK88" i="17"/>
  <c r="AQ87" i="17"/>
  <c r="AR87" i="17"/>
  <c r="CB85" i="17"/>
  <c r="CC85" i="17"/>
  <c r="BJ84" i="17"/>
  <c r="BK84" i="17"/>
  <c r="AQ83" i="17"/>
  <c r="AR83" i="17"/>
  <c r="CB81" i="17"/>
  <c r="CC81" i="17"/>
  <c r="BJ80" i="17"/>
  <c r="BK80" i="17"/>
  <c r="AQ79" i="17"/>
  <c r="AR79" i="17"/>
  <c r="CB77" i="17"/>
  <c r="CC77" i="17"/>
  <c r="BJ76" i="17"/>
  <c r="BK76" i="17"/>
  <c r="AQ75" i="17"/>
  <c r="AR75" i="17"/>
  <c r="CB73" i="17"/>
  <c r="CC73" i="17"/>
  <c r="CC67" i="17"/>
  <c r="AR67" i="17"/>
  <c r="CC62" i="17"/>
  <c r="AR62" i="17"/>
  <c r="BK57" i="17"/>
  <c r="CC56" i="17"/>
  <c r="BK72" i="17"/>
  <c r="CB69" i="17"/>
  <c r="AR69" i="17"/>
  <c r="CC64" i="17"/>
  <c r="AR60" i="17"/>
  <c r="BK59" i="17"/>
  <c r="CC54" i="17"/>
  <c r="AR54" i="17"/>
  <c r="BJ53" i="17"/>
  <c r="BK53" i="17"/>
  <c r="AQ52" i="17"/>
  <c r="AR52" i="17"/>
  <c r="CB50" i="17"/>
  <c r="CC50" i="17"/>
  <c r="BJ49" i="17"/>
  <c r="BK49" i="17"/>
  <c r="CB3" i="17"/>
  <c r="AR48" i="17"/>
  <c r="CC46" i="17"/>
  <c r="BK45" i="17"/>
  <c r="AR43" i="17"/>
  <c r="CC41" i="17"/>
  <c r="CC40" i="17"/>
  <c r="CC36" i="17"/>
  <c r="CC31" i="17"/>
  <c r="BK30" i="17"/>
  <c r="AR27" i="17"/>
  <c r="CC25" i="17"/>
  <c r="BK24" i="17"/>
  <c r="CC21" i="17"/>
  <c r="AR19" i="17"/>
  <c r="CC17" i="17"/>
  <c r="BK16" i="17"/>
  <c r="AR15" i="17"/>
  <c r="CC13" i="17"/>
  <c r="BK12" i="17"/>
  <c r="AR11" i="17"/>
  <c r="CC9" i="17"/>
  <c r="CC8" i="17"/>
  <c r="BK7" i="17"/>
  <c r="CC5" i="17"/>
  <c r="BK4" i="17"/>
  <c r="AR3" i="17"/>
  <c r="BK4" i="19"/>
  <c r="BL4" i="19" s="1"/>
  <c r="BK5" i="19"/>
  <c r="BL5" i="19" s="1"/>
  <c r="BK6" i="19"/>
  <c r="BM6" i="19" s="1"/>
  <c r="BK7" i="19"/>
  <c r="BL7" i="19" s="1"/>
  <c r="BM7" i="19"/>
  <c r="BK8" i="19"/>
  <c r="BL8" i="19" s="1"/>
  <c r="BK9" i="19"/>
  <c r="BL9" i="19" s="1"/>
  <c r="BK10" i="19"/>
  <c r="BM10" i="19" s="1"/>
  <c r="BL10" i="19"/>
  <c r="BK11" i="19"/>
  <c r="BM11" i="19" s="1"/>
  <c r="BK12" i="19"/>
  <c r="BL12" i="19" s="1"/>
  <c r="BK13" i="19"/>
  <c r="BL13" i="19" s="1"/>
  <c r="BK14" i="19"/>
  <c r="BM14" i="19" s="1"/>
  <c r="BK15" i="19"/>
  <c r="BM15" i="19" s="1"/>
  <c r="BK16" i="19"/>
  <c r="BM16" i="19" s="1"/>
  <c r="BK17" i="19"/>
  <c r="BL17" i="19" s="1"/>
  <c r="BK18" i="19"/>
  <c r="BM18" i="19" s="1"/>
  <c r="BK19" i="19"/>
  <c r="BL19" i="19" s="1"/>
  <c r="BM19" i="19"/>
  <c r="BK20" i="19"/>
  <c r="BM20" i="19" s="1"/>
  <c r="BK21" i="19"/>
  <c r="BL21" i="19" s="1"/>
  <c r="BK22" i="19"/>
  <c r="BM22" i="19" s="1"/>
  <c r="BK23" i="19"/>
  <c r="BL23" i="19" s="1"/>
  <c r="BM23" i="19"/>
  <c r="BK24" i="19"/>
  <c r="BM24" i="19" s="1"/>
  <c r="BK25" i="19"/>
  <c r="BL25" i="19" s="1"/>
  <c r="BK26" i="19"/>
  <c r="BM26" i="19" s="1"/>
  <c r="BK27" i="19"/>
  <c r="BL27" i="19" s="1"/>
  <c r="BK28" i="19"/>
  <c r="BL28" i="19" s="1"/>
  <c r="BM28" i="19"/>
  <c r="BK29" i="19"/>
  <c r="BL29" i="19" s="1"/>
  <c r="BK30" i="19"/>
  <c r="BM30" i="19" s="1"/>
  <c r="BK34" i="19"/>
  <c r="BM34" i="19" s="1"/>
  <c r="BK35" i="19"/>
  <c r="BM35" i="19" s="1"/>
  <c r="BK36" i="19"/>
  <c r="BM36" i="19" s="1"/>
  <c r="BK37" i="19"/>
  <c r="BL37" i="19" s="1"/>
  <c r="BK39" i="19"/>
  <c r="BL39" i="19" s="1"/>
  <c r="BK41" i="19"/>
  <c r="BK43" i="19"/>
  <c r="BK44" i="19"/>
  <c r="BK45" i="19"/>
  <c r="BL45" i="19" s="1"/>
  <c r="BK46" i="19"/>
  <c r="BM46" i="19" s="1"/>
  <c r="BK47" i="19"/>
  <c r="BM47" i="19" s="1"/>
  <c r="BK48" i="19"/>
  <c r="BM48" i="19" s="1"/>
  <c r="BL48" i="19"/>
  <c r="BK49" i="19"/>
  <c r="BL49" i="19" s="1"/>
  <c r="BK50" i="19"/>
  <c r="BK51" i="19"/>
  <c r="BM51" i="19" s="1"/>
  <c r="BK52" i="19"/>
  <c r="BK53" i="19"/>
  <c r="BL53" i="19" s="1"/>
  <c r="BK54" i="19"/>
  <c r="BM54" i="19" s="1"/>
  <c r="BK55" i="19"/>
  <c r="BL55" i="19" s="1"/>
  <c r="BM55" i="19"/>
  <c r="BK61" i="19"/>
  <c r="BL61" i="19" s="1"/>
  <c r="BK62" i="19"/>
  <c r="BM62" i="19" s="1"/>
  <c r="BK63" i="19"/>
  <c r="BM63" i="19" s="1"/>
  <c r="BK64" i="19"/>
  <c r="BL64" i="19" s="1"/>
  <c r="BK65" i="19"/>
  <c r="BK66" i="19"/>
  <c r="BM66" i="19" s="1"/>
  <c r="BK67" i="19"/>
  <c r="BM67" i="19" s="1"/>
  <c r="BK68" i="19"/>
  <c r="BM68" i="19" s="1"/>
  <c r="BL68" i="19"/>
  <c r="BK69" i="19"/>
  <c r="BL69" i="19" s="1"/>
  <c r="BK70" i="19"/>
  <c r="BM70" i="19" s="1"/>
  <c r="BK71" i="19"/>
  <c r="BK72" i="19"/>
  <c r="BM72" i="19" s="1"/>
  <c r="BK73" i="19"/>
  <c r="BL73" i="19" s="1"/>
  <c r="BK74" i="19"/>
  <c r="BM74" i="19" s="1"/>
  <c r="BK75" i="19"/>
  <c r="BK76" i="19"/>
  <c r="BL76" i="19" s="1"/>
  <c r="BK77" i="19"/>
  <c r="BL77" i="19" s="1"/>
  <c r="BK78" i="19"/>
  <c r="BM78" i="19" s="1"/>
  <c r="BK79" i="19"/>
  <c r="BK80" i="19"/>
  <c r="BL80" i="19" s="1"/>
  <c r="BK81" i="19"/>
  <c r="BL81" i="19" s="1"/>
  <c r="BK82" i="19"/>
  <c r="BK83" i="19"/>
  <c r="BM83" i="19" s="1"/>
  <c r="BK84" i="19"/>
  <c r="BK85" i="19"/>
  <c r="BL85" i="19" s="1"/>
  <c r="BK86" i="19"/>
  <c r="BK87" i="19"/>
  <c r="BL87" i="19" s="1"/>
  <c r="BK88" i="19"/>
  <c r="BM88" i="19" s="1"/>
  <c r="BK89" i="19"/>
  <c r="BL89" i="19" s="1"/>
  <c r="BK92" i="19"/>
  <c r="BL92" i="19" s="1"/>
  <c r="BK93" i="19"/>
  <c r="BK94" i="19"/>
  <c r="BM94" i="19" s="1"/>
  <c r="BK95" i="19"/>
  <c r="BM95" i="19" s="1"/>
  <c r="BK96" i="19"/>
  <c r="BL96" i="19" s="1"/>
  <c r="BK98" i="19"/>
  <c r="BM98" i="19" s="1"/>
  <c r="BK99" i="19"/>
  <c r="BK102" i="19"/>
  <c r="BM102" i="19" s="1"/>
  <c r="BK104" i="19"/>
  <c r="BM104" i="19" s="1"/>
  <c r="BK105" i="19"/>
  <c r="BL105" i="19" s="1"/>
  <c r="BK106" i="19"/>
  <c r="BM106" i="19" s="1"/>
  <c r="BK107" i="19"/>
  <c r="BK109" i="19"/>
  <c r="BK110" i="19"/>
  <c r="BK111" i="19"/>
  <c r="BK112" i="19"/>
  <c r="BM112" i="19" s="1"/>
  <c r="BL112" i="19"/>
  <c r="BK113" i="19"/>
  <c r="BL113" i="19" s="1"/>
  <c r="BK114" i="19"/>
  <c r="BM114" i="19" s="1"/>
  <c r="BL114" i="19"/>
  <c r="BK115" i="19"/>
  <c r="BK116" i="19"/>
  <c r="BM116" i="19" s="1"/>
  <c r="BK117" i="19"/>
  <c r="BL117" i="19" s="1"/>
  <c r="BK118" i="19"/>
  <c r="BM118" i="19" s="1"/>
  <c r="BK119" i="19"/>
  <c r="BL119" i="19" s="1"/>
  <c r="BM119" i="19"/>
  <c r="BK120" i="19"/>
  <c r="BM120" i="19" s="1"/>
  <c r="BK121" i="19"/>
  <c r="BK122" i="19"/>
  <c r="BM122" i="19" s="1"/>
  <c r="BK124" i="19"/>
  <c r="BK125" i="19"/>
  <c r="BL125" i="19" s="1"/>
  <c r="BK127" i="19"/>
  <c r="BM127" i="19" s="1"/>
  <c r="BL127" i="19"/>
  <c r="BK128" i="19"/>
  <c r="BK129" i="19"/>
  <c r="BL129" i="19" s="1"/>
  <c r="BK130" i="19"/>
  <c r="BM130" i="19" s="1"/>
  <c r="BL130" i="19"/>
  <c r="BK131" i="19"/>
  <c r="BM131" i="19" s="1"/>
  <c r="BK132" i="19"/>
  <c r="BK134" i="19"/>
  <c r="BM134" i="19" s="1"/>
  <c r="BK138" i="19"/>
  <c r="BM138" i="19" s="1"/>
  <c r="BK139" i="19"/>
  <c r="BL139" i="19" s="1"/>
  <c r="BK140" i="19"/>
  <c r="BL140" i="19" s="1"/>
  <c r="BK143" i="19"/>
  <c r="BM143" i="19" s="1"/>
  <c r="BK144" i="19"/>
  <c r="BM144" i="19" s="1"/>
  <c r="BL144" i="19"/>
  <c r="BK145" i="19"/>
  <c r="BL145" i="19" s="1"/>
  <c r="BK146" i="19"/>
  <c r="BM146" i="19" s="1"/>
  <c r="BL146" i="19"/>
  <c r="BK147" i="19"/>
  <c r="BM147" i="19" s="1"/>
  <c r="BK148" i="19"/>
  <c r="BM148" i="19" s="1"/>
  <c r="BK149" i="19"/>
  <c r="BL149" i="19" s="1"/>
  <c r="BK150" i="19"/>
  <c r="BM150" i="19" s="1"/>
  <c r="BK151" i="19"/>
  <c r="BL151" i="19" s="1"/>
  <c r="BM151" i="19"/>
  <c r="BK152" i="19"/>
  <c r="BM152" i="19" s="1"/>
  <c r="BK153" i="19"/>
  <c r="BL153" i="19" s="1"/>
  <c r="BK154" i="19"/>
  <c r="BM154" i="19" s="1"/>
  <c r="BK157" i="19"/>
  <c r="BL157" i="19" s="1"/>
  <c r="BK158" i="19"/>
  <c r="BM158" i="19" s="1"/>
  <c r="BK159" i="19"/>
  <c r="BM159" i="19" s="1"/>
  <c r="BK160" i="19"/>
  <c r="BL160" i="19" s="1"/>
  <c r="BK161" i="19"/>
  <c r="BL161" i="19" s="1"/>
  <c r="BK163" i="19"/>
  <c r="BM163" i="19" s="1"/>
  <c r="BK164" i="19"/>
  <c r="BM164" i="19" s="1"/>
  <c r="BK165" i="19"/>
  <c r="BL165" i="19" s="1"/>
  <c r="BK166" i="19"/>
  <c r="BM166" i="19" s="1"/>
  <c r="BK167" i="19"/>
  <c r="BL167" i="19" s="1"/>
  <c r="BK3" i="19"/>
  <c r="BM3" i="19" s="1"/>
  <c r="BM139" i="19" l="1"/>
  <c r="BL95" i="19"/>
  <c r="BM64" i="19"/>
  <c r="BL54" i="19"/>
  <c r="BL30" i="19"/>
  <c r="BL11" i="19"/>
  <c r="BL164" i="19"/>
  <c r="BM87" i="19"/>
  <c r="BM80" i="19"/>
  <c r="BL47" i="19"/>
  <c r="BL166" i="19"/>
  <c r="BL159" i="19"/>
  <c r="BL148" i="19"/>
  <c r="BL116" i="19"/>
  <c r="BL102" i="19"/>
  <c r="BM96" i="19"/>
  <c r="BM92" i="19"/>
  <c r="BL66" i="19"/>
  <c r="BM39" i="19"/>
  <c r="BL34" i="19"/>
  <c r="BL16" i="19"/>
  <c r="BM8" i="19"/>
  <c r="BM167" i="19"/>
  <c r="BM160" i="19"/>
  <c r="BL150" i="19"/>
  <c r="BL143" i="19"/>
  <c r="BM140" i="19"/>
  <c r="BL118" i="19"/>
  <c r="BL98" i="19"/>
  <c r="BL94" i="19"/>
  <c r="BM76" i="19"/>
  <c r="BL36" i="19"/>
  <c r="BM27" i="19"/>
  <c r="BL20" i="19"/>
  <c r="BL18" i="19"/>
  <c r="BM12" i="19"/>
  <c r="BL158" i="19"/>
  <c r="BL134" i="19"/>
  <c r="BL70" i="19"/>
  <c r="BL63" i="19"/>
  <c r="BL22" i="19"/>
  <c r="BL163" i="19"/>
  <c r="BL154" i="19"/>
  <c r="BL152" i="19"/>
  <c r="BL147" i="19"/>
  <c r="BL138" i="19"/>
  <c r="BL131" i="19"/>
  <c r="BL122" i="19"/>
  <c r="BL120" i="19"/>
  <c r="BL106" i="19"/>
  <c r="BL104" i="19"/>
  <c r="BL88" i="19"/>
  <c r="BL83" i="19"/>
  <c r="BL74" i="19"/>
  <c r="BL72" i="19"/>
  <c r="BL67" i="19"/>
  <c r="BL51" i="19"/>
  <c r="BL35" i="19"/>
  <c r="BL26" i="19"/>
  <c r="BL24" i="19"/>
  <c r="BL15" i="19"/>
  <c r="BL6" i="19"/>
  <c r="BL14" i="19"/>
  <c r="BL78" i="19"/>
  <c r="BL62" i="19"/>
  <c r="BL46" i="19"/>
  <c r="BM4" i="19"/>
  <c r="BM165" i="19"/>
  <c r="BM161" i="19"/>
  <c r="BM157" i="19"/>
  <c r="BM153" i="19"/>
  <c r="BM149" i="19"/>
  <c r="BM145" i="19"/>
  <c r="BM129" i="19"/>
  <c r="BM125" i="19"/>
  <c r="BM117" i="19"/>
  <c r="BM113" i="19"/>
  <c r="BM105" i="19"/>
  <c r="BM89" i="19"/>
  <c r="BM85" i="19"/>
  <c r="BM81" i="19"/>
  <c r="BM77" i="19"/>
  <c r="BM73" i="19"/>
  <c r="BM69" i="19"/>
  <c r="BM61" i="19"/>
  <c r="BM53" i="19"/>
  <c r="BM49" i="19"/>
  <c r="BM45" i="19"/>
  <c r="BM37" i="19"/>
  <c r="BM29" i="19"/>
  <c r="BM25" i="19"/>
  <c r="BM21" i="19"/>
  <c r="BM17" i="19"/>
  <c r="BM13" i="19"/>
  <c r="BM9" i="19"/>
  <c r="BM5" i="19"/>
  <c r="BL3" i="19"/>
  <c r="AT4" i="23"/>
  <c r="AT5" i="23"/>
  <c r="AT6" i="23"/>
  <c r="AT7" i="23"/>
  <c r="AT8" i="23"/>
  <c r="AT9" i="23"/>
  <c r="AT10" i="23"/>
  <c r="AT11" i="23"/>
  <c r="AT12" i="23"/>
  <c r="AT13" i="23"/>
  <c r="AT14" i="23"/>
  <c r="AT15" i="23"/>
  <c r="AT16" i="23"/>
  <c r="AT17" i="23"/>
  <c r="AT18" i="23"/>
  <c r="AT19" i="23"/>
  <c r="AT20" i="23"/>
  <c r="AT21" i="23"/>
  <c r="AT22" i="23"/>
  <c r="AT23" i="23"/>
  <c r="AT24" i="23"/>
  <c r="AT25" i="23"/>
  <c r="AT26" i="23"/>
  <c r="AT27" i="23"/>
  <c r="AT28" i="23"/>
  <c r="AT29" i="23"/>
  <c r="AT30" i="23"/>
  <c r="AT31" i="23"/>
  <c r="AT32" i="23"/>
  <c r="AT33" i="23"/>
  <c r="AT34" i="23"/>
  <c r="AT35" i="23"/>
  <c r="AT40" i="23"/>
  <c r="AT41" i="23"/>
  <c r="AT42" i="23"/>
  <c r="AT43" i="23"/>
  <c r="AT44" i="23"/>
  <c r="AT45" i="23"/>
  <c r="AT46" i="23"/>
  <c r="AT47" i="23"/>
  <c r="AT48" i="23"/>
  <c r="AT49" i="23"/>
  <c r="AT50" i="23"/>
  <c r="AT51" i="23"/>
  <c r="AT52" i="23"/>
  <c r="AT53" i="23"/>
  <c r="AT54" i="23"/>
  <c r="AT55" i="23"/>
  <c r="AT56" i="23"/>
  <c r="AT57" i="23"/>
  <c r="AT58" i="23"/>
  <c r="AT59" i="23"/>
  <c r="AT60" i="23"/>
  <c r="AT61" i="23"/>
  <c r="AT62" i="23"/>
  <c r="AT63" i="23"/>
  <c r="AT64" i="23"/>
  <c r="AT65" i="23"/>
  <c r="AT66" i="23"/>
  <c r="AT67" i="23"/>
  <c r="AT68" i="23"/>
  <c r="AT69" i="23"/>
  <c r="AT70" i="23"/>
  <c r="AT72" i="23"/>
  <c r="AT73" i="23"/>
  <c r="AT74" i="23"/>
  <c r="AT75" i="23"/>
  <c r="AT76" i="23"/>
  <c r="AT78" i="23"/>
  <c r="AT79" i="23"/>
  <c r="AT80" i="23"/>
  <c r="AT81" i="23"/>
  <c r="AT82" i="23"/>
  <c r="AT83" i="23"/>
  <c r="AT84" i="23"/>
  <c r="AT85" i="23"/>
  <c r="AT86" i="23"/>
  <c r="AT87" i="23"/>
  <c r="AT88" i="23"/>
  <c r="AT89" i="23"/>
  <c r="AT90" i="23"/>
  <c r="AT91" i="23"/>
  <c r="AT92" i="23"/>
  <c r="AT93" i="23"/>
  <c r="AT94" i="23"/>
  <c r="AT95" i="23"/>
  <c r="AT96" i="23"/>
  <c r="AT97" i="23"/>
  <c r="AT98" i="23"/>
  <c r="AT99" i="23"/>
  <c r="AT100" i="23"/>
  <c r="AT101" i="23"/>
  <c r="AT102" i="23"/>
  <c r="AT103" i="23"/>
  <c r="AT104" i="23"/>
  <c r="AT105" i="23"/>
  <c r="AT106" i="23"/>
  <c r="AT107" i="23"/>
  <c r="AT108" i="23"/>
  <c r="AT109" i="23"/>
  <c r="AT110" i="23"/>
  <c r="AT111" i="23"/>
  <c r="AT112" i="23"/>
  <c r="AT113" i="23"/>
  <c r="AT114" i="23"/>
  <c r="AT115" i="23"/>
  <c r="AT116" i="23"/>
  <c r="AT117" i="23"/>
  <c r="AT118" i="23"/>
  <c r="AT119" i="23"/>
  <c r="AT120" i="23"/>
  <c r="AT121" i="23"/>
  <c r="AT122" i="23"/>
  <c r="AT123" i="23"/>
  <c r="AT124" i="23"/>
  <c r="AT125" i="23"/>
  <c r="AT126" i="23"/>
  <c r="AT127" i="23"/>
  <c r="AT128" i="23"/>
  <c r="AT129" i="23"/>
  <c r="AT130" i="23"/>
  <c r="AT131" i="23"/>
  <c r="AT132" i="23"/>
  <c r="AT133" i="23"/>
  <c r="AT134" i="23"/>
  <c r="AT135" i="23"/>
  <c r="AT136" i="23"/>
  <c r="AT137" i="23"/>
  <c r="AT138" i="23"/>
  <c r="AT139" i="23"/>
  <c r="AT140" i="23"/>
  <c r="AT141" i="23"/>
  <c r="AT142" i="23"/>
  <c r="AT144" i="23"/>
  <c r="AT145" i="23"/>
  <c r="AT146" i="23"/>
  <c r="AT147" i="23"/>
  <c r="AT3" i="23"/>
  <c r="AR149" i="23"/>
  <c r="AQ4" i="23"/>
  <c r="AR4" i="23" s="1"/>
  <c r="AQ5" i="23"/>
  <c r="AR5" i="23" s="1"/>
  <c r="AQ6" i="23"/>
  <c r="AR6" i="23" s="1"/>
  <c r="AQ7" i="23"/>
  <c r="AR7" i="23" s="1"/>
  <c r="AQ8" i="23"/>
  <c r="AR8" i="23" s="1"/>
  <c r="AQ9" i="23"/>
  <c r="AR9" i="23" s="1"/>
  <c r="AQ10" i="23"/>
  <c r="AR10" i="23" s="1"/>
  <c r="AQ11" i="23"/>
  <c r="AR11" i="23" s="1"/>
  <c r="AQ12" i="23"/>
  <c r="AR12" i="23" s="1"/>
  <c r="AQ13" i="23"/>
  <c r="AR13" i="23" s="1"/>
  <c r="AQ14" i="23"/>
  <c r="AR14" i="23" s="1"/>
  <c r="AQ15" i="23"/>
  <c r="AR15" i="23" s="1"/>
  <c r="AQ16" i="23"/>
  <c r="AR16" i="23" s="1"/>
  <c r="AQ17" i="23"/>
  <c r="AR17" i="23" s="1"/>
  <c r="AQ18" i="23"/>
  <c r="AR18" i="23" s="1"/>
  <c r="AQ19" i="23"/>
  <c r="AR19" i="23" s="1"/>
  <c r="AQ20" i="23"/>
  <c r="AR20" i="23" s="1"/>
  <c r="AQ21" i="23"/>
  <c r="AR21" i="23" s="1"/>
  <c r="AQ22" i="23"/>
  <c r="AR22" i="23" s="1"/>
  <c r="AQ23" i="23"/>
  <c r="AR23" i="23" s="1"/>
  <c r="AQ24" i="23"/>
  <c r="AR24" i="23" s="1"/>
  <c r="AQ25" i="23"/>
  <c r="AR25" i="23" s="1"/>
  <c r="AQ26" i="23"/>
  <c r="AR26" i="23" s="1"/>
  <c r="AQ27" i="23"/>
  <c r="AR27" i="23" s="1"/>
  <c r="AQ28" i="23"/>
  <c r="AR28" i="23" s="1"/>
  <c r="AQ29" i="23"/>
  <c r="AR29" i="23" s="1"/>
  <c r="AQ30" i="23"/>
  <c r="AR30" i="23" s="1"/>
  <c r="AQ31" i="23"/>
  <c r="AR31" i="23" s="1"/>
  <c r="AQ32" i="23"/>
  <c r="AR32" i="23" s="1"/>
  <c r="AQ33" i="23"/>
  <c r="AR33" i="23" s="1"/>
  <c r="AQ34" i="23"/>
  <c r="AR34" i="23" s="1"/>
  <c r="AQ35" i="23"/>
  <c r="AR35" i="23" s="1"/>
  <c r="AQ40" i="23"/>
  <c r="AR40" i="23" s="1"/>
  <c r="AQ41" i="23"/>
  <c r="AR41" i="23" s="1"/>
  <c r="AQ42" i="23"/>
  <c r="AR42" i="23" s="1"/>
  <c r="AQ43" i="23"/>
  <c r="AR43" i="23" s="1"/>
  <c r="AQ44" i="23"/>
  <c r="AR44" i="23" s="1"/>
  <c r="AQ45" i="23"/>
  <c r="AR45" i="23" s="1"/>
  <c r="AQ46" i="23"/>
  <c r="AR46" i="23" s="1"/>
  <c r="AQ47" i="23"/>
  <c r="AR47" i="23" s="1"/>
  <c r="AQ48" i="23"/>
  <c r="AR48" i="23" s="1"/>
  <c r="AQ49" i="23"/>
  <c r="AR49" i="23" s="1"/>
  <c r="AQ50" i="23"/>
  <c r="AR50" i="23" s="1"/>
  <c r="AQ51" i="23"/>
  <c r="AR51" i="23" s="1"/>
  <c r="AQ52" i="23"/>
  <c r="AR52" i="23" s="1"/>
  <c r="AQ53" i="23"/>
  <c r="AR53" i="23" s="1"/>
  <c r="AQ54" i="23"/>
  <c r="AR54" i="23" s="1"/>
  <c r="AQ55" i="23"/>
  <c r="AR55" i="23" s="1"/>
  <c r="AQ56" i="23"/>
  <c r="AR56" i="23" s="1"/>
  <c r="AQ57" i="23"/>
  <c r="AR57" i="23" s="1"/>
  <c r="AQ58" i="23"/>
  <c r="AR58" i="23" s="1"/>
  <c r="AQ59" i="23"/>
  <c r="AR59" i="23" s="1"/>
  <c r="AQ60" i="23"/>
  <c r="AR60" i="23" s="1"/>
  <c r="AQ61" i="23"/>
  <c r="AR61" i="23" s="1"/>
  <c r="AQ62" i="23"/>
  <c r="AR62" i="23" s="1"/>
  <c r="AQ63" i="23"/>
  <c r="AR63" i="23" s="1"/>
  <c r="AQ64" i="23"/>
  <c r="AR64" i="23" s="1"/>
  <c r="AQ65" i="23"/>
  <c r="AR65" i="23" s="1"/>
  <c r="AQ66" i="23"/>
  <c r="AR66" i="23" s="1"/>
  <c r="AQ67" i="23"/>
  <c r="AR67" i="23" s="1"/>
  <c r="AQ68" i="23"/>
  <c r="AR68" i="23" s="1"/>
  <c r="AQ69" i="23"/>
  <c r="AR69" i="23" s="1"/>
  <c r="AQ70" i="23"/>
  <c r="AR70" i="23" s="1"/>
  <c r="AQ72" i="23"/>
  <c r="AR72" i="23" s="1"/>
  <c r="AQ73" i="23"/>
  <c r="AR73" i="23" s="1"/>
  <c r="AQ74" i="23"/>
  <c r="AR74" i="23" s="1"/>
  <c r="AQ75" i="23"/>
  <c r="AR75" i="23" s="1"/>
  <c r="AQ76" i="23"/>
  <c r="AR76" i="23" s="1"/>
  <c r="AQ78" i="23"/>
  <c r="AS78" i="23" s="1"/>
  <c r="AQ79" i="23"/>
  <c r="AR79" i="23" s="1"/>
  <c r="AQ80" i="23"/>
  <c r="AR80" i="23" s="1"/>
  <c r="AQ81" i="23"/>
  <c r="AR81" i="23" s="1"/>
  <c r="AQ82" i="23"/>
  <c r="AR82" i="23" s="1"/>
  <c r="AQ83" i="23"/>
  <c r="AR83" i="23" s="1"/>
  <c r="AQ84" i="23"/>
  <c r="AR84" i="23" s="1"/>
  <c r="AQ85" i="23"/>
  <c r="AR85" i="23" s="1"/>
  <c r="AQ86" i="23"/>
  <c r="AS86" i="23" s="1"/>
  <c r="AQ87" i="23"/>
  <c r="AS87" i="23" s="1"/>
  <c r="AR87" i="23"/>
  <c r="AQ88" i="23"/>
  <c r="AR88" i="23" s="1"/>
  <c r="AQ89" i="23"/>
  <c r="AR89" i="23" s="1"/>
  <c r="AQ90" i="23"/>
  <c r="AS90" i="23" s="1"/>
  <c r="AQ91" i="23"/>
  <c r="AR91" i="23" s="1"/>
  <c r="AQ92" i="23"/>
  <c r="AR92" i="23" s="1"/>
  <c r="AQ93" i="23"/>
  <c r="AR93" i="23" s="1"/>
  <c r="AQ94" i="23"/>
  <c r="AR94" i="23" s="1"/>
  <c r="AQ95" i="23"/>
  <c r="AS95" i="23" s="1"/>
  <c r="AQ96" i="23"/>
  <c r="AR96" i="23" s="1"/>
  <c r="AQ97" i="23"/>
  <c r="AR97" i="23" s="1"/>
  <c r="AQ98" i="23"/>
  <c r="AS98" i="23" s="1"/>
  <c r="AQ99" i="23"/>
  <c r="AR99" i="23" s="1"/>
  <c r="AQ100" i="23"/>
  <c r="AR100" i="23" s="1"/>
  <c r="AQ101" i="23"/>
  <c r="AR101" i="23" s="1"/>
  <c r="AQ102" i="23"/>
  <c r="AR102" i="23" s="1"/>
  <c r="AQ103" i="23"/>
  <c r="AR103" i="23" s="1"/>
  <c r="AQ104" i="23"/>
  <c r="AR104" i="23" s="1"/>
  <c r="AQ105" i="23"/>
  <c r="AR105" i="23" s="1"/>
  <c r="AQ106" i="23"/>
  <c r="AR106" i="23" s="1"/>
  <c r="AQ107" i="23"/>
  <c r="AR107" i="23" s="1"/>
  <c r="AQ108" i="23"/>
  <c r="AR108" i="23" s="1"/>
  <c r="AQ109" i="23"/>
  <c r="AR109" i="23" s="1"/>
  <c r="AQ110" i="23"/>
  <c r="AR110" i="23" s="1"/>
  <c r="AQ111" i="23"/>
  <c r="AR111" i="23" s="1"/>
  <c r="AQ112" i="23"/>
  <c r="AR112" i="23" s="1"/>
  <c r="AQ113" i="23"/>
  <c r="AR113" i="23" s="1"/>
  <c r="AQ114" i="23"/>
  <c r="AR114" i="23" s="1"/>
  <c r="AQ115" i="23"/>
  <c r="AR115" i="23" s="1"/>
  <c r="AQ116" i="23"/>
  <c r="AR116" i="23" s="1"/>
  <c r="AQ117" i="23"/>
  <c r="AR117" i="23" s="1"/>
  <c r="AQ118" i="23"/>
  <c r="AR118" i="23" s="1"/>
  <c r="AQ119" i="23"/>
  <c r="AR119" i="23" s="1"/>
  <c r="AQ120" i="23"/>
  <c r="AR120" i="23" s="1"/>
  <c r="AQ121" i="23"/>
  <c r="AR121" i="23" s="1"/>
  <c r="AQ122" i="23"/>
  <c r="AR122" i="23" s="1"/>
  <c r="AQ123" i="23"/>
  <c r="AR123" i="23" s="1"/>
  <c r="AQ124" i="23"/>
  <c r="AR124" i="23" s="1"/>
  <c r="AQ125" i="23"/>
  <c r="AR125" i="23" s="1"/>
  <c r="AQ126" i="23"/>
  <c r="AR126" i="23" s="1"/>
  <c r="AQ127" i="23"/>
  <c r="AR127" i="23" s="1"/>
  <c r="AQ128" i="23"/>
  <c r="AR128" i="23" s="1"/>
  <c r="AQ129" i="23"/>
  <c r="AR129" i="23" s="1"/>
  <c r="AQ130" i="23"/>
  <c r="AR130" i="23" s="1"/>
  <c r="AQ131" i="23"/>
  <c r="AQ132" i="23"/>
  <c r="AR132" i="23" s="1"/>
  <c r="AQ133" i="23"/>
  <c r="AR133" i="23" s="1"/>
  <c r="AQ134" i="23"/>
  <c r="AS134" i="23" s="1"/>
  <c r="AQ135" i="23"/>
  <c r="AR135" i="23" s="1"/>
  <c r="AS135" i="23"/>
  <c r="AQ136" i="23"/>
  <c r="AR136" i="23" s="1"/>
  <c r="AQ137" i="23"/>
  <c r="AR137" i="23" s="1"/>
  <c r="AQ138" i="23"/>
  <c r="AR138" i="23"/>
  <c r="AS138" i="23"/>
  <c r="AQ139" i="23"/>
  <c r="AQ140" i="23"/>
  <c r="AR140" i="23" s="1"/>
  <c r="AQ141" i="23"/>
  <c r="AR141" i="23" s="1"/>
  <c r="AQ142" i="23"/>
  <c r="AR142" i="23" s="1"/>
  <c r="AQ144" i="23"/>
  <c r="AR144" i="23" s="1"/>
  <c r="AQ145" i="23"/>
  <c r="AR145" i="23" s="1"/>
  <c r="AQ146" i="23"/>
  <c r="AR146" i="23" s="1"/>
  <c r="AQ147" i="23"/>
  <c r="AR147" i="23" s="1"/>
  <c r="AS122" i="23" l="1"/>
  <c r="AR134" i="23"/>
  <c r="AR95" i="23"/>
  <c r="AR86" i="23"/>
  <c r="AR78" i="23"/>
  <c r="AS58" i="23"/>
  <c r="AS119" i="23"/>
  <c r="AR90" i="23"/>
  <c r="AS62" i="23"/>
  <c r="AS91" i="23"/>
  <c r="AR98" i="23"/>
  <c r="AS42" i="23"/>
  <c r="AS34" i="23"/>
  <c r="AS30" i="23"/>
  <c r="AS18" i="23"/>
  <c r="AS142" i="23"/>
  <c r="AS63" i="23"/>
  <c r="AS59" i="23"/>
  <c r="AS55" i="23"/>
  <c r="AS35" i="23"/>
  <c r="AS27" i="23"/>
  <c r="AS15" i="23"/>
  <c r="AS144" i="23"/>
  <c r="AS136" i="23"/>
  <c r="AS132" i="23"/>
  <c r="AS116" i="23"/>
  <c r="AS92" i="23"/>
  <c r="AS88" i="23"/>
  <c r="AS72" i="23"/>
  <c r="AS64" i="23"/>
  <c r="AS60" i="23"/>
  <c r="AS56" i="23"/>
  <c r="AS40" i="23"/>
  <c r="AS12" i="23"/>
  <c r="AS137" i="23"/>
  <c r="AS133" i="23"/>
  <c r="AS113" i="23"/>
  <c r="AS101" i="23"/>
  <c r="AS93" i="23"/>
  <c r="AS89" i="23"/>
  <c r="AS65" i="23"/>
  <c r="AS61" i="23"/>
  <c r="AS57" i="23"/>
  <c r="AS41" i="23"/>
  <c r="AS33" i="23"/>
  <c r="AS13" i="23"/>
  <c r="AS9" i="23"/>
  <c r="A4" i="9"/>
  <c r="B4" i="9"/>
  <c r="C4" i="9"/>
  <c r="D4" i="9"/>
  <c r="E4" i="9"/>
  <c r="F4" i="9"/>
  <c r="G4" i="9"/>
  <c r="H4" i="9"/>
  <c r="I4" i="9"/>
  <c r="J4" i="9"/>
  <c r="K4" i="9"/>
  <c r="L4" i="9"/>
  <c r="M4" i="9"/>
  <c r="N4" i="9"/>
  <c r="O4" i="9"/>
  <c r="P4" i="9"/>
  <c r="Q4" i="9"/>
  <c r="R4" i="9"/>
  <c r="C5" i="9"/>
  <c r="D5" i="9"/>
  <c r="E5" i="9"/>
  <c r="F5" i="9"/>
  <c r="G5" i="9"/>
  <c r="H5" i="9"/>
  <c r="I5" i="9"/>
  <c r="J5" i="9"/>
  <c r="K5" i="9"/>
  <c r="L5" i="9"/>
  <c r="M5" i="9"/>
  <c r="N5" i="9"/>
  <c r="O5" i="9"/>
  <c r="P5" i="9"/>
  <c r="Q5" i="9"/>
  <c r="R5" i="9"/>
  <c r="B6" i="9"/>
  <c r="C6" i="9"/>
  <c r="D6" i="9"/>
  <c r="E6" i="9"/>
  <c r="F6" i="9"/>
  <c r="G6" i="9"/>
  <c r="H6" i="9"/>
  <c r="I6" i="9"/>
  <c r="J6" i="9"/>
  <c r="K6" i="9"/>
  <c r="L6" i="9"/>
  <c r="M6" i="9"/>
  <c r="N6" i="9"/>
  <c r="O6" i="9"/>
  <c r="P6" i="9"/>
  <c r="Q6" i="9"/>
  <c r="R6" i="9"/>
  <c r="C7" i="9"/>
  <c r="D7" i="9"/>
  <c r="E7" i="9"/>
  <c r="F7" i="9"/>
  <c r="G7" i="9"/>
  <c r="H7" i="9"/>
  <c r="I7" i="9"/>
  <c r="J7" i="9"/>
  <c r="K7" i="9"/>
  <c r="L7" i="9"/>
  <c r="M7" i="9"/>
  <c r="N7" i="9"/>
  <c r="O7" i="9"/>
  <c r="P7" i="9"/>
  <c r="Q7" i="9"/>
  <c r="R7" i="9"/>
  <c r="A8" i="9"/>
  <c r="B8" i="9"/>
  <c r="C8" i="9"/>
  <c r="D8" i="9"/>
  <c r="E8" i="9"/>
  <c r="F8" i="9"/>
  <c r="G8" i="9"/>
  <c r="H8" i="9"/>
  <c r="I8" i="9"/>
  <c r="J8" i="9"/>
  <c r="K8" i="9"/>
  <c r="L8" i="9"/>
  <c r="M8" i="9"/>
  <c r="N8" i="9"/>
  <c r="O8" i="9"/>
  <c r="P8" i="9"/>
  <c r="Q8" i="9"/>
  <c r="R8" i="9"/>
  <c r="B9" i="9"/>
  <c r="C9" i="9"/>
  <c r="D9" i="9"/>
  <c r="E9" i="9"/>
  <c r="F9" i="9"/>
  <c r="G9" i="9"/>
  <c r="H9" i="9"/>
  <c r="I9" i="9"/>
  <c r="J9" i="9"/>
  <c r="K9" i="9"/>
  <c r="L9" i="9"/>
  <c r="M9" i="9"/>
  <c r="N9" i="9"/>
  <c r="O9" i="9"/>
  <c r="P9" i="9"/>
  <c r="Q9" i="9"/>
  <c r="R9" i="9"/>
  <c r="C10" i="9"/>
  <c r="D10" i="9"/>
  <c r="E10" i="9"/>
  <c r="F10" i="9"/>
  <c r="G10" i="9"/>
  <c r="H10" i="9"/>
  <c r="I10" i="9"/>
  <c r="J10" i="9"/>
  <c r="K10" i="9"/>
  <c r="L10" i="9"/>
  <c r="M10" i="9"/>
  <c r="N10" i="9"/>
  <c r="O10" i="9"/>
  <c r="P10" i="9"/>
  <c r="Q10" i="9"/>
  <c r="R10" i="9"/>
  <c r="B11" i="9"/>
  <c r="C11" i="9"/>
  <c r="D11" i="9"/>
  <c r="E11" i="9"/>
  <c r="F11" i="9"/>
  <c r="G11" i="9"/>
  <c r="H11" i="9"/>
  <c r="I11" i="9"/>
  <c r="J11" i="9"/>
  <c r="K11" i="9"/>
  <c r="L11" i="9"/>
  <c r="M11" i="9"/>
  <c r="N11" i="9"/>
  <c r="O11" i="9"/>
  <c r="P11" i="9"/>
  <c r="Q11" i="9"/>
  <c r="R11" i="9"/>
  <c r="A12" i="9"/>
  <c r="B12" i="9"/>
  <c r="C12" i="9"/>
  <c r="D12" i="9"/>
  <c r="E12" i="9"/>
  <c r="F12" i="9"/>
  <c r="G12" i="9"/>
  <c r="H12" i="9"/>
  <c r="I12" i="9"/>
  <c r="J12" i="9"/>
  <c r="K12" i="9"/>
  <c r="L12" i="9"/>
  <c r="M12" i="9"/>
  <c r="N12" i="9"/>
  <c r="O12" i="9"/>
  <c r="P12" i="9"/>
  <c r="Q12" i="9"/>
  <c r="R12" i="9"/>
  <c r="A13" i="9"/>
  <c r="B13" i="9"/>
  <c r="C13" i="9"/>
  <c r="D13" i="9"/>
  <c r="E13" i="9"/>
  <c r="F13" i="9"/>
  <c r="G13" i="9"/>
  <c r="H13" i="9"/>
  <c r="I13" i="9"/>
  <c r="J13" i="9"/>
  <c r="K13" i="9"/>
  <c r="L13" i="9"/>
  <c r="M13" i="9"/>
  <c r="N13" i="9"/>
  <c r="O13" i="9"/>
  <c r="P13" i="9"/>
  <c r="Q13" i="9"/>
  <c r="R13" i="9"/>
  <c r="B14" i="9"/>
  <c r="C14" i="9"/>
  <c r="D14" i="9"/>
  <c r="E14" i="9"/>
  <c r="F14" i="9"/>
  <c r="G14" i="9"/>
  <c r="H14" i="9"/>
  <c r="I14" i="9"/>
  <c r="J14" i="9"/>
  <c r="K14" i="9"/>
  <c r="L14" i="9"/>
  <c r="M14" i="9"/>
  <c r="N14" i="9"/>
  <c r="O14" i="9"/>
  <c r="P14" i="9"/>
  <c r="Q14" i="9"/>
  <c r="R14" i="9"/>
  <c r="B15" i="9"/>
  <c r="C15" i="9"/>
  <c r="D15" i="9"/>
  <c r="E15" i="9"/>
  <c r="F15" i="9"/>
  <c r="G15" i="9"/>
  <c r="H15" i="9"/>
  <c r="I15" i="9"/>
  <c r="J15" i="9"/>
  <c r="K15" i="9"/>
  <c r="L15" i="9"/>
  <c r="M15" i="9"/>
  <c r="N15" i="9"/>
  <c r="O15" i="9"/>
  <c r="P15" i="9"/>
  <c r="Q15" i="9"/>
  <c r="R15" i="9"/>
  <c r="B16" i="9"/>
  <c r="C16" i="9"/>
  <c r="D16" i="9"/>
  <c r="E16" i="9"/>
  <c r="F16" i="9"/>
  <c r="G16" i="9"/>
  <c r="H16" i="9"/>
  <c r="I16" i="9"/>
  <c r="J16" i="9"/>
  <c r="K16" i="9"/>
  <c r="L16" i="9"/>
  <c r="M16" i="9"/>
  <c r="N16" i="9"/>
  <c r="O16" i="9"/>
  <c r="P16" i="9"/>
  <c r="Q16" i="9"/>
  <c r="R16" i="9"/>
  <c r="C17" i="9"/>
  <c r="D17" i="9"/>
  <c r="E17" i="9"/>
  <c r="F17" i="9"/>
  <c r="G17" i="9"/>
  <c r="H17" i="9"/>
  <c r="I17" i="9"/>
  <c r="J17" i="9"/>
  <c r="K17" i="9"/>
  <c r="L17" i="9"/>
  <c r="M17" i="9"/>
  <c r="N17" i="9"/>
  <c r="O17" i="9"/>
  <c r="P17" i="9"/>
  <c r="Q17" i="9"/>
  <c r="R17" i="9"/>
  <c r="A18" i="9"/>
  <c r="B18" i="9"/>
  <c r="C18" i="9"/>
  <c r="D18" i="9"/>
  <c r="E18" i="9"/>
  <c r="F18" i="9"/>
  <c r="G18" i="9"/>
  <c r="H18" i="9"/>
  <c r="I18" i="9"/>
  <c r="J18" i="9"/>
  <c r="K18" i="9"/>
  <c r="L18" i="9"/>
  <c r="M18" i="9"/>
  <c r="N18" i="9"/>
  <c r="O18" i="9"/>
  <c r="P18" i="9"/>
  <c r="Q18" i="9"/>
  <c r="R18" i="9"/>
  <c r="B19" i="9"/>
  <c r="C19" i="9"/>
  <c r="D19" i="9"/>
  <c r="E19" i="9"/>
  <c r="F19" i="9"/>
  <c r="G19" i="9"/>
  <c r="H19" i="9"/>
  <c r="I19" i="9"/>
  <c r="J19" i="9"/>
  <c r="K19" i="9"/>
  <c r="L19" i="9"/>
  <c r="M19" i="9"/>
  <c r="N19" i="9"/>
  <c r="O19" i="9"/>
  <c r="P19" i="9"/>
  <c r="Q19" i="9"/>
  <c r="R19" i="9"/>
  <c r="B20" i="9"/>
  <c r="C20" i="9"/>
  <c r="D20" i="9"/>
  <c r="E20" i="9"/>
  <c r="F20" i="9"/>
  <c r="G20" i="9"/>
  <c r="H20" i="9"/>
  <c r="I20" i="9"/>
  <c r="J20" i="9"/>
  <c r="K20" i="9"/>
  <c r="L20" i="9"/>
  <c r="M20" i="9"/>
  <c r="N20" i="9"/>
  <c r="O20" i="9"/>
  <c r="P20" i="9"/>
  <c r="Q20" i="9"/>
  <c r="R20" i="9"/>
  <c r="A21" i="9"/>
  <c r="B21" i="9"/>
  <c r="C21" i="9"/>
  <c r="D21" i="9"/>
  <c r="E21" i="9"/>
  <c r="F21" i="9"/>
  <c r="G21" i="9"/>
  <c r="H21" i="9"/>
  <c r="I21" i="9"/>
  <c r="J21" i="9"/>
  <c r="K21" i="9"/>
  <c r="L21" i="9"/>
  <c r="M21" i="9"/>
  <c r="N21" i="9"/>
  <c r="O21" i="9"/>
  <c r="P21" i="9"/>
  <c r="Q21" i="9"/>
  <c r="R21" i="9"/>
  <c r="B22" i="9"/>
  <c r="C22" i="9"/>
  <c r="D22" i="9"/>
  <c r="E22" i="9"/>
  <c r="F22" i="9"/>
  <c r="G22" i="9"/>
  <c r="H22" i="9"/>
  <c r="I22" i="9"/>
  <c r="J22" i="9"/>
  <c r="K22" i="9"/>
  <c r="L22" i="9"/>
  <c r="M22" i="9"/>
  <c r="N22" i="9"/>
  <c r="O22" i="9"/>
  <c r="P22" i="9"/>
  <c r="Q22" i="9"/>
  <c r="R22" i="9"/>
  <c r="C23" i="9"/>
  <c r="D23" i="9"/>
  <c r="E23" i="9"/>
  <c r="F23" i="9"/>
  <c r="G23" i="9"/>
  <c r="H23" i="9"/>
  <c r="I23" i="9"/>
  <c r="J23" i="9"/>
  <c r="K23" i="9"/>
  <c r="L23" i="9"/>
  <c r="M23" i="9"/>
  <c r="N23" i="9"/>
  <c r="O23" i="9"/>
  <c r="P23" i="9"/>
  <c r="Q23" i="9"/>
  <c r="R23" i="9"/>
  <c r="C24" i="9"/>
  <c r="D24" i="9"/>
  <c r="E24" i="9"/>
  <c r="F24" i="9"/>
  <c r="G24" i="9"/>
  <c r="H24" i="9"/>
  <c r="I24" i="9"/>
  <c r="J24" i="9"/>
  <c r="K24" i="9"/>
  <c r="L24" i="9"/>
  <c r="M24" i="9"/>
  <c r="N24" i="9"/>
  <c r="O24" i="9"/>
  <c r="P24" i="9"/>
  <c r="Q24" i="9"/>
  <c r="R24" i="9"/>
  <c r="C25" i="9"/>
  <c r="D25" i="9"/>
  <c r="E25" i="9"/>
  <c r="F25" i="9"/>
  <c r="G25" i="9"/>
  <c r="H25" i="9"/>
  <c r="I25" i="9"/>
  <c r="J25" i="9"/>
  <c r="K25" i="9"/>
  <c r="L25" i="9"/>
  <c r="M25" i="9"/>
  <c r="N25" i="9"/>
  <c r="O25" i="9"/>
  <c r="P25" i="9"/>
  <c r="Q25" i="9"/>
  <c r="R25" i="9"/>
  <c r="B26" i="9"/>
  <c r="C26" i="9"/>
  <c r="D26" i="9"/>
  <c r="E26" i="9"/>
  <c r="F26" i="9"/>
  <c r="G26" i="9"/>
  <c r="H26" i="9"/>
  <c r="I26" i="9"/>
  <c r="J26" i="9"/>
  <c r="K26" i="9"/>
  <c r="L26" i="9"/>
  <c r="M26" i="9"/>
  <c r="N26" i="9"/>
  <c r="O26" i="9"/>
  <c r="P26" i="9"/>
  <c r="Q26" i="9"/>
  <c r="R26" i="9"/>
  <c r="C27" i="9"/>
  <c r="D27" i="9"/>
  <c r="E27" i="9"/>
  <c r="F27" i="9"/>
  <c r="G27" i="9"/>
  <c r="H27" i="9"/>
  <c r="I27" i="9"/>
  <c r="J27" i="9"/>
  <c r="K27" i="9"/>
  <c r="L27" i="9"/>
  <c r="M27" i="9"/>
  <c r="N27" i="9"/>
  <c r="O27" i="9"/>
  <c r="P27" i="9"/>
  <c r="Q27" i="9"/>
  <c r="R27" i="9"/>
  <c r="B28" i="9"/>
  <c r="C28" i="9"/>
  <c r="D28" i="9"/>
  <c r="E28" i="9"/>
  <c r="F28" i="9"/>
  <c r="G28" i="9"/>
  <c r="H28" i="9"/>
  <c r="I28" i="9"/>
  <c r="J28" i="9"/>
  <c r="K28" i="9"/>
  <c r="L28" i="9"/>
  <c r="M28" i="9"/>
  <c r="N28" i="9"/>
  <c r="O28" i="9"/>
  <c r="P28" i="9"/>
  <c r="Q28" i="9"/>
  <c r="R28" i="9"/>
  <c r="A29" i="9"/>
  <c r="B29" i="9"/>
  <c r="C29" i="9"/>
  <c r="D29" i="9"/>
  <c r="E29" i="9"/>
  <c r="F29" i="9"/>
  <c r="G29" i="9"/>
  <c r="H29" i="9"/>
  <c r="I29" i="9"/>
  <c r="J29" i="9"/>
  <c r="K29" i="9"/>
  <c r="L29" i="9"/>
  <c r="M29" i="9"/>
  <c r="N29" i="9"/>
  <c r="O29" i="9"/>
  <c r="P29" i="9"/>
  <c r="Q29" i="9"/>
  <c r="R29" i="9"/>
  <c r="A30" i="9"/>
  <c r="B30" i="9"/>
  <c r="C30" i="9"/>
  <c r="D30" i="9"/>
  <c r="E30" i="9"/>
  <c r="F30" i="9"/>
  <c r="G30" i="9"/>
  <c r="H30" i="9"/>
  <c r="I30" i="9"/>
  <c r="J30" i="9"/>
  <c r="K30" i="9"/>
  <c r="L30" i="9"/>
  <c r="M30" i="9"/>
  <c r="N30" i="9"/>
  <c r="O30" i="9"/>
  <c r="P30" i="9"/>
  <c r="Q30" i="9"/>
  <c r="R30" i="9"/>
  <c r="B31" i="9"/>
  <c r="C31" i="9"/>
  <c r="D31" i="9"/>
  <c r="E31" i="9"/>
  <c r="F31" i="9"/>
  <c r="G31" i="9"/>
  <c r="H31" i="9"/>
  <c r="I31" i="9"/>
  <c r="J31" i="9"/>
  <c r="K31" i="9"/>
  <c r="L31" i="9"/>
  <c r="M31" i="9"/>
  <c r="N31" i="9"/>
  <c r="O31" i="9"/>
  <c r="P31" i="9"/>
  <c r="Q31" i="9"/>
  <c r="R31" i="9"/>
  <c r="A32" i="9"/>
  <c r="B32" i="9"/>
  <c r="C32" i="9"/>
  <c r="D32" i="9"/>
  <c r="E32" i="9"/>
  <c r="F32" i="9"/>
  <c r="G32" i="9"/>
  <c r="H32" i="9"/>
  <c r="I32" i="9"/>
  <c r="J32" i="9"/>
  <c r="K32" i="9"/>
  <c r="L32" i="9"/>
  <c r="M32" i="9"/>
  <c r="N32" i="9"/>
  <c r="O32" i="9"/>
  <c r="P32" i="9"/>
  <c r="Q32" i="9"/>
  <c r="R32" i="9"/>
  <c r="C33" i="9"/>
  <c r="D33" i="9"/>
  <c r="E33" i="9"/>
  <c r="F33" i="9"/>
  <c r="G33" i="9"/>
  <c r="H33" i="9"/>
  <c r="I33" i="9"/>
  <c r="J33" i="9"/>
  <c r="K33" i="9"/>
  <c r="L33" i="9"/>
  <c r="M33" i="9"/>
  <c r="N33" i="9"/>
  <c r="O33" i="9"/>
  <c r="P33" i="9"/>
  <c r="Q33" i="9"/>
  <c r="R33" i="9"/>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AZ5" i="16" l="1"/>
  <c r="AS5" i="16" s="1"/>
  <c r="AT5" i="16" s="1"/>
  <c r="AZ4" i="16"/>
  <c r="AZ6" i="16"/>
  <c r="AZ7" i="16"/>
  <c r="AS7" i="16" s="1"/>
  <c r="AT7" i="16" s="1"/>
  <c r="AZ8" i="16"/>
  <c r="AZ9" i="16"/>
  <c r="AZ10" i="16"/>
  <c r="AS10" i="16" s="1"/>
  <c r="AT10" i="16" s="1"/>
  <c r="AZ11" i="16"/>
  <c r="AS11" i="16" s="1"/>
  <c r="AT11" i="16" s="1"/>
  <c r="AZ12" i="16"/>
  <c r="AS12" i="16" s="1"/>
  <c r="AT12" i="16" s="1"/>
  <c r="AZ13" i="16"/>
  <c r="AZ14" i="16"/>
  <c r="AS14" i="16" s="1"/>
  <c r="AT14" i="16" s="1"/>
  <c r="AZ15" i="16"/>
  <c r="AS15" i="16" s="1"/>
  <c r="AT15" i="16" s="1"/>
  <c r="AZ16" i="16"/>
  <c r="AZ17" i="16"/>
  <c r="AS17" i="16" s="1"/>
  <c r="AT17" i="16" s="1"/>
  <c r="AZ18" i="16"/>
  <c r="AS18" i="16" s="1"/>
  <c r="AT18" i="16" s="1"/>
  <c r="AZ19" i="16"/>
  <c r="AS19" i="16" s="1"/>
  <c r="AT19" i="16" s="1"/>
  <c r="AZ20" i="16"/>
  <c r="AS20" i="16" s="1"/>
  <c r="AT20" i="16" s="1"/>
  <c r="AZ21" i="16"/>
  <c r="AS21" i="16" s="1"/>
  <c r="AT21" i="16" s="1"/>
  <c r="AZ22" i="16"/>
  <c r="AS22" i="16" s="1"/>
  <c r="AT22" i="16" s="1"/>
  <c r="AZ23" i="16"/>
  <c r="AS23" i="16" s="1"/>
  <c r="AT23" i="16" s="1"/>
  <c r="AZ24" i="16"/>
  <c r="AS24" i="16" s="1"/>
  <c r="AT24" i="16" s="1"/>
  <c r="AZ25" i="16"/>
  <c r="AS25" i="16" s="1"/>
  <c r="AT25" i="16" s="1"/>
  <c r="AZ26" i="16"/>
  <c r="AS26" i="16" s="1"/>
  <c r="AT26" i="16" s="1"/>
  <c r="AZ27" i="16"/>
  <c r="AS27" i="16" s="1"/>
  <c r="AT27" i="16" s="1"/>
  <c r="AZ28" i="16"/>
  <c r="AS28" i="16" s="1"/>
  <c r="AT28" i="16" s="1"/>
  <c r="AZ29" i="16"/>
  <c r="AS29" i="16" s="1"/>
  <c r="AT29" i="16" s="1"/>
  <c r="AZ30" i="16"/>
  <c r="AS30" i="16" s="1"/>
  <c r="AT30" i="16" s="1"/>
  <c r="AZ31" i="16"/>
  <c r="AS31" i="16" s="1"/>
  <c r="AT31" i="16" s="1"/>
  <c r="AZ32" i="16"/>
  <c r="AS32" i="16" s="1"/>
  <c r="AT32" i="16" s="1"/>
  <c r="AZ33" i="16"/>
  <c r="AS33" i="16" s="1"/>
  <c r="AT33" i="16" s="1"/>
  <c r="AZ34" i="16"/>
  <c r="AS34" i="16" s="1"/>
  <c r="AT34" i="16" s="1"/>
  <c r="AZ35" i="16"/>
  <c r="AS35" i="16" s="1"/>
  <c r="AT35" i="16" s="1"/>
  <c r="AZ36" i="16"/>
  <c r="AS36" i="16" s="1"/>
  <c r="AT36" i="16" s="1"/>
  <c r="AZ37" i="16"/>
  <c r="AS37" i="16" s="1"/>
  <c r="AT37" i="16" s="1"/>
  <c r="AZ38" i="16"/>
  <c r="AS38" i="16" s="1"/>
  <c r="AT38" i="16" s="1"/>
  <c r="AZ39" i="16"/>
  <c r="AS39" i="16" s="1"/>
  <c r="AT39" i="16" s="1"/>
  <c r="AZ40" i="16"/>
  <c r="AS40" i="16" s="1"/>
  <c r="AT40" i="16" s="1"/>
  <c r="AZ43" i="16"/>
  <c r="AS43" i="16" s="1"/>
  <c r="AT43" i="16" s="1"/>
  <c r="AZ44" i="16"/>
  <c r="AS44" i="16" s="1"/>
  <c r="AP143" i="23"/>
  <c r="AD131" i="23"/>
  <c r="AD139" i="23"/>
  <c r="BJ59" i="19"/>
  <c r="BJ56" i="19"/>
  <c r="BJ60" i="19"/>
  <c r="BJ57" i="19"/>
  <c r="AP37" i="23"/>
  <c r="AP38" i="23"/>
  <c r="AP36" i="23"/>
  <c r="AP39" i="23"/>
  <c r="BI58" i="19"/>
  <c r="BI32" i="19"/>
  <c r="AO148" i="23"/>
  <c r="BH31" i="19"/>
  <c r="BG168" i="19"/>
  <c r="BF168" i="19"/>
  <c r="BF103" i="19"/>
  <c r="BE168" i="19"/>
  <c r="AX133" i="19"/>
  <c r="BD141" i="19"/>
  <c r="BK141" i="19" s="1"/>
  <c r="BD142" i="19"/>
  <c r="BK142" i="19" s="1"/>
  <c r="BD135" i="19"/>
  <c r="BK135" i="19" s="1"/>
  <c r="BD137" i="19"/>
  <c r="BK137" i="19" s="1"/>
  <c r="BD101" i="19"/>
  <c r="BK101" i="19" s="1"/>
  <c r="AJ71" i="23"/>
  <c r="BC155" i="19"/>
  <c r="AH77" i="23"/>
  <c r="BB162" i="19"/>
  <c r="BK162" i="19" s="1"/>
  <c r="BB136" i="19"/>
  <c r="BK136" i="19" s="1"/>
  <c r="G9" i="14"/>
  <c r="H9" i="14"/>
  <c r="I9" i="14"/>
  <c r="J9" i="14"/>
  <c r="K9" i="14"/>
  <c r="L9" i="14"/>
  <c r="M9" i="14"/>
  <c r="N9" i="14"/>
  <c r="O9" i="14"/>
  <c r="P9" i="14"/>
  <c r="Q9" i="14"/>
  <c r="R9" i="14"/>
  <c r="S9" i="14"/>
  <c r="T9" i="14"/>
  <c r="U9" i="14"/>
  <c r="V9" i="14"/>
  <c r="W9" i="14"/>
  <c r="X9" i="14"/>
  <c r="G10" i="14"/>
  <c r="H10" i="14"/>
  <c r="I10" i="14"/>
  <c r="J10" i="14"/>
  <c r="K10" i="14"/>
  <c r="L10" i="14"/>
  <c r="M10" i="14"/>
  <c r="N10" i="14"/>
  <c r="O10" i="14"/>
  <c r="P10" i="14"/>
  <c r="Q10" i="14"/>
  <c r="R10" i="14"/>
  <c r="S10" i="14"/>
  <c r="T10" i="14"/>
  <c r="U10" i="14"/>
  <c r="V10" i="14"/>
  <c r="W10" i="14"/>
  <c r="X10" i="14"/>
  <c r="G11" i="14"/>
  <c r="H11" i="14"/>
  <c r="I11" i="14"/>
  <c r="J11" i="14"/>
  <c r="K11" i="14"/>
  <c r="L11" i="14"/>
  <c r="M11" i="14"/>
  <c r="N11" i="14"/>
  <c r="O11" i="14"/>
  <c r="P11" i="14"/>
  <c r="Q11" i="14"/>
  <c r="R11" i="14"/>
  <c r="S11" i="14"/>
  <c r="T11" i="14"/>
  <c r="U11" i="14"/>
  <c r="V11" i="14"/>
  <c r="W11" i="14"/>
  <c r="X11" i="14"/>
  <c r="G12" i="14"/>
  <c r="H12" i="14"/>
  <c r="I12" i="14"/>
  <c r="J12" i="14"/>
  <c r="K12" i="14"/>
  <c r="L12" i="14"/>
  <c r="M12" i="14"/>
  <c r="N12" i="14"/>
  <c r="O12" i="14"/>
  <c r="P12" i="14"/>
  <c r="Q12" i="14"/>
  <c r="R12" i="14"/>
  <c r="S12" i="14"/>
  <c r="T12" i="14"/>
  <c r="U12" i="14"/>
  <c r="V12" i="14"/>
  <c r="W12" i="14"/>
  <c r="X12" i="14"/>
  <c r="G13" i="14"/>
  <c r="H13" i="14"/>
  <c r="I13" i="14"/>
  <c r="J13" i="14"/>
  <c r="K13" i="14"/>
  <c r="L13" i="14"/>
  <c r="M13" i="14"/>
  <c r="N13" i="14"/>
  <c r="O13" i="14"/>
  <c r="P13" i="14"/>
  <c r="Q13" i="14"/>
  <c r="R13" i="14"/>
  <c r="S13" i="14"/>
  <c r="T13" i="14"/>
  <c r="U13" i="14"/>
  <c r="V13" i="14"/>
  <c r="W13" i="14"/>
  <c r="X13" i="14"/>
  <c r="G14" i="14"/>
  <c r="H14" i="14"/>
  <c r="I14" i="14"/>
  <c r="J14" i="14"/>
  <c r="K14" i="14"/>
  <c r="L14" i="14"/>
  <c r="M14" i="14"/>
  <c r="N14" i="14"/>
  <c r="O14" i="14"/>
  <c r="P14" i="14"/>
  <c r="Q14" i="14"/>
  <c r="R14" i="14"/>
  <c r="S14" i="14"/>
  <c r="T14" i="14"/>
  <c r="U14" i="14"/>
  <c r="V14" i="14"/>
  <c r="W14" i="14"/>
  <c r="X14" i="14"/>
  <c r="G15" i="14"/>
  <c r="H15" i="14"/>
  <c r="I15" i="14"/>
  <c r="J15" i="14"/>
  <c r="K15" i="14"/>
  <c r="L15" i="14"/>
  <c r="M15" i="14"/>
  <c r="N15" i="14"/>
  <c r="O15" i="14"/>
  <c r="P15" i="14"/>
  <c r="Q15" i="14"/>
  <c r="R15" i="14"/>
  <c r="S15" i="14"/>
  <c r="T15" i="14"/>
  <c r="U15" i="14"/>
  <c r="V15" i="14"/>
  <c r="W15" i="14"/>
  <c r="X15" i="14"/>
  <c r="G16" i="14"/>
  <c r="H16" i="14"/>
  <c r="I16" i="14"/>
  <c r="J16" i="14"/>
  <c r="K16" i="14"/>
  <c r="L16" i="14"/>
  <c r="M16" i="14"/>
  <c r="N16" i="14"/>
  <c r="O16" i="14"/>
  <c r="P16" i="14"/>
  <c r="Q16" i="14"/>
  <c r="R16" i="14"/>
  <c r="S16" i="14"/>
  <c r="T16" i="14"/>
  <c r="U16" i="14"/>
  <c r="V16" i="14"/>
  <c r="W16" i="14"/>
  <c r="X16" i="14"/>
  <c r="G17" i="14"/>
  <c r="H17" i="14"/>
  <c r="I17" i="14"/>
  <c r="J17" i="14"/>
  <c r="K17" i="14"/>
  <c r="L17" i="14"/>
  <c r="M17" i="14"/>
  <c r="N17" i="14"/>
  <c r="O17" i="14"/>
  <c r="P17" i="14"/>
  <c r="Q17" i="14"/>
  <c r="R17" i="14"/>
  <c r="S17" i="14"/>
  <c r="T17" i="14"/>
  <c r="U17" i="14"/>
  <c r="V17" i="14"/>
  <c r="W17" i="14"/>
  <c r="X17" i="14"/>
  <c r="G18" i="14"/>
  <c r="H18" i="14"/>
  <c r="I18" i="14"/>
  <c r="J18" i="14"/>
  <c r="K18" i="14"/>
  <c r="L18" i="14"/>
  <c r="M18" i="14"/>
  <c r="N18" i="14"/>
  <c r="O18" i="14"/>
  <c r="P18" i="14"/>
  <c r="Q18" i="14"/>
  <c r="R18" i="14"/>
  <c r="S18" i="14"/>
  <c r="T18" i="14"/>
  <c r="U18" i="14"/>
  <c r="V18" i="14"/>
  <c r="W18" i="14"/>
  <c r="X18" i="14"/>
  <c r="G19" i="14"/>
  <c r="H19" i="14"/>
  <c r="I19" i="14"/>
  <c r="J19" i="14"/>
  <c r="K19" i="14"/>
  <c r="L19" i="14"/>
  <c r="M19" i="14"/>
  <c r="N19" i="14"/>
  <c r="O19" i="14"/>
  <c r="P19" i="14"/>
  <c r="Q19" i="14"/>
  <c r="R19" i="14"/>
  <c r="S19" i="14"/>
  <c r="T19" i="14"/>
  <c r="U19" i="14"/>
  <c r="V19" i="14"/>
  <c r="W19" i="14"/>
  <c r="X19" i="14"/>
  <c r="G20" i="14"/>
  <c r="H20" i="14"/>
  <c r="I20" i="14"/>
  <c r="J20" i="14"/>
  <c r="K20" i="14"/>
  <c r="L20" i="14"/>
  <c r="M20" i="14"/>
  <c r="N20" i="14"/>
  <c r="O20" i="14"/>
  <c r="P20" i="14"/>
  <c r="Q20" i="14"/>
  <c r="R20" i="14"/>
  <c r="S20" i="14"/>
  <c r="T20" i="14"/>
  <c r="U20" i="14"/>
  <c r="V20" i="14"/>
  <c r="W20" i="14"/>
  <c r="X20" i="14"/>
  <c r="G21" i="14"/>
  <c r="H21" i="14"/>
  <c r="I21" i="14"/>
  <c r="J21" i="14"/>
  <c r="K21" i="14"/>
  <c r="L21" i="14"/>
  <c r="M21" i="14"/>
  <c r="N21" i="14"/>
  <c r="O21" i="14"/>
  <c r="P21" i="14"/>
  <c r="Q21" i="14"/>
  <c r="R21" i="14"/>
  <c r="S21" i="14"/>
  <c r="T21" i="14"/>
  <c r="U21" i="14"/>
  <c r="V21" i="14"/>
  <c r="W21" i="14"/>
  <c r="X21" i="14"/>
  <c r="G22" i="14"/>
  <c r="H22" i="14"/>
  <c r="I22" i="14"/>
  <c r="J22" i="14"/>
  <c r="K22" i="14"/>
  <c r="L22" i="14"/>
  <c r="M22" i="14"/>
  <c r="N22" i="14"/>
  <c r="O22" i="14"/>
  <c r="P22" i="14"/>
  <c r="Q22" i="14"/>
  <c r="R22" i="14"/>
  <c r="S22" i="14"/>
  <c r="T22" i="14"/>
  <c r="U22" i="14"/>
  <c r="V22" i="14"/>
  <c r="W22" i="14"/>
  <c r="X22" i="14"/>
  <c r="G23" i="14"/>
  <c r="H23" i="14"/>
  <c r="I23" i="14"/>
  <c r="J23" i="14"/>
  <c r="K23" i="14"/>
  <c r="L23" i="14"/>
  <c r="M23" i="14"/>
  <c r="N23" i="14"/>
  <c r="O23" i="14"/>
  <c r="P23" i="14"/>
  <c r="Q23" i="14"/>
  <c r="R23" i="14"/>
  <c r="S23" i="14"/>
  <c r="T23" i="14"/>
  <c r="U23" i="14"/>
  <c r="V23" i="14"/>
  <c r="W23" i="14"/>
  <c r="X23" i="14"/>
  <c r="G24" i="14"/>
  <c r="H24" i="14"/>
  <c r="I24" i="14"/>
  <c r="J24" i="14"/>
  <c r="K24" i="14"/>
  <c r="L24" i="14"/>
  <c r="M24" i="14"/>
  <c r="N24" i="14"/>
  <c r="O24" i="14"/>
  <c r="P24" i="14"/>
  <c r="Q24" i="14"/>
  <c r="R24" i="14"/>
  <c r="S24" i="14"/>
  <c r="T24" i="14"/>
  <c r="U24" i="14"/>
  <c r="V24" i="14"/>
  <c r="W24" i="14"/>
  <c r="X24" i="14"/>
  <c r="G25" i="14"/>
  <c r="H25" i="14"/>
  <c r="I25" i="14"/>
  <c r="J25" i="14"/>
  <c r="K25" i="14"/>
  <c r="L25" i="14"/>
  <c r="M25" i="14"/>
  <c r="N25" i="14"/>
  <c r="O25" i="14"/>
  <c r="P25" i="14"/>
  <c r="Q25" i="14"/>
  <c r="R25" i="14"/>
  <c r="S25" i="14"/>
  <c r="T25" i="14"/>
  <c r="U25" i="14"/>
  <c r="V25" i="14"/>
  <c r="W25" i="14"/>
  <c r="X25" i="14"/>
  <c r="G26" i="14"/>
  <c r="H26" i="14"/>
  <c r="I26" i="14"/>
  <c r="J26" i="14"/>
  <c r="K26" i="14"/>
  <c r="L26" i="14"/>
  <c r="M26" i="14"/>
  <c r="N26" i="14"/>
  <c r="O26" i="14"/>
  <c r="P26" i="14"/>
  <c r="Q26" i="14"/>
  <c r="R26" i="14"/>
  <c r="S26" i="14"/>
  <c r="T26" i="14"/>
  <c r="U26" i="14"/>
  <c r="V26" i="14"/>
  <c r="W26" i="14"/>
  <c r="X26" i="14"/>
  <c r="G27" i="14"/>
  <c r="H27" i="14"/>
  <c r="I27" i="14"/>
  <c r="J27" i="14"/>
  <c r="K27" i="14"/>
  <c r="L27" i="14"/>
  <c r="M27" i="14"/>
  <c r="N27" i="14"/>
  <c r="O27" i="14"/>
  <c r="P27" i="14"/>
  <c r="Q27" i="14"/>
  <c r="R27" i="14"/>
  <c r="S27" i="14"/>
  <c r="T27" i="14"/>
  <c r="U27" i="14"/>
  <c r="V27" i="14"/>
  <c r="W27" i="14"/>
  <c r="X27" i="14"/>
  <c r="G28" i="14"/>
  <c r="H28" i="14"/>
  <c r="I28" i="14"/>
  <c r="J28" i="14"/>
  <c r="K28" i="14"/>
  <c r="L28" i="14"/>
  <c r="M28" i="14"/>
  <c r="N28" i="14"/>
  <c r="O28" i="14"/>
  <c r="P28" i="14"/>
  <c r="Q28" i="14"/>
  <c r="R28" i="14"/>
  <c r="S28" i="14"/>
  <c r="T28" i="14"/>
  <c r="U28" i="14"/>
  <c r="V28" i="14"/>
  <c r="W28" i="14"/>
  <c r="X28" i="14"/>
  <c r="G29" i="14"/>
  <c r="H29" i="14"/>
  <c r="I29" i="14"/>
  <c r="J29" i="14"/>
  <c r="K29" i="14"/>
  <c r="L29" i="14"/>
  <c r="M29" i="14"/>
  <c r="N29" i="14"/>
  <c r="O29" i="14"/>
  <c r="P29" i="14"/>
  <c r="Q29" i="14"/>
  <c r="R29" i="14"/>
  <c r="S29" i="14"/>
  <c r="T29" i="14"/>
  <c r="U29" i="14"/>
  <c r="V29" i="14"/>
  <c r="W29" i="14"/>
  <c r="X29" i="14"/>
  <c r="G30" i="14"/>
  <c r="H30" i="14"/>
  <c r="I30" i="14"/>
  <c r="J30" i="14"/>
  <c r="K30" i="14"/>
  <c r="L30" i="14"/>
  <c r="M30" i="14"/>
  <c r="N30" i="14"/>
  <c r="O30" i="14"/>
  <c r="P30" i="14"/>
  <c r="Q30" i="14"/>
  <c r="R30" i="14"/>
  <c r="S30" i="14"/>
  <c r="T30" i="14"/>
  <c r="U30" i="14"/>
  <c r="V30" i="14"/>
  <c r="W30" i="14"/>
  <c r="X30" i="14"/>
  <c r="G31" i="14"/>
  <c r="H31" i="14"/>
  <c r="I31" i="14"/>
  <c r="J31" i="14"/>
  <c r="K31" i="14"/>
  <c r="L31" i="14"/>
  <c r="M31" i="14"/>
  <c r="N31" i="14"/>
  <c r="O31" i="14"/>
  <c r="P31" i="14"/>
  <c r="Q31" i="14"/>
  <c r="R31" i="14"/>
  <c r="S31" i="14"/>
  <c r="T31" i="14"/>
  <c r="U31" i="14"/>
  <c r="V31" i="14"/>
  <c r="W31" i="14"/>
  <c r="X31" i="14"/>
  <c r="G32" i="14"/>
  <c r="H32" i="14"/>
  <c r="I32" i="14"/>
  <c r="J32" i="14"/>
  <c r="K32" i="14"/>
  <c r="L32" i="14"/>
  <c r="M32" i="14"/>
  <c r="N32" i="14"/>
  <c r="O32" i="14"/>
  <c r="P32" i="14"/>
  <c r="Q32" i="14"/>
  <c r="R32" i="14"/>
  <c r="S32" i="14"/>
  <c r="T32" i="14"/>
  <c r="U32" i="14"/>
  <c r="V32" i="14"/>
  <c r="W32" i="14"/>
  <c r="X32" i="14"/>
  <c r="G33" i="14"/>
  <c r="H33" i="14"/>
  <c r="I33" i="14"/>
  <c r="J33" i="14"/>
  <c r="K33" i="14"/>
  <c r="L33" i="14"/>
  <c r="M33" i="14"/>
  <c r="N33" i="14"/>
  <c r="O33" i="14"/>
  <c r="P33" i="14"/>
  <c r="Q33" i="14"/>
  <c r="R33" i="14"/>
  <c r="S33" i="14"/>
  <c r="T33" i="14"/>
  <c r="U33" i="14"/>
  <c r="V33" i="14"/>
  <c r="W33" i="14"/>
  <c r="X33" i="14"/>
  <c r="G34" i="14"/>
  <c r="H34" i="14"/>
  <c r="I34" i="14"/>
  <c r="J34" i="14"/>
  <c r="K34" i="14"/>
  <c r="L34" i="14"/>
  <c r="M34" i="14"/>
  <c r="N34" i="14"/>
  <c r="O34" i="14"/>
  <c r="P34" i="14"/>
  <c r="Q34" i="14"/>
  <c r="R34" i="14"/>
  <c r="S34" i="14"/>
  <c r="T34" i="14"/>
  <c r="U34" i="14"/>
  <c r="V34" i="14"/>
  <c r="W34" i="14"/>
  <c r="X34" i="14"/>
  <c r="G35" i="14"/>
  <c r="H35" i="14"/>
  <c r="I35" i="14"/>
  <c r="J35" i="14"/>
  <c r="K35" i="14"/>
  <c r="L35" i="14"/>
  <c r="M35" i="14"/>
  <c r="N35" i="14"/>
  <c r="O35" i="14"/>
  <c r="P35" i="14"/>
  <c r="Q35" i="14"/>
  <c r="R35" i="14"/>
  <c r="S35" i="14"/>
  <c r="T35" i="14"/>
  <c r="U35" i="14"/>
  <c r="V35" i="14"/>
  <c r="W35" i="14"/>
  <c r="X35" i="14"/>
  <c r="G36" i="14"/>
  <c r="H36" i="14"/>
  <c r="I36" i="14"/>
  <c r="J36" i="14"/>
  <c r="K36" i="14"/>
  <c r="L36" i="14"/>
  <c r="M36" i="14"/>
  <c r="N36" i="14"/>
  <c r="O36" i="14"/>
  <c r="P36" i="14"/>
  <c r="Q36" i="14"/>
  <c r="R36" i="14"/>
  <c r="S36" i="14"/>
  <c r="T36" i="14"/>
  <c r="U36" i="14"/>
  <c r="V36" i="14"/>
  <c r="W36" i="14"/>
  <c r="X36" i="14"/>
  <c r="G37" i="14"/>
  <c r="H37" i="14"/>
  <c r="I37" i="14"/>
  <c r="J37" i="14"/>
  <c r="K37" i="14"/>
  <c r="L37" i="14"/>
  <c r="M37" i="14"/>
  <c r="N37" i="14"/>
  <c r="O37" i="14"/>
  <c r="P37" i="14"/>
  <c r="Q37" i="14"/>
  <c r="R37" i="14"/>
  <c r="S37" i="14"/>
  <c r="T37" i="14"/>
  <c r="U37" i="14"/>
  <c r="V37" i="14"/>
  <c r="W37" i="14"/>
  <c r="X37" i="14"/>
  <c r="G38" i="14"/>
  <c r="H38" i="14"/>
  <c r="I38" i="14"/>
  <c r="J38" i="14"/>
  <c r="K38" i="14"/>
  <c r="L38" i="14"/>
  <c r="M38" i="14"/>
  <c r="N38" i="14"/>
  <c r="O38" i="14"/>
  <c r="P38" i="14"/>
  <c r="Q38" i="14"/>
  <c r="R38" i="14"/>
  <c r="S38" i="14"/>
  <c r="T38" i="14"/>
  <c r="U38" i="14"/>
  <c r="V38" i="14"/>
  <c r="W38" i="14"/>
  <c r="X38" i="14"/>
  <c r="G39" i="14"/>
  <c r="H39" i="14"/>
  <c r="I39" i="14"/>
  <c r="J39" i="14"/>
  <c r="K39" i="14"/>
  <c r="L39" i="14"/>
  <c r="M39" i="14"/>
  <c r="N39" i="14"/>
  <c r="O39" i="14"/>
  <c r="P39" i="14"/>
  <c r="Q39" i="14"/>
  <c r="R39" i="14"/>
  <c r="S39" i="14"/>
  <c r="T39" i="14"/>
  <c r="U39" i="14"/>
  <c r="V39" i="14"/>
  <c r="W39" i="14"/>
  <c r="X39" i="14"/>
  <c r="G40" i="14"/>
  <c r="H40" i="14"/>
  <c r="I40" i="14"/>
  <c r="J40" i="14"/>
  <c r="K40" i="14"/>
  <c r="L40" i="14"/>
  <c r="M40" i="14"/>
  <c r="N40" i="14"/>
  <c r="O40" i="14"/>
  <c r="P40" i="14"/>
  <c r="Q40" i="14"/>
  <c r="R40" i="14"/>
  <c r="S40" i="14"/>
  <c r="T40" i="14"/>
  <c r="U40" i="14"/>
  <c r="V40" i="14"/>
  <c r="W40" i="14"/>
  <c r="X40" i="14"/>
  <c r="G41" i="14"/>
  <c r="H41" i="14"/>
  <c r="I41" i="14"/>
  <c r="J41" i="14"/>
  <c r="K41" i="14"/>
  <c r="L41" i="14"/>
  <c r="M41" i="14"/>
  <c r="N41" i="14"/>
  <c r="O41" i="14"/>
  <c r="P41" i="14"/>
  <c r="Q41" i="14"/>
  <c r="R41" i="14"/>
  <c r="S41" i="14"/>
  <c r="T41" i="14"/>
  <c r="U41" i="14"/>
  <c r="V41" i="14"/>
  <c r="W41" i="14"/>
  <c r="X41" i="14"/>
  <c r="G42" i="14"/>
  <c r="H42" i="14"/>
  <c r="I42" i="14"/>
  <c r="J42" i="14"/>
  <c r="K42" i="14"/>
  <c r="L42" i="14"/>
  <c r="M42" i="14"/>
  <c r="N42" i="14"/>
  <c r="O42" i="14"/>
  <c r="P42" i="14"/>
  <c r="Q42" i="14"/>
  <c r="R42" i="14"/>
  <c r="S42" i="14"/>
  <c r="T42" i="14"/>
  <c r="U42" i="14"/>
  <c r="V42" i="14"/>
  <c r="W42" i="14"/>
  <c r="X42" i="14"/>
  <c r="G43" i="14"/>
  <c r="H43" i="14"/>
  <c r="I43" i="14"/>
  <c r="J43" i="14"/>
  <c r="K43" i="14"/>
  <c r="L43" i="14"/>
  <c r="M43" i="14"/>
  <c r="N43" i="14"/>
  <c r="O43" i="14"/>
  <c r="P43" i="14"/>
  <c r="Q43" i="14"/>
  <c r="R43" i="14"/>
  <c r="S43" i="14"/>
  <c r="T43" i="14"/>
  <c r="U43" i="14"/>
  <c r="V43" i="14"/>
  <c r="W43" i="14"/>
  <c r="X43" i="14"/>
  <c r="G44" i="14"/>
  <c r="H44" i="14"/>
  <c r="I44" i="14"/>
  <c r="J44" i="14"/>
  <c r="K44" i="14"/>
  <c r="L44" i="14"/>
  <c r="M44" i="14"/>
  <c r="N44" i="14"/>
  <c r="O44" i="14"/>
  <c r="P44" i="14"/>
  <c r="Q44" i="14"/>
  <c r="R44" i="14"/>
  <c r="S44" i="14"/>
  <c r="T44" i="14"/>
  <c r="U44" i="14"/>
  <c r="V44" i="14"/>
  <c r="W44" i="14"/>
  <c r="X44" i="14"/>
  <c r="G45" i="14"/>
  <c r="H45" i="14"/>
  <c r="I45" i="14"/>
  <c r="J45" i="14"/>
  <c r="K45" i="14"/>
  <c r="L45" i="14"/>
  <c r="M45" i="14"/>
  <c r="N45" i="14"/>
  <c r="O45" i="14"/>
  <c r="P45" i="14"/>
  <c r="Q45" i="14"/>
  <c r="R45" i="14"/>
  <c r="S45" i="14"/>
  <c r="T45" i="14"/>
  <c r="U45" i="14"/>
  <c r="V45" i="14"/>
  <c r="W45" i="14"/>
  <c r="X45" i="14"/>
  <c r="G46" i="14"/>
  <c r="H46" i="14"/>
  <c r="I46" i="14"/>
  <c r="J46" i="14"/>
  <c r="K46" i="14"/>
  <c r="L46" i="14"/>
  <c r="M46" i="14"/>
  <c r="N46" i="14"/>
  <c r="O46" i="14"/>
  <c r="P46" i="14"/>
  <c r="Q46" i="14"/>
  <c r="R46" i="14"/>
  <c r="S46" i="14"/>
  <c r="T46" i="14"/>
  <c r="U46" i="14"/>
  <c r="V46" i="14"/>
  <c r="W46" i="14"/>
  <c r="X46" i="14"/>
  <c r="G47" i="14"/>
  <c r="H47" i="14"/>
  <c r="I47" i="14"/>
  <c r="J47" i="14"/>
  <c r="K47" i="14"/>
  <c r="L47" i="14"/>
  <c r="M47" i="14"/>
  <c r="N47" i="14"/>
  <c r="O47" i="14"/>
  <c r="P47" i="14"/>
  <c r="Q47" i="14"/>
  <c r="R47" i="14"/>
  <c r="S47" i="14"/>
  <c r="T47" i="14"/>
  <c r="U47" i="14"/>
  <c r="V47" i="14"/>
  <c r="W47" i="14"/>
  <c r="X47" i="14"/>
  <c r="G48" i="14"/>
  <c r="H48" i="14"/>
  <c r="I48" i="14"/>
  <c r="J48" i="14"/>
  <c r="K48" i="14"/>
  <c r="L48" i="14"/>
  <c r="M48" i="14"/>
  <c r="N48" i="14"/>
  <c r="O48" i="14"/>
  <c r="P48" i="14"/>
  <c r="Q48" i="14"/>
  <c r="R48" i="14"/>
  <c r="S48" i="14"/>
  <c r="T48" i="14"/>
  <c r="U48" i="14"/>
  <c r="V48" i="14"/>
  <c r="W48" i="14"/>
  <c r="X48" i="14"/>
  <c r="G49" i="14"/>
  <c r="H49" i="14"/>
  <c r="I49" i="14"/>
  <c r="J49" i="14"/>
  <c r="K49" i="14"/>
  <c r="L49" i="14"/>
  <c r="M49" i="14"/>
  <c r="N49" i="14"/>
  <c r="O49" i="14"/>
  <c r="P49" i="14"/>
  <c r="Q49" i="14"/>
  <c r="R49" i="14"/>
  <c r="S49" i="14"/>
  <c r="T49" i="14"/>
  <c r="U49" i="14"/>
  <c r="V49" i="14"/>
  <c r="W49" i="14"/>
  <c r="X49" i="14"/>
  <c r="G50" i="14"/>
  <c r="H50" i="14"/>
  <c r="I50" i="14"/>
  <c r="J50" i="14"/>
  <c r="K50" i="14"/>
  <c r="L50" i="14"/>
  <c r="M50" i="14"/>
  <c r="N50" i="14"/>
  <c r="O50" i="14"/>
  <c r="P50" i="14"/>
  <c r="Q50" i="14"/>
  <c r="R50" i="14"/>
  <c r="S50" i="14"/>
  <c r="T50" i="14"/>
  <c r="U50" i="14"/>
  <c r="V50" i="14"/>
  <c r="W50" i="14"/>
  <c r="X50" i="14"/>
  <c r="AS4" i="16"/>
  <c r="AT4" i="16" s="1"/>
  <c r="AS6" i="16"/>
  <c r="AT6" i="16" s="1"/>
  <c r="AS8" i="16"/>
  <c r="AT8" i="16" s="1"/>
  <c r="AS9" i="16"/>
  <c r="AT9" i="16" s="1"/>
  <c r="AS13" i="16"/>
  <c r="AT13" i="16" s="1"/>
  <c r="AS16" i="16"/>
  <c r="AT16" i="16" s="1"/>
  <c r="AZ3" i="16"/>
  <c r="AS3" i="16" s="1"/>
  <c r="AT3" i="16" s="1"/>
  <c r="BA32" i="19"/>
  <c r="BA33" i="19"/>
  <c r="BK33" i="19" s="1"/>
  <c r="BA38" i="19"/>
  <c r="BK38" i="19" s="1"/>
  <c r="BA40" i="19"/>
  <c r="BK40" i="19" s="1"/>
  <c r="BA42" i="19"/>
  <c r="BK42" i="19" s="1"/>
  <c r="BA56" i="19"/>
  <c r="BA57" i="19"/>
  <c r="BK57" i="19" s="1"/>
  <c r="BA58" i="19"/>
  <c r="BK58" i="19" s="1"/>
  <c r="BA59" i="19"/>
  <c r="BK59" i="19" s="1"/>
  <c r="BA60" i="19"/>
  <c r="BK60" i="19" s="1"/>
  <c r="BA90" i="19"/>
  <c r="BK90" i="19" s="1"/>
  <c r="BA91" i="19"/>
  <c r="BK91" i="19" s="1"/>
  <c r="BA97" i="19"/>
  <c r="BK97" i="19" s="1"/>
  <c r="BA100" i="19"/>
  <c r="BK100" i="19" s="1"/>
  <c r="BA103" i="19"/>
  <c r="BK103" i="19" s="1"/>
  <c r="BA108" i="19"/>
  <c r="BK108" i="19" s="1"/>
  <c r="BA123" i="19"/>
  <c r="BK123" i="19" s="1"/>
  <c r="BA126" i="19"/>
  <c r="BK126" i="19" s="1"/>
  <c r="BA156" i="19"/>
  <c r="BK156" i="19" s="1"/>
  <c r="AQ31" i="19"/>
  <c r="AR31" i="19" s="1"/>
  <c r="AX31" i="19" s="1"/>
  <c r="AP33" i="19"/>
  <c r="AQ33" i="19" s="1"/>
  <c r="AS33" i="19" s="1"/>
  <c r="AP40" i="19"/>
  <c r="AQ40" i="19"/>
  <c r="AR40" i="19" s="1"/>
  <c r="AX40" i="19" s="1"/>
  <c r="AQ41" i="19"/>
  <c r="AR41" i="19" s="1"/>
  <c r="AX41" i="19" s="1"/>
  <c r="AP42" i="19"/>
  <c r="AQ42" i="19" s="1"/>
  <c r="AR42" i="19" s="1"/>
  <c r="AX42" i="19" s="1"/>
  <c r="AP43" i="19"/>
  <c r="AQ43" i="19" s="1"/>
  <c r="AS43" i="19" s="1"/>
  <c r="AP44" i="19"/>
  <c r="AQ44" i="19" s="1"/>
  <c r="AR44" i="19" s="1"/>
  <c r="AX44" i="19" s="1"/>
  <c r="AP50" i="19"/>
  <c r="AQ50" i="19" s="1"/>
  <c r="AS50" i="19" s="1"/>
  <c r="AQ52" i="19"/>
  <c r="AR52" i="19" s="1"/>
  <c r="AX52" i="19" s="1"/>
  <c r="AR58" i="19"/>
  <c r="AX58" i="19" s="1"/>
  <c r="AR59" i="19"/>
  <c r="AX59" i="19" s="1"/>
  <c r="AR60" i="19"/>
  <c r="AX60" i="19" s="1"/>
  <c r="AQ65" i="19"/>
  <c r="AR65" i="19" s="1"/>
  <c r="AX65" i="19" s="1"/>
  <c r="AQ71" i="19"/>
  <c r="AR71" i="19" s="1"/>
  <c r="AX71" i="19" s="1"/>
  <c r="AX75" i="19"/>
  <c r="AQ79" i="19"/>
  <c r="AR79" i="19" s="1"/>
  <c r="AX79" i="19" s="1"/>
  <c r="AP82" i="19"/>
  <c r="AQ82" i="19" s="1"/>
  <c r="AR82" i="19" s="1"/>
  <c r="AX82" i="19" s="1"/>
  <c r="AQ84" i="19"/>
  <c r="AR84" i="19" s="1"/>
  <c r="AX84" i="19" s="1"/>
  <c r="AQ86" i="19"/>
  <c r="AR86" i="19" s="1"/>
  <c r="AX86" i="19" s="1"/>
  <c r="AP91" i="19"/>
  <c r="AQ91" i="19" s="1"/>
  <c r="AR91" i="19" s="1"/>
  <c r="AX91" i="19" s="1"/>
  <c r="AQ93" i="19"/>
  <c r="AR93" i="19" s="1"/>
  <c r="AX93" i="19" s="1"/>
  <c r="AQ97" i="19"/>
  <c r="AR97" i="19" s="1"/>
  <c r="AX97" i="19" s="1"/>
  <c r="AP99" i="19"/>
  <c r="AQ99" i="19" s="1"/>
  <c r="AR99" i="19" s="1"/>
  <c r="AX99" i="19" s="1"/>
  <c r="AP100" i="19"/>
  <c r="AQ100" i="19" s="1"/>
  <c r="AR100" i="19" s="1"/>
  <c r="AX100" i="19" s="1"/>
  <c r="AQ107" i="19"/>
  <c r="AR107" i="19" s="1"/>
  <c r="AX107" i="19" s="1"/>
  <c r="AQ108" i="19"/>
  <c r="AS108" i="19" s="1"/>
  <c r="AR108" i="19"/>
  <c r="AX108" i="19" s="1"/>
  <c r="AQ109" i="19"/>
  <c r="AR109" i="19" s="1"/>
  <c r="AX109" i="19" s="1"/>
  <c r="AQ110" i="19"/>
  <c r="AR110" i="19" s="1"/>
  <c r="AX110" i="19" s="1"/>
  <c r="AQ111" i="19"/>
  <c r="AR111" i="19" s="1"/>
  <c r="AX111" i="19" s="1"/>
  <c r="AQ115" i="19"/>
  <c r="AR115" i="19" s="1"/>
  <c r="AX115" i="19" s="1"/>
  <c r="AQ121" i="19"/>
  <c r="AR121" i="19" s="1"/>
  <c r="AX121" i="19" s="1"/>
  <c r="AQ124" i="19"/>
  <c r="AR124" i="19" s="1"/>
  <c r="AX124" i="19" s="1"/>
  <c r="AR126" i="19"/>
  <c r="AX126" i="19" s="1"/>
  <c r="AQ128" i="19"/>
  <c r="AR128" i="19" s="1"/>
  <c r="AX128" i="19" s="1"/>
  <c r="AQ132" i="19"/>
  <c r="AR132" i="19" s="1"/>
  <c r="AX132" i="19" s="1"/>
  <c r="AQ135" i="19"/>
  <c r="AR135" i="19" s="1"/>
  <c r="AX135" i="19" s="1"/>
  <c r="AQ137" i="19"/>
  <c r="AS137" i="19" s="1"/>
  <c r="AR137" i="19"/>
  <c r="AX137" i="19" s="1"/>
  <c r="AZ133" i="19"/>
  <c r="AG148" i="23"/>
  <c r="AQ3" i="23"/>
  <c r="AK148" i="23"/>
  <c r="AF148" i="23"/>
  <c r="AE148" i="23"/>
  <c r="K148" i="23"/>
  <c r="J148" i="23"/>
  <c r="AM148" i="23"/>
  <c r="AL148" i="23"/>
  <c r="AI148" i="23"/>
  <c r="AN148" i="23"/>
  <c r="C9" i="14"/>
  <c r="D9" i="14"/>
  <c r="E9" i="14"/>
  <c r="F9" i="14"/>
  <c r="D10" i="14"/>
  <c r="E10" i="14"/>
  <c r="F10" i="14"/>
  <c r="C11" i="14"/>
  <c r="D11" i="14"/>
  <c r="E11" i="14"/>
  <c r="F11" i="14"/>
  <c r="D12" i="14"/>
  <c r="E12" i="14"/>
  <c r="F12" i="14"/>
  <c r="D13" i="14"/>
  <c r="E13" i="14"/>
  <c r="F13" i="14"/>
  <c r="C14" i="14"/>
  <c r="D14" i="14"/>
  <c r="E14" i="14"/>
  <c r="F14" i="14"/>
  <c r="D15" i="14"/>
  <c r="E15" i="14"/>
  <c r="F15" i="14"/>
  <c r="D16" i="14"/>
  <c r="E16" i="14"/>
  <c r="F16" i="14"/>
  <c r="D17" i="14"/>
  <c r="E17" i="14"/>
  <c r="F17" i="14"/>
  <c r="C18" i="14"/>
  <c r="D18" i="14"/>
  <c r="E18" i="14"/>
  <c r="F18" i="14"/>
  <c r="C19" i="14"/>
  <c r="D19" i="14"/>
  <c r="E19" i="14"/>
  <c r="F19" i="14"/>
  <c r="D20" i="14"/>
  <c r="E20" i="14"/>
  <c r="F20" i="14"/>
  <c r="D21" i="14"/>
  <c r="E21" i="14"/>
  <c r="F21" i="14"/>
  <c r="D22" i="14"/>
  <c r="E22" i="14"/>
  <c r="F22" i="14"/>
  <c r="C23" i="14"/>
  <c r="D23" i="14"/>
  <c r="E23" i="14"/>
  <c r="F23" i="14"/>
  <c r="D24" i="14"/>
  <c r="E24" i="14"/>
  <c r="F24" i="14"/>
  <c r="D25" i="14"/>
  <c r="E25" i="14"/>
  <c r="F25" i="14"/>
  <c r="D26" i="14"/>
  <c r="E26" i="14"/>
  <c r="F26" i="14"/>
  <c r="D27" i="14"/>
  <c r="E27" i="14"/>
  <c r="F27" i="14"/>
  <c r="D28" i="14"/>
  <c r="E28" i="14"/>
  <c r="F28" i="14"/>
  <c r="D29" i="14"/>
  <c r="E29" i="14"/>
  <c r="F29" i="14"/>
  <c r="D30" i="14"/>
  <c r="E30" i="14"/>
  <c r="F30" i="14"/>
  <c r="D31" i="14"/>
  <c r="E31" i="14"/>
  <c r="F31" i="14"/>
  <c r="D32" i="14"/>
  <c r="E32" i="14"/>
  <c r="F32" i="14"/>
  <c r="D33" i="14"/>
  <c r="E33" i="14"/>
  <c r="F33" i="14"/>
  <c r="D34" i="14"/>
  <c r="E34" i="14"/>
  <c r="F34" i="14"/>
  <c r="C35" i="14"/>
  <c r="D35" i="14"/>
  <c r="E35" i="14"/>
  <c r="F35" i="14"/>
  <c r="D36" i="14"/>
  <c r="E36" i="14"/>
  <c r="F36" i="14"/>
  <c r="C37" i="14"/>
  <c r="D37" i="14"/>
  <c r="E37" i="14"/>
  <c r="F37" i="14"/>
  <c r="C38" i="14"/>
  <c r="D38" i="14"/>
  <c r="E38" i="14"/>
  <c r="F38" i="14"/>
  <c r="C39" i="14"/>
  <c r="D39" i="14"/>
  <c r="E39" i="14"/>
  <c r="F39" i="14"/>
  <c r="D40" i="14"/>
  <c r="E40" i="14"/>
  <c r="F40" i="14"/>
  <c r="D41" i="14"/>
  <c r="E41" i="14"/>
  <c r="F41" i="14"/>
  <c r="C42" i="14"/>
  <c r="D42" i="14"/>
  <c r="E42" i="14"/>
  <c r="F42" i="14"/>
  <c r="C43" i="14"/>
  <c r="D43" i="14"/>
  <c r="E43" i="14"/>
  <c r="F43" i="14"/>
  <c r="D44" i="14"/>
  <c r="E44" i="14"/>
  <c r="F44" i="14"/>
  <c r="D45" i="14"/>
  <c r="E45" i="14"/>
  <c r="F45" i="14"/>
  <c r="C46" i="14"/>
  <c r="D46" i="14"/>
  <c r="E46" i="14"/>
  <c r="F46" i="14"/>
  <c r="C47" i="14"/>
  <c r="D47" i="14"/>
  <c r="E47" i="14"/>
  <c r="F47" i="14"/>
  <c r="D48" i="14"/>
  <c r="E48" i="14"/>
  <c r="F48" i="14"/>
  <c r="D49" i="14"/>
  <c r="E49" i="14"/>
  <c r="F49" i="14"/>
  <c r="C50" i="14"/>
  <c r="D50" i="14"/>
  <c r="E50" i="14"/>
  <c r="F50" i="14"/>
  <c r="AE3" i="16"/>
  <c r="AJ3" i="16"/>
  <c r="V3" i="16" s="1"/>
  <c r="W3" i="16" s="1"/>
  <c r="AO3" i="16"/>
  <c r="X3" i="16" s="1"/>
  <c r="Y3" i="16" s="1"/>
  <c r="AE4" i="16"/>
  <c r="AJ4" i="16"/>
  <c r="V4" i="16" s="1"/>
  <c r="W4" i="16" s="1"/>
  <c r="AO4" i="16"/>
  <c r="X4" i="16" s="1"/>
  <c r="Y4" i="16" s="1"/>
  <c r="AE5" i="16"/>
  <c r="AJ5" i="16"/>
  <c r="V5" i="16" s="1"/>
  <c r="W5" i="16" s="1"/>
  <c r="AO5" i="16"/>
  <c r="X5" i="16" s="1"/>
  <c r="Y5" i="16" s="1"/>
  <c r="AE6" i="16"/>
  <c r="AJ6" i="16"/>
  <c r="V6" i="16" s="1"/>
  <c r="W6" i="16" s="1"/>
  <c r="AO6" i="16"/>
  <c r="X6" i="16" s="1"/>
  <c r="Y6" i="16" s="1"/>
  <c r="AA7" i="16"/>
  <c r="AB7" i="16"/>
  <c r="AC7" i="16"/>
  <c r="AD7" i="16"/>
  <c r="AE7" i="16" s="1"/>
  <c r="AJ7" i="16"/>
  <c r="V7" i="16" s="1"/>
  <c r="W7" i="16" s="1"/>
  <c r="AO7" i="16"/>
  <c r="X7" i="16" s="1"/>
  <c r="Y7" i="16" s="1"/>
  <c r="AE8" i="16"/>
  <c r="AJ8" i="16"/>
  <c r="V8" i="16" s="1"/>
  <c r="W8" i="16" s="1"/>
  <c r="AO8" i="16"/>
  <c r="X8" i="16" s="1"/>
  <c r="Y8" i="16" s="1"/>
  <c r="AE9" i="16"/>
  <c r="AJ9" i="16"/>
  <c r="V9" i="16" s="1"/>
  <c r="W9" i="16" s="1"/>
  <c r="AO9" i="16"/>
  <c r="X9" i="16" s="1"/>
  <c r="Y9" i="16" s="1"/>
  <c r="AE10" i="16"/>
  <c r="AJ10" i="16"/>
  <c r="V10" i="16" s="1"/>
  <c r="W10" i="16" s="1"/>
  <c r="AO10" i="16"/>
  <c r="X10" i="16"/>
  <c r="Y10" i="16" s="1"/>
  <c r="AA11" i="16"/>
  <c r="AB11" i="16"/>
  <c r="AC11" i="16"/>
  <c r="AD11" i="16"/>
  <c r="AE11" i="16" s="1"/>
  <c r="AJ11" i="16"/>
  <c r="V11" i="16" s="1"/>
  <c r="W11" i="16" s="1"/>
  <c r="AO11" i="16"/>
  <c r="X11" i="16" s="1"/>
  <c r="Y11" i="16" s="1"/>
  <c r="AE12" i="16"/>
  <c r="AJ12" i="16"/>
  <c r="V12" i="16" s="1"/>
  <c r="W12" i="16" s="1"/>
  <c r="AO12" i="16"/>
  <c r="X12" i="16" s="1"/>
  <c r="Y12" i="16" s="1"/>
  <c r="AE13" i="16"/>
  <c r="AJ13" i="16"/>
  <c r="V13" i="16" s="1"/>
  <c r="W13" i="16" s="1"/>
  <c r="AO13" i="16"/>
  <c r="X13" i="16" s="1"/>
  <c r="Y13" i="16" s="1"/>
  <c r="AA14" i="16"/>
  <c r="AB14" i="16"/>
  <c r="AC14" i="16"/>
  <c r="AD14" i="16"/>
  <c r="AE14" i="16" s="1"/>
  <c r="AJ14" i="16"/>
  <c r="V14" i="16" s="1"/>
  <c r="W14" i="16" s="1"/>
  <c r="AO14" i="16"/>
  <c r="X14" i="16" s="1"/>
  <c r="Y14" i="16" s="1"/>
  <c r="AE15" i="16"/>
  <c r="AJ15" i="16"/>
  <c r="V15" i="16" s="1"/>
  <c r="W15" i="16" s="1"/>
  <c r="AO15" i="16"/>
  <c r="X15" i="16" s="1"/>
  <c r="Y15" i="16" s="1"/>
  <c r="AE16" i="16"/>
  <c r="AJ16" i="16"/>
  <c r="V16" i="16" s="1"/>
  <c r="W16" i="16" s="1"/>
  <c r="AO16" i="16"/>
  <c r="X16" i="16" s="1"/>
  <c r="Y16" i="16" s="1"/>
  <c r="AE17" i="16"/>
  <c r="AJ17" i="16"/>
  <c r="V17" i="16" s="1"/>
  <c r="W17" i="16" s="1"/>
  <c r="AO17" i="16"/>
  <c r="X17" i="16" s="1"/>
  <c r="Y17" i="16" s="1"/>
  <c r="AE18" i="16"/>
  <c r="AJ18" i="16"/>
  <c r="V18" i="16" s="1"/>
  <c r="W18" i="16" s="1"/>
  <c r="AO18" i="16"/>
  <c r="X18" i="16" s="1"/>
  <c r="Y18" i="16" s="1"/>
  <c r="AA19" i="16"/>
  <c r="AB19" i="16"/>
  <c r="AE19" i="16" s="1"/>
  <c r="AC19" i="16"/>
  <c r="AD19" i="16"/>
  <c r="AF19" i="16"/>
  <c r="AJ19" i="16"/>
  <c r="V19" i="16" s="1"/>
  <c r="W19" i="16" s="1"/>
  <c r="AO19" i="16"/>
  <c r="X19" i="16" s="1"/>
  <c r="Y19" i="16" s="1"/>
  <c r="AE20" i="16"/>
  <c r="AJ20" i="16"/>
  <c r="V20" i="16" s="1"/>
  <c r="W20" i="16" s="1"/>
  <c r="AO20" i="16"/>
  <c r="X20" i="16" s="1"/>
  <c r="Y20" i="16" s="1"/>
  <c r="AE21" i="16"/>
  <c r="AJ21" i="16"/>
  <c r="V21" i="16" s="1"/>
  <c r="W21" i="16" s="1"/>
  <c r="AO21" i="16"/>
  <c r="X21" i="16" s="1"/>
  <c r="Y21" i="16" s="1"/>
  <c r="AE22" i="16"/>
  <c r="AJ22" i="16"/>
  <c r="V22" i="16" s="1"/>
  <c r="W22" i="16" s="1"/>
  <c r="AO22" i="16"/>
  <c r="X22" i="16" s="1"/>
  <c r="Y22" i="16" s="1"/>
  <c r="AE23" i="16"/>
  <c r="AJ23" i="16"/>
  <c r="V23" i="16" s="1"/>
  <c r="W23" i="16" s="1"/>
  <c r="AO23" i="16"/>
  <c r="X23" i="16" s="1"/>
  <c r="Y23" i="16" s="1"/>
  <c r="AE24" i="16"/>
  <c r="AJ24" i="16"/>
  <c r="V24" i="16" s="1"/>
  <c r="W24" i="16" s="1"/>
  <c r="AO24" i="16"/>
  <c r="X24" i="16" s="1"/>
  <c r="Y24" i="16" s="1"/>
  <c r="AE25" i="16"/>
  <c r="AJ25" i="16"/>
  <c r="V25" i="16" s="1"/>
  <c r="W25" i="16" s="1"/>
  <c r="AO25" i="16"/>
  <c r="X25" i="16" s="1"/>
  <c r="Y25" i="16" s="1"/>
  <c r="AA26" i="16"/>
  <c r="AE26" i="16" s="1"/>
  <c r="AB26" i="16"/>
  <c r="AC26" i="16"/>
  <c r="AD26" i="16"/>
  <c r="AJ26" i="16"/>
  <c r="V26" i="16" s="1"/>
  <c r="W26" i="16" s="1"/>
  <c r="AO26" i="16"/>
  <c r="X26" i="16" s="1"/>
  <c r="Y26" i="16" s="1"/>
  <c r="AE27" i="16"/>
  <c r="AJ27" i="16"/>
  <c r="V27" i="16" s="1"/>
  <c r="W27" i="16" s="1"/>
  <c r="AO27" i="16"/>
  <c r="X27" i="16" s="1"/>
  <c r="Y27" i="16" s="1"/>
  <c r="AE28" i="16"/>
  <c r="AJ28" i="16"/>
  <c r="V28" i="16" s="1"/>
  <c r="W28" i="16" s="1"/>
  <c r="AO28" i="16"/>
  <c r="X28" i="16" s="1"/>
  <c r="Y28" i="16" s="1"/>
  <c r="AE29" i="16"/>
  <c r="AJ29" i="16"/>
  <c r="V29" i="16" s="1"/>
  <c r="W29" i="16" s="1"/>
  <c r="AO29" i="16"/>
  <c r="X29" i="16" s="1"/>
  <c r="Y29" i="16" s="1"/>
  <c r="AE30" i="16"/>
  <c r="AJ30" i="16"/>
  <c r="V30" i="16" s="1"/>
  <c r="W30" i="16" s="1"/>
  <c r="AO30" i="16"/>
  <c r="X30" i="16" s="1"/>
  <c r="Y30" i="16" s="1"/>
  <c r="AE31" i="16"/>
  <c r="AJ31" i="16"/>
  <c r="V31" i="16" s="1"/>
  <c r="W31" i="16" s="1"/>
  <c r="AO31" i="16"/>
  <c r="X31" i="16" s="1"/>
  <c r="Y31" i="16" s="1"/>
  <c r="AE32" i="16"/>
  <c r="AJ32" i="16"/>
  <c r="V32" i="16" s="1"/>
  <c r="W32" i="16" s="1"/>
  <c r="AO32" i="16"/>
  <c r="X32" i="16" s="1"/>
  <c r="Y32" i="16" s="1"/>
  <c r="AE33" i="16"/>
  <c r="AJ33" i="16"/>
  <c r="V33" i="16" s="1"/>
  <c r="W33" i="16" s="1"/>
  <c r="AO33" i="16"/>
  <c r="X33" i="16" s="1"/>
  <c r="Y33" i="16" s="1"/>
  <c r="AE34" i="16"/>
  <c r="AH34" i="16"/>
  <c r="AJ34" i="16" s="1"/>
  <c r="V34" i="16" s="1"/>
  <c r="W34" i="16" s="1"/>
  <c r="AO34" i="16"/>
  <c r="X34" i="16" s="1"/>
  <c r="Y34" i="16" s="1"/>
  <c r="AE35" i="16"/>
  <c r="AH35" i="16"/>
  <c r="AJ35" i="16" s="1"/>
  <c r="V35" i="16" s="1"/>
  <c r="W35" i="16" s="1"/>
  <c r="AO35" i="16"/>
  <c r="X35" i="16" s="1"/>
  <c r="Y35" i="16" s="1"/>
  <c r="AE36" i="16"/>
  <c r="AH36" i="16"/>
  <c r="AJ36" i="16" s="1"/>
  <c r="V36" i="16" s="1"/>
  <c r="W36" i="16" s="1"/>
  <c r="AO36" i="16"/>
  <c r="X36" i="16" s="1"/>
  <c r="Y36" i="16" s="1"/>
  <c r="AE37" i="16"/>
  <c r="AJ37" i="16"/>
  <c r="V37" i="16" s="1"/>
  <c r="W37" i="16" s="1"/>
  <c r="AO37" i="16"/>
  <c r="X37" i="16" s="1"/>
  <c r="Y37" i="16" s="1"/>
  <c r="AE38" i="16"/>
  <c r="AJ38" i="16"/>
  <c r="V38" i="16" s="1"/>
  <c r="W38" i="16" s="1"/>
  <c r="AO38" i="16"/>
  <c r="X38" i="16" s="1"/>
  <c r="Y38" i="16" s="1"/>
  <c r="AE39" i="16"/>
  <c r="AJ39" i="16"/>
  <c r="V39" i="16" s="1"/>
  <c r="W39" i="16" s="1"/>
  <c r="AO39" i="16"/>
  <c r="X39" i="16" s="1"/>
  <c r="Y39" i="16" s="1"/>
  <c r="AE40" i="16"/>
  <c r="AJ40" i="16"/>
  <c r="V40" i="16" s="1"/>
  <c r="W40" i="16" s="1"/>
  <c r="AO40" i="16"/>
  <c r="X40" i="16" s="1"/>
  <c r="Y40" i="16" s="1"/>
  <c r="AE41" i="16"/>
  <c r="AJ41" i="16"/>
  <c r="V41" i="16" s="1"/>
  <c r="W41" i="16" s="1"/>
  <c r="AO41" i="16"/>
  <c r="X41" i="16" s="1"/>
  <c r="Y41" i="16" s="1"/>
  <c r="AE42" i="16"/>
  <c r="AJ42" i="16"/>
  <c r="V42" i="16" s="1"/>
  <c r="W42" i="16" s="1"/>
  <c r="AO42" i="16"/>
  <c r="X42" i="16" s="1"/>
  <c r="Y42" i="16" s="1"/>
  <c r="AE43" i="16"/>
  <c r="AJ43" i="16"/>
  <c r="V43" i="16" s="1"/>
  <c r="W43" i="16" s="1"/>
  <c r="AO43" i="16"/>
  <c r="X43" i="16" s="1"/>
  <c r="Y43" i="16" s="1"/>
  <c r="AE44" i="16"/>
  <c r="AJ44" i="16"/>
  <c r="V44" i="16" s="1"/>
  <c r="W44" i="16" s="1"/>
  <c r="AO44" i="16"/>
  <c r="X44" i="16" s="1"/>
  <c r="Y44" i="16" s="1"/>
  <c r="BI100" i="18"/>
  <c r="BI66" i="18"/>
  <c r="BJ66" i="18" s="1"/>
  <c r="BI56" i="18"/>
  <c r="BJ56" i="18" s="1"/>
  <c r="BI55" i="18"/>
  <c r="BI53" i="18"/>
  <c r="BI54" i="18"/>
  <c r="BJ54" i="18"/>
  <c r="BK54" i="18" s="1"/>
  <c r="BI16" i="18"/>
  <c r="BI208" i="18" s="1"/>
  <c r="BI15" i="18"/>
  <c r="BI20" i="18"/>
  <c r="AP106" i="19"/>
  <c r="AQ106" i="19" s="1"/>
  <c r="AR106" i="19" s="1"/>
  <c r="AQ105" i="19"/>
  <c r="AR105" i="19" s="1"/>
  <c r="AQ104" i="19"/>
  <c r="AR104" i="19" s="1"/>
  <c r="AQ129" i="19"/>
  <c r="AR129" i="19" s="1"/>
  <c r="AS129" i="19"/>
  <c r="AR32" i="19"/>
  <c r="AR56" i="19"/>
  <c r="AR57" i="19"/>
  <c r="AR85" i="19"/>
  <c r="AR125" i="19"/>
  <c r="AR127" i="19"/>
  <c r="AR134" i="19"/>
  <c r="AI147" i="19"/>
  <c r="AI168" i="19" s="1"/>
  <c r="AQ148" i="19"/>
  <c r="AR148" i="19" s="1"/>
  <c r="AQ166" i="19"/>
  <c r="AR166" i="19" s="1"/>
  <c r="AP167" i="19"/>
  <c r="AQ167" i="19" s="1"/>
  <c r="AR167" i="19" s="1"/>
  <c r="AP162" i="19"/>
  <c r="AQ149" i="19"/>
  <c r="AR149" i="19" s="1"/>
  <c r="AQ150" i="19"/>
  <c r="AS150" i="19" s="1"/>
  <c r="AQ151" i="19"/>
  <c r="AR151" i="19" s="1"/>
  <c r="AQ152" i="19"/>
  <c r="AR152" i="19" s="1"/>
  <c r="AQ153" i="19"/>
  <c r="AR153" i="19" s="1"/>
  <c r="AQ154" i="19"/>
  <c r="AR154" i="19" s="1"/>
  <c r="AQ155" i="19"/>
  <c r="AR155" i="19" s="1"/>
  <c r="AQ156" i="19"/>
  <c r="AR156" i="19" s="1"/>
  <c r="AQ157" i="19"/>
  <c r="AR157" i="19" s="1"/>
  <c r="AQ158" i="19"/>
  <c r="AR158" i="19" s="1"/>
  <c r="AQ159" i="19"/>
  <c r="AR159" i="19" s="1"/>
  <c r="AQ160" i="19"/>
  <c r="AR160" i="19" s="1"/>
  <c r="AQ161" i="19"/>
  <c r="AR161" i="19" s="1"/>
  <c r="AQ165" i="19"/>
  <c r="AR165" i="19" s="1"/>
  <c r="AN147" i="19"/>
  <c r="AM147" i="19"/>
  <c r="AM168" i="19"/>
  <c r="AM170" i="19" s="1"/>
  <c r="AL147" i="19"/>
  <c r="AD147" i="19"/>
  <c r="AD162" i="19"/>
  <c r="AD130" i="19"/>
  <c r="AP118" i="19"/>
  <c r="AQ118" i="19" s="1"/>
  <c r="AS118" i="19" s="1"/>
  <c r="AP103" i="19"/>
  <c r="AQ103" i="19"/>
  <c r="AR103" i="19" s="1"/>
  <c r="AP139" i="19"/>
  <c r="AQ139" i="19"/>
  <c r="AS139" i="19" s="1"/>
  <c r="AP138" i="19"/>
  <c r="AQ138" i="19" s="1"/>
  <c r="AR138" i="19" s="1"/>
  <c r="AP90" i="19"/>
  <c r="AQ90" i="19" s="1"/>
  <c r="AD94" i="19"/>
  <c r="AD76" i="19"/>
  <c r="AP77" i="19"/>
  <c r="AQ77" i="19" s="1"/>
  <c r="AP76" i="19"/>
  <c r="AQ76" i="19" s="1"/>
  <c r="AP81" i="19"/>
  <c r="AQ81" i="19" s="1"/>
  <c r="AR81" i="19" s="1"/>
  <c r="AD73" i="19"/>
  <c r="AD87" i="19"/>
  <c r="AD72" i="19"/>
  <c r="AP61" i="19"/>
  <c r="AQ61" i="19" s="1"/>
  <c r="AS61" i="19" s="1"/>
  <c r="AP62" i="19"/>
  <c r="AQ62" i="19"/>
  <c r="AS62" i="19" s="1"/>
  <c r="AQ29" i="19"/>
  <c r="AR29" i="19" s="1"/>
  <c r="AQ55" i="19"/>
  <c r="AR55" i="19" s="1"/>
  <c r="BH208" i="18"/>
  <c r="AO162" i="19"/>
  <c r="AQ162" i="19" s="1"/>
  <c r="AR162" i="19" s="1"/>
  <c r="BG49" i="18"/>
  <c r="AQ6" i="19"/>
  <c r="AR6" i="19" s="1"/>
  <c r="AQ7" i="19"/>
  <c r="AR7" i="19" s="1"/>
  <c r="AQ8" i="19"/>
  <c r="AR8" i="19" s="1"/>
  <c r="AQ9" i="19"/>
  <c r="AR9" i="19" s="1"/>
  <c r="AQ10" i="19"/>
  <c r="AR10" i="19" s="1"/>
  <c r="AQ11" i="19"/>
  <c r="AR11" i="19" s="1"/>
  <c r="AQ12" i="19"/>
  <c r="AR12" i="19" s="1"/>
  <c r="AQ13" i="19"/>
  <c r="AR13" i="19" s="1"/>
  <c r="AQ14" i="19"/>
  <c r="AR14" i="19" s="1"/>
  <c r="AQ15" i="19"/>
  <c r="AR15" i="19" s="1"/>
  <c r="AQ16" i="19"/>
  <c r="AR16" i="19" s="1"/>
  <c r="AQ17" i="19"/>
  <c r="AR17" i="19" s="1"/>
  <c r="AQ19" i="19"/>
  <c r="AR19" i="19" s="1"/>
  <c r="AQ22" i="19"/>
  <c r="AR22" i="19" s="1"/>
  <c r="AQ23" i="19"/>
  <c r="AR23" i="19" s="1"/>
  <c r="AQ24" i="19"/>
  <c r="AR24" i="19" s="1"/>
  <c r="AQ25" i="19"/>
  <c r="AR25" i="19" s="1"/>
  <c r="AQ26" i="19"/>
  <c r="AR26" i="19" s="1"/>
  <c r="AQ27" i="19"/>
  <c r="AR27" i="19" s="1"/>
  <c r="AQ30" i="19"/>
  <c r="AR30" i="19" s="1"/>
  <c r="AQ34" i="19"/>
  <c r="AR34" i="19" s="1"/>
  <c r="AQ35" i="19"/>
  <c r="AR35" i="19" s="1"/>
  <c r="AQ36" i="19"/>
  <c r="AR36" i="19" s="1"/>
  <c r="AQ37" i="19"/>
  <c r="AR37" i="19" s="1"/>
  <c r="AQ39" i="19"/>
  <c r="AR39" i="19" s="1"/>
  <c r="AQ45" i="19"/>
  <c r="AR45" i="19" s="1"/>
  <c r="AQ46" i="19"/>
  <c r="AR46" i="19" s="1"/>
  <c r="AQ47" i="19"/>
  <c r="AR47" i="19" s="1"/>
  <c r="AQ48" i="19"/>
  <c r="AR48" i="19" s="1"/>
  <c r="AQ49" i="19"/>
  <c r="AR49" i="19" s="1"/>
  <c r="AQ51" i="19"/>
  <c r="AR51" i="19" s="1"/>
  <c r="AQ53" i="19"/>
  <c r="AR53" i="19" s="1"/>
  <c r="AQ54" i="19"/>
  <c r="AR54" i="19" s="1"/>
  <c r="AQ64" i="19"/>
  <c r="AR64" i="19" s="1"/>
  <c r="AQ67" i="19"/>
  <c r="AR67" i="19" s="1"/>
  <c r="AQ68" i="19"/>
  <c r="AR68" i="19" s="1"/>
  <c r="AQ69" i="19"/>
  <c r="AR69" i="19" s="1"/>
  <c r="AQ70" i="19"/>
  <c r="AR70" i="19" s="1"/>
  <c r="AQ72" i="19"/>
  <c r="AS72" i="19" s="1"/>
  <c r="AQ73" i="19"/>
  <c r="AS73" i="19" s="1"/>
  <c r="AQ74" i="19"/>
  <c r="AR74" i="19" s="1"/>
  <c r="AQ75" i="19"/>
  <c r="AR75" i="19" s="1"/>
  <c r="AQ78" i="19"/>
  <c r="AR78" i="19" s="1"/>
  <c r="AQ80" i="19"/>
  <c r="AR80" i="19" s="1"/>
  <c r="AQ83" i="19"/>
  <c r="AR83" i="19" s="1"/>
  <c r="AQ87" i="19"/>
  <c r="AQ94" i="19"/>
  <c r="AS94" i="19" s="1"/>
  <c r="AQ96" i="19"/>
  <c r="AR96" i="19" s="1"/>
  <c r="AQ101" i="19"/>
  <c r="AR101" i="19" s="1"/>
  <c r="AQ102" i="19"/>
  <c r="AR102" i="19" s="1"/>
  <c r="AQ112" i="19"/>
  <c r="AR112" i="19" s="1"/>
  <c r="AQ116" i="19"/>
  <c r="AS116" i="19" s="1"/>
  <c r="AQ119" i="19"/>
  <c r="AR119" i="19" s="1"/>
  <c r="AQ120" i="19"/>
  <c r="AS120" i="19" s="1"/>
  <c r="AQ122" i="19"/>
  <c r="AS122" i="19" s="1"/>
  <c r="AQ123" i="19"/>
  <c r="AS123" i="19" s="1"/>
  <c r="AQ130" i="19"/>
  <c r="AQ131" i="19"/>
  <c r="AS131" i="19" s="1"/>
  <c r="AQ133" i="19"/>
  <c r="AR133" i="19" s="1"/>
  <c r="AQ136" i="19"/>
  <c r="AS136" i="19" s="1"/>
  <c r="AQ141" i="19"/>
  <c r="AS141" i="19" s="1"/>
  <c r="AQ142" i="19"/>
  <c r="AS142" i="19" s="1"/>
  <c r="AQ144" i="19"/>
  <c r="AR144" i="19" s="1"/>
  <c r="AQ145" i="19"/>
  <c r="AS145" i="19" s="1"/>
  <c r="AN38" i="19"/>
  <c r="AQ38" i="19"/>
  <c r="AR38" i="19" s="1"/>
  <c r="BF55" i="18"/>
  <c r="BJ55" i="18" s="1"/>
  <c r="BK55" i="18" s="1"/>
  <c r="BF24" i="18"/>
  <c r="BB190" i="18"/>
  <c r="BB49" i="18"/>
  <c r="BB24" i="18"/>
  <c r="BJ24" i="18" s="1"/>
  <c r="BK24" i="18" s="1"/>
  <c r="BB14" i="18"/>
  <c r="BJ14" i="18"/>
  <c r="BK14" i="18" s="1"/>
  <c r="BE190" i="18"/>
  <c r="BE208" i="18" s="1"/>
  <c r="BC190" i="18"/>
  <c r="BA190" i="18"/>
  <c r="BD16" i="18"/>
  <c r="BD10" i="18"/>
  <c r="BJ10" i="18" s="1"/>
  <c r="BL10" i="18" s="1"/>
  <c r="AQ3" i="19"/>
  <c r="AS3" i="19" s="1"/>
  <c r="AH147" i="19"/>
  <c r="AH168" i="19" s="1"/>
  <c r="AJ147" i="19"/>
  <c r="AJ168" i="19" s="1"/>
  <c r="J168" i="19"/>
  <c r="K168" i="19"/>
  <c r="AE168" i="19"/>
  <c r="AF168" i="19"/>
  <c r="AG168" i="19"/>
  <c r="AK168" i="19"/>
  <c r="AL168" i="19"/>
  <c r="AQ3" i="18"/>
  <c r="AS3" i="18" s="1"/>
  <c r="BJ3" i="18"/>
  <c r="BK3" i="18" s="1"/>
  <c r="AQ4" i="18"/>
  <c r="BJ4" i="18"/>
  <c r="BK4" i="18" s="1"/>
  <c r="AQ5" i="18"/>
  <c r="BJ5" i="18"/>
  <c r="BL5" i="18" s="1"/>
  <c r="AQ6" i="18"/>
  <c r="BJ6" i="18"/>
  <c r="BK6" i="18" s="1"/>
  <c r="AQ7" i="18"/>
  <c r="BJ7" i="18"/>
  <c r="BK7" i="18" s="1"/>
  <c r="AQ8" i="18"/>
  <c r="AR8" i="18" s="1"/>
  <c r="BJ8" i="18"/>
  <c r="BK8" i="18" s="1"/>
  <c r="AQ9" i="18"/>
  <c r="AR9" i="18" s="1"/>
  <c r="BJ9" i="18"/>
  <c r="BK9" i="18" s="1"/>
  <c r="AQ10" i="18"/>
  <c r="AR10" i="18" s="1"/>
  <c r="AQ11" i="18"/>
  <c r="BJ11" i="18"/>
  <c r="BL11" i="18" s="1"/>
  <c r="AQ12" i="18"/>
  <c r="BJ12" i="18"/>
  <c r="BK12" i="18" s="1"/>
  <c r="AQ13" i="18"/>
  <c r="BJ13" i="18"/>
  <c r="BK13" i="18" s="1"/>
  <c r="AQ14" i="18"/>
  <c r="AS14" i="18" s="1"/>
  <c r="AQ15" i="18"/>
  <c r="AR15" i="18" s="1"/>
  <c r="BJ15" i="18"/>
  <c r="BK15" i="18" s="1"/>
  <c r="AQ16" i="18"/>
  <c r="AR16" i="18" s="1"/>
  <c r="AQ17" i="18"/>
  <c r="BJ17" i="18"/>
  <c r="AQ18" i="18"/>
  <c r="AR18" i="18" s="1"/>
  <c r="BJ18" i="18"/>
  <c r="AQ19" i="18"/>
  <c r="AR19" i="18" s="1"/>
  <c r="BJ19" i="18"/>
  <c r="AQ20" i="18"/>
  <c r="AR20" i="18" s="1"/>
  <c r="BJ20" i="18"/>
  <c r="BK20" i="18" s="1"/>
  <c r="AD21" i="18"/>
  <c r="AD208" i="18" s="1"/>
  <c r="AQ21" i="18"/>
  <c r="BJ21" i="18"/>
  <c r="BK21" i="18" s="1"/>
  <c r="AQ22" i="18"/>
  <c r="BJ22" i="18"/>
  <c r="BJ23" i="18"/>
  <c r="AQ24" i="18"/>
  <c r="AR24" i="18" s="1"/>
  <c r="AQ25" i="18"/>
  <c r="BJ25" i="18"/>
  <c r="BK25" i="18" s="1"/>
  <c r="BJ26" i="18"/>
  <c r="BK26" i="18" s="1"/>
  <c r="AQ27" i="18"/>
  <c r="AR27" i="18" s="1"/>
  <c r="BJ27" i="18"/>
  <c r="BK27" i="18" s="1"/>
  <c r="AQ28" i="18"/>
  <c r="AS28" i="18" s="1"/>
  <c r="BJ28" i="18"/>
  <c r="AQ29" i="18"/>
  <c r="AR29" i="18" s="1"/>
  <c r="BJ29" i="18"/>
  <c r="BK29" i="18" s="1"/>
  <c r="AQ30" i="18"/>
  <c r="AR30" i="18" s="1"/>
  <c r="BJ30" i="18"/>
  <c r="AQ31" i="18"/>
  <c r="AR31" i="18" s="1"/>
  <c r="BJ31" i="18"/>
  <c r="BK31" i="18" s="1"/>
  <c r="AQ32" i="18"/>
  <c r="AR32" i="18" s="1"/>
  <c r="BJ32" i="18"/>
  <c r="BK32" i="18" s="1"/>
  <c r="AQ33" i="18"/>
  <c r="AR33" i="18" s="1"/>
  <c r="BJ33" i="18"/>
  <c r="BK33" i="18" s="1"/>
  <c r="AQ34" i="18"/>
  <c r="AR34" i="18" s="1"/>
  <c r="BJ34" i="18"/>
  <c r="BL34" i="18" s="1"/>
  <c r="AQ35" i="18"/>
  <c r="AR35" i="18" s="1"/>
  <c r="BJ35" i="18"/>
  <c r="BK35" i="18" s="1"/>
  <c r="AQ36" i="18"/>
  <c r="BJ36" i="18"/>
  <c r="AQ37" i="18"/>
  <c r="AR37" i="18" s="1"/>
  <c r="BJ37" i="18"/>
  <c r="AQ38" i="18"/>
  <c r="AS38" i="18" s="1"/>
  <c r="BJ38" i="18"/>
  <c r="AQ39" i="18"/>
  <c r="BJ39" i="18"/>
  <c r="BK39" i="18" s="1"/>
  <c r="AQ40" i="18"/>
  <c r="AS40" i="18" s="1"/>
  <c r="BJ40" i="18"/>
  <c r="BK40" i="18" s="1"/>
  <c r="AQ41" i="18"/>
  <c r="BJ41" i="18"/>
  <c r="BL41" i="18" s="1"/>
  <c r="AQ42" i="18"/>
  <c r="AS42" i="18" s="1"/>
  <c r="BJ42" i="18"/>
  <c r="BL42" i="18" s="1"/>
  <c r="AQ43" i="18"/>
  <c r="AR43" i="18" s="1"/>
  <c r="BJ43" i="18"/>
  <c r="BK43" i="18" s="1"/>
  <c r="AQ44" i="18"/>
  <c r="AR44" i="18" s="1"/>
  <c r="BJ44" i="18"/>
  <c r="AQ45" i="18"/>
  <c r="AR45" i="18" s="1"/>
  <c r="BJ45" i="18"/>
  <c r="BK45" i="18" s="1"/>
  <c r="AQ46" i="18"/>
  <c r="AR46" i="18" s="1"/>
  <c r="BJ46" i="18"/>
  <c r="AQ47" i="18"/>
  <c r="AS47" i="18" s="1"/>
  <c r="BJ47" i="18"/>
  <c r="BL47" i="18" s="1"/>
  <c r="AQ48" i="18"/>
  <c r="AR48" i="18" s="1"/>
  <c r="BJ48" i="18"/>
  <c r="BK48" i="18" s="1"/>
  <c r="AQ49" i="18"/>
  <c r="AQ50" i="18"/>
  <c r="AR50" i="18" s="1"/>
  <c r="BJ50" i="18"/>
  <c r="BK50" i="18" s="1"/>
  <c r="AQ51" i="18"/>
  <c r="AR51" i="18" s="1"/>
  <c r="BJ51" i="18"/>
  <c r="AQ52" i="18"/>
  <c r="AR52" i="18" s="1"/>
  <c r="BJ52" i="18"/>
  <c r="BK52" i="18" s="1"/>
  <c r="AQ53" i="18"/>
  <c r="AR53" i="18" s="1"/>
  <c r="BJ53" i="18"/>
  <c r="BK53" i="18" s="1"/>
  <c r="AQ54" i="18"/>
  <c r="AS54" i="18" s="1"/>
  <c r="AQ55" i="18"/>
  <c r="AQ56" i="18"/>
  <c r="AR56" i="18" s="1"/>
  <c r="AQ57" i="18"/>
  <c r="BJ57" i="18"/>
  <c r="AQ58" i="18"/>
  <c r="AS58" i="18" s="1"/>
  <c r="BJ58" i="18"/>
  <c r="BK58" i="18" s="1"/>
  <c r="AQ59" i="18"/>
  <c r="AR59" i="18" s="1"/>
  <c r="BJ59" i="18"/>
  <c r="BK59" i="18" s="1"/>
  <c r="AQ60" i="18"/>
  <c r="AR60" i="18" s="1"/>
  <c r="BC60" i="18"/>
  <c r="BJ60" i="18" s="1"/>
  <c r="BK60" i="18" s="1"/>
  <c r="AQ61" i="18"/>
  <c r="AR61" i="18" s="1"/>
  <c r="BJ61" i="18"/>
  <c r="BK61" i="18" s="1"/>
  <c r="AQ62" i="18"/>
  <c r="AR62" i="18" s="1"/>
  <c r="BJ62" i="18"/>
  <c r="BK62" i="18" s="1"/>
  <c r="AQ63" i="18"/>
  <c r="AR63" i="18" s="1"/>
  <c r="BJ63" i="18"/>
  <c r="BK63" i="18" s="1"/>
  <c r="AQ64" i="18"/>
  <c r="BJ64" i="18"/>
  <c r="AQ65" i="18"/>
  <c r="BJ65" i="18"/>
  <c r="AQ66" i="18"/>
  <c r="AS66" i="18" s="1"/>
  <c r="AQ67" i="18"/>
  <c r="AS67" i="18" s="1"/>
  <c r="BJ67" i="18"/>
  <c r="AQ68" i="18"/>
  <c r="AR68" i="18" s="1"/>
  <c r="BJ68" i="18"/>
  <c r="BK68" i="18" s="1"/>
  <c r="AQ69" i="18"/>
  <c r="AR69" i="18" s="1"/>
  <c r="BJ69" i="18"/>
  <c r="AQ70" i="18"/>
  <c r="AR70" i="18" s="1"/>
  <c r="BJ70" i="18"/>
  <c r="BK70" i="18" s="1"/>
  <c r="AQ71" i="18"/>
  <c r="AS71" i="18" s="1"/>
  <c r="BJ71" i="18"/>
  <c r="AQ72" i="18"/>
  <c r="AR72" i="18" s="1"/>
  <c r="BJ72" i="18"/>
  <c r="BK72" i="18" s="1"/>
  <c r="AQ73" i="18"/>
  <c r="BJ73" i="18"/>
  <c r="BL73" i="18" s="1"/>
  <c r="AQ74" i="18"/>
  <c r="AS74" i="18" s="1"/>
  <c r="BJ74" i="18"/>
  <c r="BK74" i="18" s="1"/>
  <c r="AQ75" i="18"/>
  <c r="BJ75" i="18"/>
  <c r="AQ76" i="18"/>
  <c r="BJ76" i="18"/>
  <c r="AQ77" i="18"/>
  <c r="AS77" i="18" s="1"/>
  <c r="BJ77" i="18"/>
  <c r="AQ78" i="18"/>
  <c r="AS78" i="18" s="1"/>
  <c r="BJ78" i="18"/>
  <c r="AQ79" i="18"/>
  <c r="AS79" i="18" s="1"/>
  <c r="BJ79" i="18"/>
  <c r="AQ80" i="18"/>
  <c r="BJ80" i="18"/>
  <c r="BL80" i="18" s="1"/>
  <c r="AQ81" i="18"/>
  <c r="BJ81" i="18"/>
  <c r="BL81" i="18" s="1"/>
  <c r="AQ82" i="18"/>
  <c r="BJ82" i="18"/>
  <c r="BK82" i="18" s="1"/>
  <c r="AQ83" i="18"/>
  <c r="BJ83" i="18"/>
  <c r="BL83" i="18" s="1"/>
  <c r="AQ84" i="18"/>
  <c r="BJ84" i="18"/>
  <c r="BK84" i="18" s="1"/>
  <c r="AQ85" i="18"/>
  <c r="AS85" i="18" s="1"/>
  <c r="BJ85" i="18"/>
  <c r="AQ86" i="18"/>
  <c r="AR86" i="18" s="1"/>
  <c r="BJ86" i="18"/>
  <c r="BK86" i="18" s="1"/>
  <c r="AQ87" i="18"/>
  <c r="AS87" i="18" s="1"/>
  <c r="BJ87" i="18"/>
  <c r="AQ88" i="18"/>
  <c r="AR88" i="18" s="1"/>
  <c r="BJ88" i="18"/>
  <c r="BL88" i="18" s="1"/>
  <c r="AQ89" i="18"/>
  <c r="AR89" i="18" s="1"/>
  <c r="BJ89" i="18"/>
  <c r="AQ90" i="18"/>
  <c r="AR90" i="18" s="1"/>
  <c r="BJ90" i="18"/>
  <c r="BL90" i="18" s="1"/>
  <c r="AQ91" i="18"/>
  <c r="BJ91" i="18"/>
  <c r="BK91" i="18" s="1"/>
  <c r="AQ92" i="18"/>
  <c r="AS92" i="18" s="1"/>
  <c r="BJ92" i="18"/>
  <c r="BK92" i="18" s="1"/>
  <c r="AQ93" i="18"/>
  <c r="AR93" i="18" s="1"/>
  <c r="BJ93" i="18"/>
  <c r="BK93" i="18" s="1"/>
  <c r="AQ94" i="18"/>
  <c r="BJ94" i="18"/>
  <c r="BK94" i="18" s="1"/>
  <c r="AQ95" i="18"/>
  <c r="AR95" i="18" s="1"/>
  <c r="BJ95" i="18"/>
  <c r="AQ96" i="18"/>
  <c r="AS96" i="18" s="1"/>
  <c r="BJ96" i="18"/>
  <c r="BK96" i="18" s="1"/>
  <c r="AQ97" i="18"/>
  <c r="AR97" i="18" s="1"/>
  <c r="BJ97" i="18"/>
  <c r="AQ98" i="18"/>
  <c r="AR98" i="18" s="1"/>
  <c r="BJ98" i="18"/>
  <c r="BK98" i="18" s="1"/>
  <c r="AQ99" i="18"/>
  <c r="AR99" i="18" s="1"/>
  <c r="BJ99" i="18"/>
  <c r="AQ100" i="18"/>
  <c r="AS100" i="18" s="1"/>
  <c r="BJ100" i="18"/>
  <c r="BL100" i="18" s="1"/>
  <c r="AQ101" i="18"/>
  <c r="AR101" i="18" s="1"/>
  <c r="BJ101" i="18"/>
  <c r="BK101" i="18" s="1"/>
  <c r="AQ102" i="18"/>
  <c r="AR102" i="18" s="1"/>
  <c r="BJ102" i="18"/>
  <c r="BK102" i="18" s="1"/>
  <c r="AQ103" i="18"/>
  <c r="AR103" i="18" s="1"/>
  <c r="BJ103" i="18"/>
  <c r="BK103" i="18" s="1"/>
  <c r="AQ104" i="18"/>
  <c r="AR104" i="18" s="1"/>
  <c r="BJ104" i="18"/>
  <c r="BK104" i="18" s="1"/>
  <c r="AQ105" i="18"/>
  <c r="AR105" i="18" s="1"/>
  <c r="BJ105" i="18"/>
  <c r="AQ106" i="18"/>
  <c r="AR106" i="18" s="1"/>
  <c r="BJ106" i="18"/>
  <c r="BK106" i="18" s="1"/>
  <c r="AQ107" i="18"/>
  <c r="AR107" i="18" s="1"/>
  <c r="BJ107" i="18"/>
  <c r="AQ108" i="18"/>
  <c r="AR108" i="18" s="1"/>
  <c r="BJ108" i="18"/>
  <c r="BL108" i="18" s="1"/>
  <c r="AQ109" i="18"/>
  <c r="AS109" i="18" s="1"/>
  <c r="BJ109" i="18"/>
  <c r="BK109" i="18" s="1"/>
  <c r="AQ110" i="18"/>
  <c r="AR110" i="18" s="1"/>
  <c r="BJ110" i="18"/>
  <c r="BK110" i="18" s="1"/>
  <c r="AQ111" i="18"/>
  <c r="AS111" i="18" s="1"/>
  <c r="BJ111" i="18"/>
  <c r="AQ112" i="18"/>
  <c r="AR112" i="18" s="1"/>
  <c r="BJ112" i="18"/>
  <c r="BK112" i="18" s="1"/>
  <c r="AQ113" i="18"/>
  <c r="BJ113" i="18"/>
  <c r="BK113" i="18" s="1"/>
  <c r="BJ114" i="18"/>
  <c r="BK114" i="18" s="1"/>
  <c r="AQ115" i="18"/>
  <c r="AR115" i="18" s="1"/>
  <c r="BJ115" i="18"/>
  <c r="AQ116" i="18"/>
  <c r="BJ116" i="18"/>
  <c r="BK116" i="18" s="1"/>
  <c r="AQ117" i="18"/>
  <c r="BJ117" i="18"/>
  <c r="BK117" i="18" s="1"/>
  <c r="AQ118" i="18"/>
  <c r="BJ118" i="18"/>
  <c r="BL118" i="18" s="1"/>
  <c r="AQ119" i="18"/>
  <c r="BJ119" i="18"/>
  <c r="BL119" i="18" s="1"/>
  <c r="AQ120" i="18"/>
  <c r="BJ120" i="18"/>
  <c r="BK120" i="18" s="1"/>
  <c r="AQ121" i="18"/>
  <c r="AR121" i="18" s="1"/>
  <c r="BJ121" i="18"/>
  <c r="BL121" i="18" s="1"/>
  <c r="BJ122" i="18"/>
  <c r="BK122" i="18" s="1"/>
  <c r="AQ123" i="18"/>
  <c r="AS123" i="18" s="1"/>
  <c r="BJ123" i="18"/>
  <c r="BK123" i="18" s="1"/>
  <c r="AQ124" i="18"/>
  <c r="AR124" i="18" s="1"/>
  <c r="BJ124" i="18"/>
  <c r="BK124" i="18" s="1"/>
  <c r="AQ125" i="18"/>
  <c r="BJ125" i="18"/>
  <c r="BL125" i="18" s="1"/>
  <c r="BJ126" i="18"/>
  <c r="BL126" i="18" s="1"/>
  <c r="AQ127" i="18"/>
  <c r="AR127" i="18" s="1"/>
  <c r="BJ127" i="18"/>
  <c r="BK127" i="18" s="1"/>
  <c r="AQ128" i="18"/>
  <c r="BJ128" i="18"/>
  <c r="BL128" i="18" s="1"/>
  <c r="AQ129" i="18"/>
  <c r="BJ129" i="18"/>
  <c r="BL129" i="18" s="1"/>
  <c r="AQ130" i="18"/>
  <c r="AR130" i="18" s="1"/>
  <c r="BJ130" i="18"/>
  <c r="BK130" i="18" s="1"/>
  <c r="AQ131" i="18"/>
  <c r="BJ131" i="18"/>
  <c r="BK131" i="18" s="1"/>
  <c r="AQ132" i="18"/>
  <c r="AR132" i="18" s="1"/>
  <c r="BJ132" i="18"/>
  <c r="BK132" i="18" s="1"/>
  <c r="AQ133" i="18"/>
  <c r="BJ133" i="18"/>
  <c r="AQ134" i="18"/>
  <c r="BJ134" i="18"/>
  <c r="BK134" i="18" s="1"/>
  <c r="AQ135" i="18"/>
  <c r="AR135" i="18" s="1"/>
  <c r="BJ135" i="18"/>
  <c r="BK135" i="18" s="1"/>
  <c r="AQ136" i="18"/>
  <c r="AR136" i="18" s="1"/>
  <c r="BJ136" i="18"/>
  <c r="AQ137" i="18"/>
  <c r="BJ137" i="18"/>
  <c r="BK137" i="18" s="1"/>
  <c r="AQ138" i="18"/>
  <c r="AS138" i="18" s="1"/>
  <c r="BJ138" i="18"/>
  <c r="AQ139" i="18"/>
  <c r="AS139" i="18" s="1"/>
  <c r="BJ139" i="18"/>
  <c r="BK139" i="18" s="1"/>
  <c r="AQ140" i="18"/>
  <c r="AS140" i="18" s="1"/>
  <c r="BJ140" i="18"/>
  <c r="AQ141" i="18"/>
  <c r="AR141" i="18" s="1"/>
  <c r="BJ141" i="18"/>
  <c r="BK141" i="18" s="1"/>
  <c r="AQ142" i="18"/>
  <c r="AS142" i="18" s="1"/>
  <c r="BJ142" i="18"/>
  <c r="BK142" i="18" s="1"/>
  <c r="AQ143" i="18"/>
  <c r="BJ143" i="18"/>
  <c r="BK143" i="18" s="1"/>
  <c r="BJ144" i="18"/>
  <c r="BK144" i="18" s="1"/>
  <c r="AQ145" i="18"/>
  <c r="BJ145" i="18"/>
  <c r="AQ146" i="18"/>
  <c r="AS146" i="18" s="1"/>
  <c r="BJ146" i="18"/>
  <c r="BL146" i="18" s="1"/>
  <c r="AQ147" i="18"/>
  <c r="BJ147" i="18"/>
  <c r="BK147" i="18" s="1"/>
  <c r="AQ148" i="18"/>
  <c r="AS148" i="18" s="1"/>
  <c r="BJ148" i="18"/>
  <c r="BK148" i="18" s="1"/>
  <c r="AQ149" i="18"/>
  <c r="AR149" i="18" s="1"/>
  <c r="BJ149" i="18"/>
  <c r="BL149" i="18" s="1"/>
  <c r="AQ150" i="18"/>
  <c r="AR150" i="18" s="1"/>
  <c r="BJ150" i="18"/>
  <c r="BK150" i="18" s="1"/>
  <c r="AQ151" i="18"/>
  <c r="AR151" i="18" s="1"/>
  <c r="BJ151" i="18"/>
  <c r="AQ152" i="18"/>
  <c r="AS152" i="18" s="1"/>
  <c r="BJ152" i="18"/>
  <c r="BK152" i="18" s="1"/>
  <c r="AQ153" i="18"/>
  <c r="AR153" i="18" s="1"/>
  <c r="BJ153" i="18"/>
  <c r="BK153" i="18" s="1"/>
  <c r="AQ154" i="18"/>
  <c r="AS154" i="18" s="1"/>
  <c r="BJ154" i="18"/>
  <c r="BK154" i="18" s="1"/>
  <c r="AQ155" i="18"/>
  <c r="BJ155" i="18"/>
  <c r="AQ156" i="18"/>
  <c r="AR156" i="18" s="1"/>
  <c r="BJ156" i="18"/>
  <c r="BL156" i="18" s="1"/>
  <c r="AQ157" i="18"/>
  <c r="AR157" i="18" s="1"/>
  <c r="BJ157" i="18"/>
  <c r="BK157" i="18" s="1"/>
  <c r="AQ158" i="18"/>
  <c r="AR158" i="18" s="1"/>
  <c r="BJ158" i="18"/>
  <c r="BK158" i="18" s="1"/>
  <c r="AQ159" i="18"/>
  <c r="AS159" i="18" s="1"/>
  <c r="BJ159" i="18"/>
  <c r="BK159" i="18" s="1"/>
  <c r="AQ160" i="18"/>
  <c r="AR160" i="18" s="1"/>
  <c r="BJ160" i="18"/>
  <c r="BK160" i="18" s="1"/>
  <c r="AQ161" i="18"/>
  <c r="BJ161" i="18"/>
  <c r="BL161" i="18" s="1"/>
  <c r="AQ162" i="18"/>
  <c r="AR162" i="18" s="1"/>
  <c r="BJ162" i="18"/>
  <c r="BK162" i="18" s="1"/>
  <c r="AQ163" i="18"/>
  <c r="BJ163" i="18"/>
  <c r="AQ164" i="18"/>
  <c r="AR164" i="18" s="1"/>
  <c r="BJ164" i="18"/>
  <c r="BK164" i="18" s="1"/>
  <c r="AQ165" i="18"/>
  <c r="AR165" i="18" s="1"/>
  <c r="BJ165" i="18"/>
  <c r="AQ166" i="18"/>
  <c r="AS166" i="18" s="1"/>
  <c r="BJ166" i="18"/>
  <c r="BL166" i="18" s="1"/>
  <c r="AQ167" i="18"/>
  <c r="BJ167" i="18"/>
  <c r="BK167" i="18" s="1"/>
  <c r="AQ168" i="18"/>
  <c r="AR168" i="18" s="1"/>
  <c r="BJ168" i="18"/>
  <c r="AQ169" i="18"/>
  <c r="AR169" i="18" s="1"/>
  <c r="BJ169" i="18"/>
  <c r="BK169" i="18" s="1"/>
  <c r="AQ170" i="18"/>
  <c r="AS170" i="18" s="1"/>
  <c r="BJ170" i="18"/>
  <c r="BK170" i="18" s="1"/>
  <c r="AQ171" i="18"/>
  <c r="AR171" i="18" s="1"/>
  <c r="BJ171" i="18"/>
  <c r="BK171" i="18" s="1"/>
  <c r="AQ172" i="18"/>
  <c r="AS172" i="18" s="1"/>
  <c r="BJ172" i="18"/>
  <c r="BK172" i="18" s="1"/>
  <c r="AQ173" i="18"/>
  <c r="AS173" i="18" s="1"/>
  <c r="BJ173" i="18"/>
  <c r="BK173" i="18" s="1"/>
  <c r="AQ174" i="18"/>
  <c r="AS174" i="18" s="1"/>
  <c r="BJ174" i="18"/>
  <c r="BL174" i="18" s="1"/>
  <c r="AQ175" i="18"/>
  <c r="BJ175" i="18"/>
  <c r="BK175" i="18" s="1"/>
  <c r="AQ176" i="18"/>
  <c r="AS176" i="18" s="1"/>
  <c r="BJ176" i="18"/>
  <c r="BL176" i="18" s="1"/>
  <c r="AQ177" i="18"/>
  <c r="AR177" i="18" s="1"/>
  <c r="BJ177" i="18"/>
  <c r="BK177" i="18" s="1"/>
  <c r="AQ178" i="18"/>
  <c r="AS178" i="18" s="1"/>
  <c r="BJ178" i="18"/>
  <c r="BK178" i="18" s="1"/>
  <c r="AQ179" i="18"/>
  <c r="AR179" i="18" s="1"/>
  <c r="BJ179" i="18"/>
  <c r="BK179" i="18" s="1"/>
  <c r="AQ180" i="18"/>
  <c r="BJ180" i="18"/>
  <c r="BL180" i="18" s="1"/>
  <c r="AQ181" i="18"/>
  <c r="AR181" i="18" s="1"/>
  <c r="BJ181" i="18"/>
  <c r="BK181" i="18" s="1"/>
  <c r="AQ182" i="18"/>
  <c r="AS182" i="18" s="1"/>
  <c r="BC182" i="18"/>
  <c r="BJ182" i="18" s="1"/>
  <c r="BK182" i="18" s="1"/>
  <c r="AQ183" i="18"/>
  <c r="BJ183" i="18"/>
  <c r="BL183" i="18" s="1"/>
  <c r="AQ184" i="18"/>
  <c r="AR184" i="18" s="1"/>
  <c r="BJ184" i="18"/>
  <c r="BL184" i="18" s="1"/>
  <c r="AQ185" i="18"/>
  <c r="AR185" i="18" s="1"/>
  <c r="BJ185" i="18"/>
  <c r="AQ186" i="18"/>
  <c r="AR186" i="18" s="1"/>
  <c r="BJ186" i="18"/>
  <c r="BL186" i="18" s="1"/>
  <c r="AQ187" i="18"/>
  <c r="BJ187" i="18"/>
  <c r="BK187" i="18" s="1"/>
  <c r="AQ188" i="18"/>
  <c r="AR188" i="18" s="1"/>
  <c r="BJ188" i="18"/>
  <c r="BL188" i="18" s="1"/>
  <c r="AQ189" i="18"/>
  <c r="AR189" i="18" s="1"/>
  <c r="BJ189" i="18"/>
  <c r="AQ190" i="18"/>
  <c r="AR190" i="18" s="1"/>
  <c r="AQ191" i="18"/>
  <c r="AS191" i="18" s="1"/>
  <c r="BJ191" i="18"/>
  <c r="BK191" i="18" s="1"/>
  <c r="AQ192" i="18"/>
  <c r="AR192" i="18" s="1"/>
  <c r="BJ192" i="18"/>
  <c r="BL192" i="18" s="1"/>
  <c r="AQ193" i="18"/>
  <c r="AS193" i="18" s="1"/>
  <c r="BJ193" i="18"/>
  <c r="BK193" i="18" s="1"/>
  <c r="AQ194" i="18"/>
  <c r="AR194" i="18" s="1"/>
  <c r="BJ194" i="18"/>
  <c r="BK194" i="18" s="1"/>
  <c r="AQ195" i="18"/>
  <c r="AR195" i="18" s="1"/>
  <c r="BJ195" i="18"/>
  <c r="AQ196" i="18"/>
  <c r="BJ196" i="18"/>
  <c r="BK196" i="18" s="1"/>
  <c r="AQ197" i="18"/>
  <c r="AR197" i="18" s="1"/>
  <c r="BJ197" i="18"/>
  <c r="AQ198" i="18"/>
  <c r="BJ198" i="18"/>
  <c r="BL198" i="18" s="1"/>
  <c r="AQ199" i="18"/>
  <c r="AS199" i="18" s="1"/>
  <c r="BJ199" i="18"/>
  <c r="BJ200" i="18"/>
  <c r="AQ201" i="18"/>
  <c r="AS201" i="18" s="1"/>
  <c r="BJ201" i="18"/>
  <c r="AQ202" i="18"/>
  <c r="AR202" i="18" s="1"/>
  <c r="BJ202" i="18"/>
  <c r="BL202" i="18" s="1"/>
  <c r="AQ203" i="18"/>
  <c r="AS203" i="18" s="1"/>
  <c r="BJ203" i="18"/>
  <c r="BL203" i="18" s="1"/>
  <c r="AQ204" i="18"/>
  <c r="AR204" i="18" s="1"/>
  <c r="BJ204" i="18"/>
  <c r="BL204" i="18" s="1"/>
  <c r="AQ205" i="18"/>
  <c r="AS205" i="18" s="1"/>
  <c r="BJ205" i="18"/>
  <c r="BK205" i="18" s="1"/>
  <c r="AQ206" i="18"/>
  <c r="BJ206" i="18"/>
  <c r="AQ207" i="18"/>
  <c r="AR207" i="18" s="1"/>
  <c r="BJ207" i="18"/>
  <c r="J208" i="18"/>
  <c r="K208" i="18"/>
  <c r="AE208" i="18"/>
  <c r="AF208" i="18"/>
  <c r="AG208" i="18"/>
  <c r="AH208" i="18"/>
  <c r="AI208" i="18"/>
  <c r="AJ208" i="18"/>
  <c r="AK208" i="18"/>
  <c r="AL208" i="18"/>
  <c r="AM208" i="18"/>
  <c r="AN208" i="18"/>
  <c r="AO208" i="18"/>
  <c r="AP208" i="18"/>
  <c r="AW208" i="18"/>
  <c r="AX208" i="18"/>
  <c r="AY208" i="18"/>
  <c r="AZ208" i="18"/>
  <c r="AP45" i="16"/>
  <c r="AQ45" i="16"/>
  <c r="AU45" i="16"/>
  <c r="AV45" i="16"/>
  <c r="F2" i="6"/>
  <c r="F3" i="6"/>
  <c r="F4" i="6"/>
  <c r="F5" i="6"/>
  <c r="F6" i="6"/>
  <c r="F8" i="6"/>
  <c r="F9" i="6"/>
  <c r="F10" i="6"/>
  <c r="F11" i="6"/>
  <c r="H12" i="6"/>
  <c r="F13" i="6"/>
  <c r="H14" i="6"/>
  <c r="F15" i="6"/>
  <c r="H16" i="6"/>
  <c r="F17" i="6"/>
  <c r="H18" i="6"/>
  <c r="F20" i="6"/>
  <c r="F21" i="6"/>
  <c r="F22" i="6"/>
  <c r="F24" i="6"/>
  <c r="F25" i="6"/>
  <c r="F27" i="6"/>
  <c r="H28" i="6"/>
  <c r="H29" i="6"/>
  <c r="H30" i="6"/>
  <c r="K11" i="6" s="1"/>
  <c r="M11" i="6" s="1"/>
  <c r="H31" i="6"/>
  <c r="K12" i="6" s="1"/>
  <c r="M12" i="6" s="1"/>
  <c r="F33" i="6"/>
  <c r="H34" i="6"/>
  <c r="F35" i="6"/>
  <c r="F36" i="6"/>
  <c r="F37" i="6"/>
  <c r="F38" i="6"/>
  <c r="F39" i="6"/>
  <c r="F40" i="6"/>
  <c r="F41" i="6"/>
  <c r="H41" i="6"/>
  <c r="F42" i="6"/>
  <c r="H42" i="6"/>
  <c r="F43" i="6"/>
  <c r="H43" i="6"/>
  <c r="K18" i="6" s="1"/>
  <c r="M18" i="6" s="1"/>
  <c r="H2" i="7"/>
  <c r="F3" i="7"/>
  <c r="H4" i="7"/>
  <c r="F5" i="7"/>
  <c r="F6" i="7"/>
  <c r="F7" i="7"/>
  <c r="H9" i="7"/>
  <c r="H10" i="7"/>
  <c r="H11" i="7"/>
  <c r="K5" i="7" s="1"/>
  <c r="M5" i="7" s="1"/>
  <c r="H12" i="7"/>
  <c r="F13" i="7"/>
  <c r="H14" i="7"/>
  <c r="H15" i="7"/>
  <c r="F16" i="7"/>
  <c r="H17" i="7"/>
  <c r="H18" i="7"/>
  <c r="H19" i="7"/>
  <c r="F20" i="7"/>
  <c r="F21" i="7"/>
  <c r="F22" i="7"/>
  <c r="H23" i="7"/>
  <c r="F25" i="7"/>
  <c r="F26" i="7"/>
  <c r="H27" i="7"/>
  <c r="F28" i="7"/>
  <c r="F29" i="7"/>
  <c r="H30" i="7"/>
  <c r="K11" i="7" s="1"/>
  <c r="M11" i="7" s="1"/>
  <c r="F31" i="7"/>
  <c r="H32" i="7"/>
  <c r="H33" i="7"/>
  <c r="F34" i="7"/>
  <c r="F35" i="7"/>
  <c r="F37" i="7"/>
  <c r="F38" i="7"/>
  <c r="F39" i="7"/>
  <c r="F40" i="7"/>
  <c r="H41" i="7"/>
  <c r="H42" i="7"/>
  <c r="H43" i="7"/>
  <c r="K18" i="7" s="1"/>
  <c r="M18" i="7" s="1"/>
  <c r="H35" i="6"/>
  <c r="K14" i="6" s="1"/>
  <c r="M14" i="6" s="1"/>
  <c r="H4" i="6"/>
  <c r="F2" i="7"/>
  <c r="H8" i="6"/>
  <c r="H2" i="6"/>
  <c r="H5" i="7"/>
  <c r="H6" i="6"/>
  <c r="H6" i="7"/>
  <c r="H21" i="6"/>
  <c r="H3" i="6"/>
  <c r="H5" i="6"/>
  <c r="H13" i="6"/>
  <c r="H15" i="6"/>
  <c r="AS89" i="18"/>
  <c r="AS18" i="18"/>
  <c r="AR85" i="18"/>
  <c r="AS9" i="18"/>
  <c r="BL32" i="18"/>
  <c r="AS16" i="18"/>
  <c r="AS61" i="18"/>
  <c r="AR79" i="18"/>
  <c r="AS19" i="18"/>
  <c r="AR109" i="18"/>
  <c r="BL48" i="18"/>
  <c r="AS24" i="18"/>
  <c r="AS168" i="18"/>
  <c r="AS93" i="18"/>
  <c r="AS171" i="18"/>
  <c r="BK184" i="18"/>
  <c r="AS185" i="18"/>
  <c r="AS68" i="18"/>
  <c r="BL153" i="18"/>
  <c r="AR66" i="18"/>
  <c r="BL58" i="18"/>
  <c r="AS204" i="18"/>
  <c r="AS8" i="18"/>
  <c r="AS59" i="18"/>
  <c r="BK73" i="18"/>
  <c r="BL113" i="18"/>
  <c r="AS135" i="18"/>
  <c r="AS43" i="18"/>
  <c r="BL157" i="18"/>
  <c r="AS31" i="18"/>
  <c r="AS35" i="18"/>
  <c r="BK108" i="18"/>
  <c r="AS45" i="18"/>
  <c r="AR142" i="18"/>
  <c r="BL61" i="18"/>
  <c r="AS127" i="18"/>
  <c r="AS56" i="18"/>
  <c r="BK81" i="18"/>
  <c r="AR178" i="18"/>
  <c r="AS10" i="18"/>
  <c r="AS104" i="18"/>
  <c r="BL54" i="18"/>
  <c r="AS202" i="18"/>
  <c r="BL15" i="18"/>
  <c r="BL43" i="18"/>
  <c r="AR77" i="18"/>
  <c r="AS179" i="18"/>
  <c r="AS181" i="18"/>
  <c r="BL53" i="18"/>
  <c r="AS20" i="18"/>
  <c r="BL21" i="18"/>
  <c r="AS15" i="18"/>
  <c r="BL13" i="18"/>
  <c r="BL14" i="18"/>
  <c r="AS63" i="18"/>
  <c r="BK11" i="18"/>
  <c r="BL206" i="18"/>
  <c r="BK206" i="18"/>
  <c r="BL200" i="18"/>
  <c r="BK200" i="18"/>
  <c r="BK183" i="18"/>
  <c r="BK165" i="18"/>
  <c r="BL165" i="18"/>
  <c r="BK151" i="18"/>
  <c r="BL151" i="18"/>
  <c r="BK146" i="18"/>
  <c r="BK145" i="18"/>
  <c r="BL145" i="18"/>
  <c r="AR143" i="18"/>
  <c r="AS143" i="18"/>
  <c r="AS141" i="18"/>
  <c r="AS136" i="18"/>
  <c r="AR133" i="18"/>
  <c r="AS133" i="18"/>
  <c r="AR129" i="18"/>
  <c r="AS129" i="18"/>
  <c r="AR116" i="18"/>
  <c r="AS116" i="18"/>
  <c r="BL109" i="18"/>
  <c r="BK99" i="18"/>
  <c r="BL99" i="18"/>
  <c r="BL98" i="18"/>
  <c r="BK83" i="18"/>
  <c r="BK77" i="18"/>
  <c r="BL77" i="18"/>
  <c r="AR58" i="18"/>
  <c r="AR40" i="18"/>
  <c r="AR38" i="18"/>
  <c r="BL4" i="18"/>
  <c r="BL20" i="18"/>
  <c r="AS192" i="18"/>
  <c r="BL60" i="18"/>
  <c r="BL167" i="18"/>
  <c r="AS29" i="18"/>
  <c r="BL94" i="18"/>
  <c r="AS121" i="18"/>
  <c r="AS51" i="18"/>
  <c r="BL158" i="18"/>
  <c r="AR47" i="18"/>
  <c r="AS115" i="18"/>
  <c r="AS33" i="18"/>
  <c r="AS37" i="18"/>
  <c r="BL122" i="18"/>
  <c r="BL103" i="18"/>
  <c r="AS194" i="18"/>
  <c r="BL91" i="18"/>
  <c r="BL147" i="18"/>
  <c r="BL93" i="18"/>
  <c r="BL124" i="18"/>
  <c r="BL101" i="18"/>
  <c r="AR183" i="18"/>
  <c r="AS183" i="18"/>
  <c r="AR182" i="18"/>
  <c r="AR173" i="18"/>
  <c r="AS164" i="18"/>
  <c r="BK121" i="18"/>
  <c r="AR100" i="18"/>
  <c r="AS99" i="18"/>
  <c r="AR91" i="18"/>
  <c r="AS91" i="18"/>
  <c r="AR87" i="18"/>
  <c r="AS83" i="18"/>
  <c r="AR83" i="18"/>
  <c r="AS81" i="18"/>
  <c r="AR81" i="18"/>
  <c r="AS73" i="18"/>
  <c r="AR73" i="18"/>
  <c r="AR71" i="18"/>
  <c r="AS69" i="18"/>
  <c r="AS62" i="18"/>
  <c r="BK51" i="18"/>
  <c r="BL51" i="18"/>
  <c r="BK42" i="18"/>
  <c r="BK41" i="18"/>
  <c r="BL40" i="18"/>
  <c r="BL39" i="18"/>
  <c r="BK34" i="18"/>
  <c r="BL182" i="18"/>
  <c r="BL191" i="18"/>
  <c r="BL173" i="18"/>
  <c r="AS190" i="18"/>
  <c r="BL134" i="18"/>
  <c r="BK119" i="18"/>
  <c r="BL177" i="18"/>
  <c r="AS95" i="18"/>
  <c r="AS107" i="18"/>
  <c r="AS160" i="18"/>
  <c r="AS48" i="18"/>
  <c r="AS30" i="18"/>
  <c r="AR28" i="18"/>
  <c r="BK195" i="18"/>
  <c r="BL195" i="18"/>
  <c r="AR187" i="18"/>
  <c r="AS187" i="18"/>
  <c r="BK174" i="18"/>
  <c r="AR161" i="18"/>
  <c r="AS161" i="18"/>
  <c r="AR159" i="18"/>
  <c r="AS158" i="18"/>
  <c r="AR155" i="18"/>
  <c r="AS155" i="18"/>
  <c r="AR152" i="18"/>
  <c r="AR147" i="18"/>
  <c r="AS147" i="18"/>
  <c r="AR146" i="18"/>
  <c r="AR145" i="18"/>
  <c r="AS145" i="18"/>
  <c r="BL141" i="18"/>
  <c r="BK140" i="18"/>
  <c r="BL140" i="18"/>
  <c r="BL139" i="18"/>
  <c r="BL138" i="18"/>
  <c r="BK138" i="18"/>
  <c r="BK136" i="18"/>
  <c r="BL136" i="18"/>
  <c r="BK126" i="18"/>
  <c r="BL120" i="18"/>
  <c r="BK115" i="18"/>
  <c r="BL115" i="18"/>
  <c r="AR113" i="18"/>
  <c r="AS113" i="18"/>
  <c r="AS110" i="18"/>
  <c r="BL25" i="18"/>
  <c r="BK23" i="18"/>
  <c r="BL23" i="18"/>
  <c r="BK19" i="18"/>
  <c r="BL19" i="18"/>
  <c r="BK17" i="18"/>
  <c r="BL17" i="18"/>
  <c r="BL143" i="18"/>
  <c r="BL169" i="18"/>
  <c r="BL193" i="18"/>
  <c r="BL130" i="18"/>
  <c r="AS27" i="18"/>
  <c r="AS157" i="18"/>
  <c r="AS153" i="18"/>
  <c r="BL117" i="18"/>
  <c r="AR111" i="18"/>
  <c r="AS112" i="18"/>
  <c r="AS149" i="18"/>
  <c r="AS124" i="18"/>
  <c r="BL175" i="18"/>
  <c r="BL179" i="18"/>
  <c r="BL132" i="18"/>
  <c r="AS151" i="18"/>
  <c r="BL110" i="18"/>
  <c r="BK107" i="18"/>
  <c r="BL107" i="18"/>
  <c r="BL106" i="18"/>
  <c r="BK97" i="18"/>
  <c r="BL97" i="18"/>
  <c r="BK95" i="18"/>
  <c r="BL95" i="18"/>
  <c r="BK89" i="18"/>
  <c r="BL89" i="18"/>
  <c r="BK87" i="18"/>
  <c r="BL87" i="18"/>
  <c r="BL85" i="18"/>
  <c r="BK85" i="18"/>
  <c r="BL84" i="18"/>
  <c r="BK80" i="18"/>
  <c r="BK79" i="18"/>
  <c r="BL79" i="18"/>
  <c r="BK75" i="18"/>
  <c r="BL75" i="18"/>
  <c r="BL72" i="18"/>
  <c r="BK71" i="18"/>
  <c r="BL71" i="18"/>
  <c r="BK69" i="18"/>
  <c r="BL69" i="18"/>
  <c r="BL67" i="18"/>
  <c r="BK67" i="18"/>
  <c r="BK64" i="18"/>
  <c r="BL64" i="18"/>
  <c r="BL62" i="18"/>
  <c r="BK28" i="18"/>
  <c r="BL28" i="18"/>
  <c r="AR6" i="18"/>
  <c r="AS6" i="18"/>
  <c r="AR5" i="18"/>
  <c r="AS5" i="18"/>
  <c r="AR3" i="18"/>
  <c r="BA208" i="18"/>
  <c r="BJ190" i="18"/>
  <c r="BL190" i="18" s="1"/>
  <c r="BL6" i="18"/>
  <c r="BL26" i="18"/>
  <c r="AS207" i="18"/>
  <c r="BL154" i="18"/>
  <c r="BK128" i="18"/>
  <c r="AS197" i="18"/>
  <c r="AN168" i="19"/>
  <c r="AS93" i="19"/>
  <c r="F17" i="7"/>
  <c r="AO147" i="19"/>
  <c r="AO168" i="19" s="1"/>
  <c r="H17" i="6"/>
  <c r="H25" i="6"/>
  <c r="H40" i="7"/>
  <c r="F7" i="6"/>
  <c r="H7" i="6"/>
  <c r="H9" i="6"/>
  <c r="BD208" i="18"/>
  <c r="H34" i="7"/>
  <c r="F18" i="6"/>
  <c r="F14" i="6"/>
  <c r="F12" i="6"/>
  <c r="F31" i="6"/>
  <c r="F28" i="6"/>
  <c r="BC208" i="18"/>
  <c r="H24" i="6"/>
  <c r="F33" i="7"/>
  <c r="H21" i="7"/>
  <c r="F18" i="7"/>
  <c r="H39" i="6"/>
  <c r="K16" i="6" s="1"/>
  <c r="M16" i="6" s="1"/>
  <c r="AR45" i="16"/>
  <c r="AW45" i="16"/>
  <c r="BK30" i="18"/>
  <c r="BL30" i="18"/>
  <c r="BG208" i="18"/>
  <c r="BJ49" i="18"/>
  <c r="BL49" i="18" s="1"/>
  <c r="F30" i="6"/>
  <c r="H26" i="6"/>
  <c r="F26" i="6"/>
  <c r="F32" i="6"/>
  <c r="H32" i="6"/>
  <c r="F23" i="6"/>
  <c r="H23" i="6"/>
  <c r="H19" i="6"/>
  <c r="F19" i="6"/>
  <c r="H20" i="6"/>
  <c r="H36" i="6"/>
  <c r="H22" i="6"/>
  <c r="F34" i="6"/>
  <c r="F16" i="6"/>
  <c r="H10" i="6"/>
  <c r="H27" i="6"/>
  <c r="H11" i="6"/>
  <c r="K5" i="6" s="1"/>
  <c r="M5" i="6" s="1"/>
  <c r="H33" i="6"/>
  <c r="F29" i="6"/>
  <c r="AS165" i="19"/>
  <c r="K10" i="6"/>
  <c r="M10" i="6" s="1"/>
  <c r="F11" i="7"/>
  <c r="F10" i="7"/>
  <c r="F9" i="7"/>
  <c r="H38" i="6"/>
  <c r="H37" i="6"/>
  <c r="F43" i="7"/>
  <c r="H29" i="7"/>
  <c r="F23" i="7"/>
  <c r="H40" i="6"/>
  <c r="F14" i="7"/>
  <c r="H31" i="7"/>
  <c r="K12" i="7" s="1"/>
  <c r="M12" i="7" s="1"/>
  <c r="F42" i="7"/>
  <c r="F27" i="7"/>
  <c r="H37" i="7"/>
  <c r="F32" i="7"/>
  <c r="H35" i="7"/>
  <c r="K14" i="7" s="1"/>
  <c r="M14" i="7" s="1"/>
  <c r="H7" i="7"/>
  <c r="F41" i="7"/>
  <c r="AS65" i="19"/>
  <c r="AS121" i="19"/>
  <c r="AS47" i="19"/>
  <c r="AR142" i="19"/>
  <c r="AS96" i="19"/>
  <c r="AS76" i="19" l="1"/>
  <c r="AR76" i="19"/>
  <c r="BK56" i="18"/>
  <c r="BL56" i="18"/>
  <c r="BK66" i="18"/>
  <c r="BL66" i="18"/>
  <c r="AZ168" i="19"/>
  <c r="BK133" i="19"/>
  <c r="BL101" i="19"/>
  <c r="BM101" i="19"/>
  <c r="AQ38" i="23"/>
  <c r="AT38" i="23"/>
  <c r="AS109" i="19"/>
  <c r="AR50" i="19"/>
  <c r="AX50" i="19" s="1"/>
  <c r="BF208" i="18"/>
  <c r="BF212" i="18" s="1"/>
  <c r="AR176" i="18"/>
  <c r="BK198" i="18"/>
  <c r="AR205" i="18"/>
  <c r="AR123" i="18"/>
  <c r="BL3" i="18"/>
  <c r="BL24" i="18"/>
  <c r="AS186" i="18"/>
  <c r="AS188" i="18"/>
  <c r="BL196" i="18"/>
  <c r="AS150" i="18"/>
  <c r="BL33" i="18"/>
  <c r="AS98" i="18"/>
  <c r="AR166" i="18"/>
  <c r="BK5" i="18"/>
  <c r="AR172" i="18"/>
  <c r="AS72" i="18"/>
  <c r="AS50" i="18"/>
  <c r="AR174" i="18"/>
  <c r="AR74" i="18"/>
  <c r="BL59" i="18"/>
  <c r="BB208" i="18"/>
  <c r="BJ16" i="18"/>
  <c r="AR87" i="19"/>
  <c r="BM75" i="19"/>
  <c r="BL75" i="19"/>
  <c r="BL156" i="19"/>
  <c r="BM156" i="19"/>
  <c r="BL103" i="19"/>
  <c r="BM103" i="19"/>
  <c r="BM90" i="19"/>
  <c r="BL90" i="19"/>
  <c r="BL57" i="19"/>
  <c r="BM57" i="19"/>
  <c r="BM38" i="19"/>
  <c r="BL38" i="19"/>
  <c r="AH148" i="23"/>
  <c r="AT77" i="23"/>
  <c r="AQ77" i="23"/>
  <c r="AT37" i="23"/>
  <c r="AQ37" i="23"/>
  <c r="BM162" i="19"/>
  <c r="BL162" i="19"/>
  <c r="BL141" i="19"/>
  <c r="BM141" i="19"/>
  <c r="AQ143" i="23"/>
  <c r="AT143" i="23"/>
  <c r="AS100" i="19"/>
  <c r="AS41" i="19"/>
  <c r="AR203" i="18"/>
  <c r="BL63" i="18"/>
  <c r="BK118" i="18"/>
  <c r="BL116" i="18"/>
  <c r="BK129" i="18"/>
  <c r="AS21" i="18"/>
  <c r="BK47" i="18"/>
  <c r="BL31" i="18"/>
  <c r="AS106" i="18"/>
  <c r="AR201" i="18"/>
  <c r="AS70" i="18"/>
  <c r="AR14" i="18"/>
  <c r="BL27" i="18"/>
  <c r="AS102" i="18"/>
  <c r="BL35" i="18"/>
  <c r="BL45" i="18"/>
  <c r="BL9" i="18"/>
  <c r="AS130" i="19"/>
  <c r="BK56" i="19"/>
  <c r="BC168" i="19"/>
  <c r="BK155" i="19"/>
  <c r="BH168" i="19"/>
  <c r="BK31" i="19"/>
  <c r="AQ39" i="23"/>
  <c r="AT39" i="23"/>
  <c r="AZ42" i="16"/>
  <c r="AS42" i="16" s="1"/>
  <c r="AT42" i="16" s="1"/>
  <c r="AS139" i="23"/>
  <c r="AR139" i="23"/>
  <c r="AS133" i="19"/>
  <c r="AS79" i="19"/>
  <c r="AS184" i="18"/>
  <c r="BL137" i="18"/>
  <c r="BL114" i="18"/>
  <c r="BL131" i="18"/>
  <c r="AR148" i="18"/>
  <c r="AR21" i="18"/>
  <c r="AR54" i="18"/>
  <c r="AS162" i="18"/>
  <c r="BL127" i="18"/>
  <c r="AS86" i="18"/>
  <c r="BL7" i="18"/>
  <c r="AS108" i="18"/>
  <c r="BL29" i="18"/>
  <c r="AS88" i="18"/>
  <c r="AS90" i="18"/>
  <c r="BL123" i="19"/>
  <c r="BM123" i="19"/>
  <c r="BK32" i="19"/>
  <c r="BM136" i="19"/>
  <c r="BL136" i="19"/>
  <c r="AQ71" i="23"/>
  <c r="AT71" i="23"/>
  <c r="BM142" i="19"/>
  <c r="BL142" i="19"/>
  <c r="AT36" i="23"/>
  <c r="AQ36" i="23"/>
  <c r="AZ41" i="16"/>
  <c r="AS41" i="16" s="1"/>
  <c r="AT41" i="16" s="1"/>
  <c r="AR131" i="23"/>
  <c r="AS131" i="23"/>
  <c r="BL102" i="18"/>
  <c r="BK156" i="18"/>
  <c r="BL172" i="18"/>
  <c r="BK180" i="18"/>
  <c r="AR42" i="18"/>
  <c r="BL50" i="18"/>
  <c r="BL152" i="18"/>
  <c r="BL164" i="18"/>
  <c r="BL104" i="18"/>
  <c r="BK125" i="18"/>
  <c r="AS195" i="18"/>
  <c r="BL123" i="18"/>
  <c r="AR193" i="18"/>
  <c r="BK203" i="18"/>
  <c r="AS44" i="18"/>
  <c r="BK188" i="18"/>
  <c r="AS32" i="18"/>
  <c r="BL178" i="18"/>
  <c r="BL82" i="18"/>
  <c r="BL92" i="18"/>
  <c r="BK166" i="18"/>
  <c r="BK88" i="18"/>
  <c r="AS46" i="18"/>
  <c r="BL144" i="18"/>
  <c r="BL52" i="18"/>
  <c r="BL12" i="18"/>
  <c r="BL86" i="18"/>
  <c r="BL148" i="18"/>
  <c r="BK100" i="18"/>
  <c r="BL74" i="18"/>
  <c r="AR140" i="18"/>
  <c r="BL162" i="18"/>
  <c r="BL96" i="18"/>
  <c r="BL160" i="18"/>
  <c r="AR138" i="18"/>
  <c r="BK186" i="18"/>
  <c r="BL205" i="18"/>
  <c r="BL150" i="18"/>
  <c r="AS34" i="18"/>
  <c r="AR191" i="18"/>
  <c r="AR154" i="18"/>
  <c r="BK10" i="18"/>
  <c r="AR139" i="18"/>
  <c r="BL112" i="18"/>
  <c r="BL135" i="19"/>
  <c r="BM135" i="19"/>
  <c r="BL107" i="19"/>
  <c r="BM107" i="19"/>
  <c r="BM65" i="19"/>
  <c r="BL65" i="19"/>
  <c r="AS149" i="19"/>
  <c r="AR118" i="19"/>
  <c r="AS144" i="19"/>
  <c r="AS166" i="19"/>
  <c r="BL126" i="19"/>
  <c r="BM126" i="19"/>
  <c r="BL111" i="19"/>
  <c r="BM111" i="19"/>
  <c r="BM97" i="19"/>
  <c r="BL97" i="19"/>
  <c r="BL84" i="19"/>
  <c r="BM84" i="19"/>
  <c r="BL71" i="19"/>
  <c r="BM71" i="19"/>
  <c r="BL58" i="19"/>
  <c r="BM58" i="19"/>
  <c r="BL110" i="19"/>
  <c r="BM110" i="19"/>
  <c r="BL82" i="19"/>
  <c r="BM82" i="19"/>
  <c r="BL52" i="19"/>
  <c r="BM52" i="19"/>
  <c r="AR139" i="19"/>
  <c r="BL132" i="19"/>
  <c r="BM132" i="19"/>
  <c r="BM121" i="19"/>
  <c r="BL121" i="19"/>
  <c r="BM109" i="19"/>
  <c r="BL109" i="19"/>
  <c r="BL100" i="19"/>
  <c r="BM100" i="19"/>
  <c r="BL91" i="19"/>
  <c r="BM91" i="19"/>
  <c r="BL79" i="19"/>
  <c r="BM79" i="19"/>
  <c r="BL60" i="19"/>
  <c r="BM60" i="19"/>
  <c r="BM41" i="19"/>
  <c r="BL41" i="19"/>
  <c r="BL31" i="19"/>
  <c r="BM31" i="19"/>
  <c r="BL50" i="19"/>
  <c r="BM50" i="19"/>
  <c r="BL124" i="19"/>
  <c r="BM124" i="19"/>
  <c r="BL93" i="19"/>
  <c r="BM93" i="19"/>
  <c r="BL42" i="19"/>
  <c r="BM42" i="19"/>
  <c r="AS69" i="19"/>
  <c r="AS135" i="19"/>
  <c r="AR130" i="19"/>
  <c r="BL137" i="19"/>
  <c r="BM137" i="19"/>
  <c r="BM128" i="19"/>
  <c r="BL128" i="19"/>
  <c r="BL115" i="19"/>
  <c r="BM115" i="19"/>
  <c r="BL108" i="19"/>
  <c r="BM108" i="19"/>
  <c r="BL99" i="19"/>
  <c r="BM99" i="19"/>
  <c r="BL86" i="19"/>
  <c r="BM86" i="19"/>
  <c r="BM59" i="19"/>
  <c r="BL59" i="19"/>
  <c r="BL44" i="19"/>
  <c r="BM44" i="19"/>
  <c r="BL40" i="19"/>
  <c r="BM40" i="19"/>
  <c r="AS106" i="19"/>
  <c r="AR145" i="19"/>
  <c r="AR131" i="19"/>
  <c r="AR150" i="19"/>
  <c r="AR136" i="19"/>
  <c r="AS107" i="19"/>
  <c r="AS110" i="19"/>
  <c r="AR141" i="19"/>
  <c r="AS75" i="19"/>
  <c r="AS68" i="19"/>
  <c r="AS52" i="19"/>
  <c r="AS55" i="19"/>
  <c r="AS112" i="19"/>
  <c r="AS101" i="19"/>
  <c r="AR123" i="19"/>
  <c r="AS102" i="19"/>
  <c r="AS119" i="19"/>
  <c r="AR116" i="19"/>
  <c r="AR120" i="19"/>
  <c r="AS97" i="19"/>
  <c r="AS111" i="19"/>
  <c r="AR122" i="19"/>
  <c r="AR94" i="19"/>
  <c r="AS26" i="19"/>
  <c r="AS49" i="19"/>
  <c r="AS45" i="19"/>
  <c r="AS64" i="19"/>
  <c r="AR90" i="19"/>
  <c r="AS90" i="19"/>
  <c r="AR77" i="19"/>
  <c r="AS77" i="19"/>
  <c r="AP168" i="19"/>
  <c r="BA168" i="19"/>
  <c r="AD168" i="19"/>
  <c r="BD168" i="19"/>
  <c r="BI168" i="19"/>
  <c r="AS162" i="19"/>
  <c r="AS105" i="19"/>
  <c r="AS103" i="19"/>
  <c r="AS167" i="19"/>
  <c r="AS84" i="19"/>
  <c r="AR73" i="19"/>
  <c r="AS30" i="19"/>
  <c r="AS86" i="19"/>
  <c r="AS115" i="19"/>
  <c r="AS81" i="19"/>
  <c r="AS24" i="19"/>
  <c r="AS128" i="19"/>
  <c r="BB168" i="19"/>
  <c r="AS13" i="19"/>
  <c r="AS9" i="19"/>
  <c r="AS17" i="19"/>
  <c r="AS80" i="19"/>
  <c r="AS31" i="19"/>
  <c r="AS53" i="19"/>
  <c r="AS44" i="19"/>
  <c r="AR43" i="19"/>
  <c r="AX43" i="19" s="1"/>
  <c r="AS37" i="19"/>
  <c r="AS71" i="19"/>
  <c r="AR61" i="19"/>
  <c r="AS42" i="19"/>
  <c r="AS40" i="19"/>
  <c r="AS38" i="19"/>
  <c r="AS35" i="19"/>
  <c r="AS7" i="19"/>
  <c r="AR3" i="19"/>
  <c r="AS12" i="19"/>
  <c r="AS22" i="19"/>
  <c r="AS16" i="19"/>
  <c r="AS29" i="19"/>
  <c r="AS36" i="19"/>
  <c r="AS23" i="19"/>
  <c r="AS34" i="19"/>
  <c r="AJ148" i="23"/>
  <c r="BA3" i="16"/>
  <c r="AX3" i="16" s="1"/>
  <c r="AY3" i="16" s="1"/>
  <c r="AR3" i="23"/>
  <c r="BA37" i="16"/>
  <c r="AX37" i="16" s="1"/>
  <c r="AY37" i="16" s="1"/>
  <c r="BA32" i="16"/>
  <c r="AX32" i="16" s="1"/>
  <c r="AY32" i="16" s="1"/>
  <c r="BA16" i="16"/>
  <c r="AX16" i="16" s="1"/>
  <c r="AY16" i="16" s="1"/>
  <c r="BA26" i="16"/>
  <c r="AX26" i="16" s="1"/>
  <c r="AY26" i="16" s="1"/>
  <c r="AP148" i="23"/>
  <c r="AP150" i="23" s="1"/>
  <c r="BA39" i="16"/>
  <c r="AX39" i="16" s="1"/>
  <c r="AY39" i="16" s="1"/>
  <c r="BA29" i="16"/>
  <c r="AX29" i="16" s="1"/>
  <c r="AY29" i="16" s="1"/>
  <c r="BA8" i="16"/>
  <c r="AX8" i="16" s="1"/>
  <c r="AY8" i="16" s="1"/>
  <c r="AD148" i="23"/>
  <c r="BA14" i="16"/>
  <c r="AX14" i="16" s="1"/>
  <c r="AY14" i="16" s="1"/>
  <c r="BA34" i="16"/>
  <c r="AX34" i="16" s="1"/>
  <c r="AY34" i="16" s="1"/>
  <c r="BA23" i="16"/>
  <c r="AX23" i="16" s="1"/>
  <c r="AY23" i="16" s="1"/>
  <c r="BA5" i="16"/>
  <c r="AX5" i="16" s="1"/>
  <c r="AY5" i="16" s="1"/>
  <c r="BA19" i="16"/>
  <c r="AX19" i="16" s="1"/>
  <c r="AY19" i="16" s="1"/>
  <c r="BA20" i="16"/>
  <c r="AX20" i="16" s="1"/>
  <c r="AY20" i="16" s="1"/>
  <c r="BA27" i="16"/>
  <c r="AX27" i="16" s="1"/>
  <c r="AY27" i="16" s="1"/>
  <c r="BA41" i="16"/>
  <c r="AX41" i="16" s="1"/>
  <c r="AY41" i="16" s="1"/>
  <c r="BA10" i="16"/>
  <c r="AX10" i="16" s="1"/>
  <c r="AY10" i="16" s="1"/>
  <c r="BA35" i="16"/>
  <c r="AX35" i="16" s="1"/>
  <c r="AY35" i="16" s="1"/>
  <c r="BA42" i="16"/>
  <c r="AX42" i="16" s="1"/>
  <c r="AY42" i="16" s="1"/>
  <c r="BA7" i="16"/>
  <c r="AX7" i="16" s="1"/>
  <c r="AY7" i="16" s="1"/>
  <c r="BA6" i="16"/>
  <c r="AX6" i="16" s="1"/>
  <c r="AY6" i="16" s="1"/>
  <c r="BA12" i="16"/>
  <c r="AX12" i="16" s="1"/>
  <c r="AY12" i="16" s="1"/>
  <c r="BA36" i="16"/>
  <c r="AX36" i="16" s="1"/>
  <c r="AY36" i="16" s="1"/>
  <c r="BA9" i="16"/>
  <c r="AX9" i="16" s="1"/>
  <c r="AY9" i="16" s="1"/>
  <c r="BA33" i="16"/>
  <c r="AX33" i="16" s="1"/>
  <c r="AY33" i="16" s="1"/>
  <c r="BA21" i="16"/>
  <c r="AX21" i="16" s="1"/>
  <c r="AY21" i="16" s="1"/>
  <c r="BA30" i="16"/>
  <c r="AX30" i="16" s="1"/>
  <c r="AY30" i="16" s="1"/>
  <c r="BA31" i="16"/>
  <c r="AX31" i="16" s="1"/>
  <c r="AY31" i="16" s="1"/>
  <c r="BA13" i="16"/>
  <c r="AX13" i="16" s="1"/>
  <c r="AY13" i="16" s="1"/>
  <c r="BA17" i="16"/>
  <c r="AX17" i="16" s="1"/>
  <c r="AY17" i="16" s="1"/>
  <c r="BA11" i="16"/>
  <c r="AX11" i="16" s="1"/>
  <c r="AY11" i="16" s="1"/>
  <c r="BA15" i="16"/>
  <c r="AX15" i="16" s="1"/>
  <c r="AY15" i="16" s="1"/>
  <c r="BA28" i="16"/>
  <c r="AX28" i="16" s="1"/>
  <c r="AY28" i="16" s="1"/>
  <c r="BA40" i="16"/>
  <c r="AX40" i="16" s="1"/>
  <c r="AY40" i="16" s="1"/>
  <c r="BA4" i="16"/>
  <c r="AX4" i="16" s="1"/>
  <c r="AY4" i="16" s="1"/>
  <c r="BA18" i="16"/>
  <c r="AX18" i="16" s="1"/>
  <c r="AY18" i="16" s="1"/>
  <c r="BA25" i="16"/>
  <c r="AX25" i="16" s="1"/>
  <c r="AY25" i="16" s="1"/>
  <c r="BA38" i="16"/>
  <c r="AX38" i="16" s="1"/>
  <c r="AY38" i="16" s="1"/>
  <c r="BA22" i="16"/>
  <c r="AX22" i="16" s="1"/>
  <c r="AY22" i="16" s="1"/>
  <c r="BA44" i="16"/>
  <c r="AX44" i="16" s="1"/>
  <c r="AY44" i="16" s="1"/>
  <c r="AQ147" i="19"/>
  <c r="AR62" i="19"/>
  <c r="AS67" i="19"/>
  <c r="AS27" i="19"/>
  <c r="AS148" i="19"/>
  <c r="AS124" i="19"/>
  <c r="AS6" i="19"/>
  <c r="AS82" i="19"/>
  <c r="AS91" i="19"/>
  <c r="AS8" i="19"/>
  <c r="AR72" i="19"/>
  <c r="AS132" i="19"/>
  <c r="AS51" i="19"/>
  <c r="AR33" i="19"/>
  <c r="AX33" i="19" s="1"/>
  <c r="AS83" i="19"/>
  <c r="AS19" i="19"/>
  <c r="AS74" i="19"/>
  <c r="AS39" i="19"/>
  <c r="AS99" i="19"/>
  <c r="AS25" i="19"/>
  <c r="AS87" i="19"/>
  <c r="AS138" i="19"/>
  <c r="AS78" i="19"/>
  <c r="AS46" i="19"/>
  <c r="AS104" i="19"/>
  <c r="AS48" i="19"/>
  <c r="AS54" i="19"/>
  <c r="AS206" i="18"/>
  <c r="AR206" i="18"/>
  <c r="AS128" i="18"/>
  <c r="AR128" i="18"/>
  <c r="AR119" i="18"/>
  <c r="AS119" i="18"/>
  <c r="AS75" i="18"/>
  <c r="AR75" i="18"/>
  <c r="AS65" i="18"/>
  <c r="AR65" i="18"/>
  <c r="AR57" i="18"/>
  <c r="AS57" i="18"/>
  <c r="AR41" i="18"/>
  <c r="AS41" i="18"/>
  <c r="AS39" i="18"/>
  <c r="AR39" i="18"/>
  <c r="AR17" i="18"/>
  <c r="AS17" i="18"/>
  <c r="AR12" i="18"/>
  <c r="AS12" i="18"/>
  <c r="BJ208" i="18"/>
  <c r="BJ212" i="18" s="1"/>
  <c r="BL68" i="18"/>
  <c r="BL70" i="18"/>
  <c r="AS156" i="18"/>
  <c r="BL135" i="18"/>
  <c r="BK176" i="18"/>
  <c r="AS60" i="18"/>
  <c r="BL181" i="18"/>
  <c r="AS105" i="18"/>
  <c r="AS169" i="18"/>
  <c r="BL159" i="18"/>
  <c r="AR199" i="18"/>
  <c r="AS101" i="18"/>
  <c r="BL170" i="18"/>
  <c r="BL171" i="18"/>
  <c r="AS189" i="18"/>
  <c r="AS132" i="18"/>
  <c r="BL207" i="18"/>
  <c r="BK207" i="18"/>
  <c r="BK189" i="18"/>
  <c r="BL189" i="18"/>
  <c r="AR175" i="18"/>
  <c r="AS175" i="18"/>
  <c r="BL168" i="18"/>
  <c r="BK168" i="18"/>
  <c r="AR163" i="18"/>
  <c r="AS163" i="18"/>
  <c r="BK155" i="18"/>
  <c r="BL155" i="18"/>
  <c r="AR131" i="18"/>
  <c r="AS131" i="18"/>
  <c r="AR120" i="18"/>
  <c r="AS120" i="18"/>
  <c r="BK105" i="18"/>
  <c r="BL105" i="18"/>
  <c r="AS103" i="18"/>
  <c r="AR96" i="18"/>
  <c r="BK90" i="18"/>
  <c r="AR84" i="18"/>
  <c r="AS84" i="18"/>
  <c r="AR82" i="18"/>
  <c r="AS82" i="18"/>
  <c r="AR80" i="18"/>
  <c r="AS80" i="18"/>
  <c r="BK78" i="18"/>
  <c r="BL78" i="18"/>
  <c r="BL76" i="18"/>
  <c r="BK76" i="18"/>
  <c r="BK46" i="18"/>
  <c r="BL46" i="18"/>
  <c r="BL44" i="18"/>
  <c r="BK44" i="18"/>
  <c r="BK38" i="18"/>
  <c r="BL38" i="18"/>
  <c r="AR25" i="18"/>
  <c r="AS25" i="18"/>
  <c r="BK22" i="18"/>
  <c r="BL22" i="18"/>
  <c r="BK18" i="18"/>
  <c r="BL18" i="18"/>
  <c r="AR13" i="18"/>
  <c r="AS13" i="18"/>
  <c r="AR49" i="18"/>
  <c r="AS49" i="18"/>
  <c r="BK36" i="18"/>
  <c r="BL36" i="18"/>
  <c r="AR22" i="18"/>
  <c r="AS22" i="18"/>
  <c r="AR4" i="18"/>
  <c r="AS4" i="18"/>
  <c r="AR167" i="18"/>
  <c r="AS167" i="18"/>
  <c r="BK163" i="18"/>
  <c r="BL163" i="18"/>
  <c r="BL55" i="18"/>
  <c r="BK49" i="18"/>
  <c r="BK190" i="18"/>
  <c r="BK202" i="18"/>
  <c r="AQ208" i="18"/>
  <c r="AR67" i="18"/>
  <c r="AS165" i="18"/>
  <c r="BK204" i="18"/>
  <c r="AS53" i="18"/>
  <c r="AR198" i="18"/>
  <c r="AS198" i="18"/>
  <c r="BL185" i="18"/>
  <c r="BK185" i="18"/>
  <c r="AS180" i="18"/>
  <c r="AR180" i="18"/>
  <c r="AR134" i="18"/>
  <c r="AS134" i="18"/>
  <c r="AR125" i="18"/>
  <c r="AS125" i="18"/>
  <c r="AS117" i="18"/>
  <c r="AR117" i="18"/>
  <c r="BK111" i="18"/>
  <c r="BL111" i="18"/>
  <c r="AR94" i="18"/>
  <c r="AS94" i="18"/>
  <c r="AR76" i="18"/>
  <c r="AS76" i="18"/>
  <c r="AR64" i="18"/>
  <c r="AS64" i="18"/>
  <c r="BL194" i="18"/>
  <c r="BK192" i="18"/>
  <c r="AR78" i="18"/>
  <c r="AS97" i="18"/>
  <c r="BL142" i="18"/>
  <c r="AS130" i="18"/>
  <c r="BK161" i="18"/>
  <c r="AS177" i="18"/>
  <c r="AR92" i="18"/>
  <c r="BL187" i="18"/>
  <c r="AS52" i="18"/>
  <c r="AR170" i="18"/>
  <c r="BK201" i="18"/>
  <c r="BL201" i="18"/>
  <c r="BK199" i="18"/>
  <c r="BL199" i="18"/>
  <c r="BL197" i="18"/>
  <c r="BK197" i="18"/>
  <c r="AS196" i="18"/>
  <c r="AR196" i="18"/>
  <c r="BK149" i="18"/>
  <c r="AS137" i="18"/>
  <c r="AR137" i="18"/>
  <c r="BK133" i="18"/>
  <c r="BL133" i="18"/>
  <c r="AR118" i="18"/>
  <c r="AS118" i="18"/>
  <c r="BK65" i="18"/>
  <c r="BL65" i="18"/>
  <c r="BK57" i="18"/>
  <c r="BL57" i="18"/>
  <c r="AR55" i="18"/>
  <c r="AS55" i="18"/>
  <c r="BK37" i="18"/>
  <c r="BL37" i="18"/>
  <c r="AS36" i="18"/>
  <c r="AR36" i="18"/>
  <c r="AR11" i="18"/>
  <c r="AS11" i="18"/>
  <c r="AR7" i="18"/>
  <c r="AS7" i="18"/>
  <c r="BL8" i="18"/>
  <c r="K17" i="7"/>
  <c r="M17" i="7" s="1"/>
  <c r="K9" i="6"/>
  <c r="M9" i="6" s="1"/>
  <c r="K8" i="6"/>
  <c r="M8" i="6" s="1"/>
  <c r="O3" i="6" s="1"/>
  <c r="Q3" i="6" s="1"/>
  <c r="K6" i="6"/>
  <c r="M6" i="6" s="1"/>
  <c r="K2" i="6"/>
  <c r="M2" i="6" s="1"/>
  <c r="K3" i="6"/>
  <c r="M3" i="6" s="1"/>
  <c r="K17" i="6"/>
  <c r="M17" i="6" s="1"/>
  <c r="H36" i="7"/>
  <c r="K15" i="7" s="1"/>
  <c r="M15" i="7" s="1"/>
  <c r="F36" i="7"/>
  <c r="H24" i="7"/>
  <c r="F24" i="7"/>
  <c r="H8" i="7"/>
  <c r="K4" i="7" s="1"/>
  <c r="M4" i="7" s="1"/>
  <c r="F8" i="7"/>
  <c r="H38" i="7"/>
  <c r="K13" i="6"/>
  <c r="M13" i="6" s="1"/>
  <c r="H25" i="7"/>
  <c r="H39" i="7"/>
  <c r="K16" i="7" s="1"/>
  <c r="M16" i="7" s="1"/>
  <c r="H13" i="7"/>
  <c r="K6" i="7" s="1"/>
  <c r="M6" i="7" s="1"/>
  <c r="K7" i="6"/>
  <c r="M7" i="6" s="1"/>
  <c r="H3" i="7"/>
  <c r="K4" i="6"/>
  <c r="M4" i="6" s="1"/>
  <c r="K15" i="6"/>
  <c r="M15" i="6" s="1"/>
  <c r="F30" i="7"/>
  <c r="F15" i="7"/>
  <c r="AS45" i="16"/>
  <c r="AT44" i="16"/>
  <c r="H22" i="7"/>
  <c r="H20" i="7"/>
  <c r="K3" i="7"/>
  <c r="M3" i="7" s="1"/>
  <c r="K2" i="7"/>
  <c r="M2" i="7" s="1"/>
  <c r="K13" i="7"/>
  <c r="M13" i="7" s="1"/>
  <c r="H26" i="7"/>
  <c r="H16" i="7"/>
  <c r="F4" i="7"/>
  <c r="H28" i="7"/>
  <c r="K10" i="7" s="1"/>
  <c r="M10" i="7" s="1"/>
  <c r="F19" i="7"/>
  <c r="F12" i="7"/>
  <c r="BL155" i="19" l="1"/>
  <c r="BM155" i="19"/>
  <c r="AR143" i="23"/>
  <c r="AS143" i="23"/>
  <c r="BL133" i="19"/>
  <c r="BM133" i="19"/>
  <c r="AR36" i="23"/>
  <c r="AS36" i="23"/>
  <c r="BL32" i="19"/>
  <c r="BM32" i="19"/>
  <c r="AR39" i="23"/>
  <c r="AS39" i="23"/>
  <c r="AR37" i="23"/>
  <c r="AR148" i="23" s="1"/>
  <c r="AS37" i="23"/>
  <c r="AR38" i="23"/>
  <c r="AS38" i="23"/>
  <c r="BA43" i="16"/>
  <c r="AX43" i="16" s="1"/>
  <c r="AY43" i="16" s="1"/>
  <c r="BK168" i="19"/>
  <c r="AR71" i="23"/>
  <c r="AS71" i="23"/>
  <c r="BM56" i="19"/>
  <c r="BL56" i="19"/>
  <c r="O4" i="7"/>
  <c r="Q4" i="7" s="1"/>
  <c r="K8" i="7"/>
  <c r="M8" i="7" s="1"/>
  <c r="AT45" i="16"/>
  <c r="AZ45" i="16"/>
  <c r="AR77" i="23"/>
  <c r="AS77" i="23"/>
  <c r="BK16" i="18"/>
  <c r="BL16" i="18"/>
  <c r="BK208" i="18"/>
  <c r="BM33" i="19"/>
  <c r="BL33" i="19"/>
  <c r="BL43" i="19"/>
  <c r="BM43" i="19"/>
  <c r="AX168" i="19"/>
  <c r="AQ148" i="23"/>
  <c r="BA24" i="16"/>
  <c r="AX24" i="16" s="1"/>
  <c r="AY24" i="16" s="1"/>
  <c r="AY45" i="16" s="1"/>
  <c r="AQ168" i="19"/>
  <c r="AS147" i="19"/>
  <c r="AR147" i="19"/>
  <c r="K9" i="7"/>
  <c r="M9" i="7" s="1"/>
  <c r="O3" i="7" s="1"/>
  <c r="Q3" i="7" s="1"/>
  <c r="O2" i="6"/>
  <c r="Q2" i="6" s="1"/>
  <c r="O4" i="6"/>
  <c r="Q4" i="6" s="1"/>
  <c r="K7" i="7"/>
  <c r="M7" i="7" s="1"/>
  <c r="O2" i="7" s="1"/>
  <c r="Q2" i="7" s="1"/>
  <c r="BA45" i="16" l="1"/>
  <c r="AX45" i="16"/>
  <c r="R2" i="7"/>
  <c r="R2" i="6"/>
</calcChain>
</file>

<file path=xl/sharedStrings.xml><?xml version="1.0" encoding="utf-8"?>
<sst xmlns="http://schemas.openxmlformats.org/spreadsheetml/2006/main" count="8452" uniqueCount="1922">
  <si>
    <t>IDENTIFICACION DEL PROYECTO</t>
  </si>
  <si>
    <t>INDICADORES DE ESTADO DE LAS METAS</t>
  </si>
  <si>
    <t>ANUALIZACIÓN DE LA META (PROGRAMACION)</t>
  </si>
  <si>
    <t>EJECUCIÓN FÍSICA  DE LA META (CONTRATADO)</t>
  </si>
  <si>
    <t>EJECUCIÓN FÍSICA REAL DE LA META</t>
  </si>
  <si>
    <t>EJECUCIÓN FINANCIERA DE LA META (compromisos)</t>
  </si>
  <si>
    <t>EJECUCIÓN FINANCIERA DE LA META (giros)</t>
  </si>
  <si>
    <t>VERIFICACIONES</t>
  </si>
  <si>
    <t>No.</t>
  </si>
  <si>
    <t>LOCALIDAD</t>
  </si>
  <si>
    <t>Cod. Eje</t>
  </si>
  <si>
    <t>Eje</t>
  </si>
  <si>
    <t>Cod. Program</t>
  </si>
  <si>
    <t>Programa</t>
  </si>
  <si>
    <t>Cod. Meta PLAN</t>
  </si>
  <si>
    <t>Meta Plan de Desarrollo</t>
  </si>
  <si>
    <t>Cod. Indicador</t>
  </si>
  <si>
    <t>Indicador Unificado</t>
  </si>
  <si>
    <t>No. Proyecto (código presupuestal)</t>
  </si>
  <si>
    <t>Nombre Proyecto</t>
  </si>
  <si>
    <t>Cod. Meta proyecto</t>
  </si>
  <si>
    <t>Proceso</t>
  </si>
  <si>
    <t>Magnitud</t>
  </si>
  <si>
    <t>Unidad de Medida</t>
  </si>
  <si>
    <t>Descripción</t>
  </si>
  <si>
    <t>Sector (Seleccionar de la Lista)</t>
  </si>
  <si>
    <t>Producto</t>
  </si>
  <si>
    <t>Tipo de Meta</t>
  </si>
  <si>
    <t>Ponderación de la meta de proyecto frente a la meta del Plan</t>
  </si>
  <si>
    <t>Avance Acumulado contratado (Meta de Proyecto) %</t>
  </si>
  <si>
    <t>% AVANCE META PLAN CONSOLIDADO (contratado)</t>
  </si>
  <si>
    <t>Avance Acumulado real (Meta de Proyecto) %</t>
  </si>
  <si>
    <t>% AVANCE META PLAN CONSOLIDADO (ejecución real)</t>
  </si>
  <si>
    <t>Linea Base (PMR)</t>
  </si>
  <si>
    <t>Total</t>
  </si>
  <si>
    <t>Ejecucion fisica ACUMULADA</t>
  </si>
  <si>
    <t>Ejecucion fisica real ACUMULADA</t>
  </si>
  <si>
    <t>TEMAS PRIORITARIOS (Seleccionar de la lista)</t>
  </si>
  <si>
    <t>Observaciones frente al cumplimiento de metas</t>
  </si>
  <si>
    <t>SANTA FE</t>
  </si>
  <si>
    <t>EJE_UNO</t>
  </si>
  <si>
    <t>Garantía del desarrollo integral de la primera infancia.</t>
  </si>
  <si>
    <t>Dotar 30 equipamientos de elementos necesarios para la atención integral a la primera infancia</t>
  </si>
  <si>
    <t>Equipamientos para la atención a la primera infancia dotados</t>
  </si>
  <si>
    <t>Santa Fe crece saludable y feliz</t>
  </si>
  <si>
    <t>Dotar</t>
  </si>
  <si>
    <t>equipamientos</t>
  </si>
  <si>
    <t>de elementos necesarios para la atención integral a la primera infancia</t>
  </si>
  <si>
    <t>10. SDIS</t>
  </si>
  <si>
    <t>Adecuación , habilitación y dotación de jardines</t>
  </si>
  <si>
    <t>SUMA</t>
  </si>
  <si>
    <t>Vincular 2.000 niños y niñas de  0 a 5 años a través de  la prevención y estimulación para la primera infancia</t>
  </si>
  <si>
    <t>Personas vinculadas a acciones de promoción del buen trato</t>
  </si>
  <si>
    <t>Vincular</t>
  </si>
  <si>
    <t>niños y niñas</t>
  </si>
  <si>
    <t>de 0 a 5 años a través de la prevención y estimulación para la primera infancia</t>
  </si>
  <si>
    <t>Protección integral a niños y niñas y adolescentes</t>
  </si>
  <si>
    <t>Territorios saludables y red de salud para la vida desde la diversidad.</t>
  </si>
  <si>
    <t>Vincular 12.000 personas de la localidad y su ruralidad mediante programas de promoción y prevención en salud</t>
  </si>
  <si>
    <t>Personas vinculadas a acciones de promoción y prevención en salud</t>
  </si>
  <si>
    <t>Santa Fe con salud para todas y todos</t>
  </si>
  <si>
    <t>personas</t>
  </si>
  <si>
    <t>de la localidad y su ruralidad mediante programas de promoción y prevención en salud</t>
  </si>
  <si>
    <t>9. SALUD</t>
  </si>
  <si>
    <t>Promoción, prevención e intervención en salud</t>
  </si>
  <si>
    <t>Vincular 1.200 personas de la localidad mediante estrategias de prevención, promoción y sensibilización en educación sexual y reproductiva e Infecciones de Transmisión Sexual con enfoque diferencial</t>
  </si>
  <si>
    <t>de la localidad  mediante estrategias de prevención, promoción y sensibilización en educación sexual y reproductiva e Infeccion</t>
  </si>
  <si>
    <t>Vincular 320 personas en condición de discapacidad a través del Banco de Ayudas Técnicas</t>
  </si>
  <si>
    <t>Personas benficiadas con ayudas técnicas</t>
  </si>
  <si>
    <t>en condicion de discapacidad a través del Banco de Ayudas Técnicas</t>
  </si>
  <si>
    <t>Construcción de saberes. Educación inclusiva, diversa y de calidad para disfrutar y aprender desde la primera infancia.</t>
  </si>
  <si>
    <t>Vincular 400 personas mediante programas de Educación flexible y diferencial para adultos de la localidad</t>
  </si>
  <si>
    <t>Personas vinculadas a programas de educación para adultos</t>
  </si>
  <si>
    <t>Con educación para todas y todos</t>
  </si>
  <si>
    <t>mujeres y hombres adultos</t>
  </si>
  <si>
    <t>mediante programas de Educación flexible y diferencial para adultos de la localidad</t>
  </si>
  <si>
    <t>4. EDUCACIÓN</t>
  </si>
  <si>
    <t>Validación Escolar</t>
  </si>
  <si>
    <t>Vincular 1.000 personas escolarizadas entre ellas en condición de discapacidad, mediante actividades de aprendizaje y reforzamiento escolar (lectoescritura, idiomas, arte, agricultura urbana y campesina y aprovechamiento del tiempo libre) en los IEDS de la localidad</t>
  </si>
  <si>
    <t>Estudiantes vinculados a actividades extraescolares</t>
  </si>
  <si>
    <t>Beneficiar</t>
  </si>
  <si>
    <t>niños, niñas y adolecentes escolarizados</t>
  </si>
  <si>
    <t>por medio de actividades lúdicas, pedagógicas y recreativas en tiempo extraescolar, dirigidas a los niños, niñas y jóvenes de los IEDS ubicados en la localidad</t>
  </si>
  <si>
    <t>Actividades Extraescolares</t>
  </si>
  <si>
    <t>Dotar 8 IEDS con medios didácticos apropiados a su Proyecto Educativo Institucional-PEI, laboratorios y mobiliario</t>
  </si>
  <si>
    <t>Planteles educativos dotados</t>
  </si>
  <si>
    <t>colegios distritales</t>
  </si>
  <si>
    <t>ubicados en la localidad con medios didácticos apropiados a su Proyecto Educativo Institucional-PEI, laboratorios y mobiliario</t>
  </si>
  <si>
    <t>Infraestructura y dotación escolar</t>
  </si>
  <si>
    <t>Vincular 3.000 personas con el fortalecimiento de las instituciones educativas a través de la realización de un foro educativo anual</t>
  </si>
  <si>
    <t>N/A</t>
  </si>
  <si>
    <t>No agrega</t>
  </si>
  <si>
    <t>con el fortalecimiento de las instituciones educativas a través de la realización de un foro educativo anual</t>
  </si>
  <si>
    <t>Bogotá Humana con igualdad de oportunidades y equidad de género para las mujeres.</t>
  </si>
  <si>
    <t>Vincular 200 mujeres  en programas con enfoque diferencial, mecanismos de protección, capacitación para la  prevención de violencia contra las mujeres y visibilización de la política pública de la mujer y género</t>
  </si>
  <si>
    <t>Personas vinculadas a procesos de prevención de la violencia y discriminación de género</t>
  </si>
  <si>
    <t>Apoyo a acciones del plan de igualdad de oportunidades</t>
  </si>
  <si>
    <t>mujeres</t>
  </si>
  <si>
    <t>en programas con enfoque diferencial, mecanismos de protección,
capacitación para la prevención de violencia contra las mujeres y
visibilización de la política pública de la mujer y género</t>
  </si>
  <si>
    <t>12. SECRETARÍA DE LA MUJER</t>
  </si>
  <si>
    <t>Espacios y procesos de participación ciudadana fortalecidos</t>
  </si>
  <si>
    <t>Lucha contra distintos tipos de discriminación y violencias por condición, situación, identidad, diferencia, diversidad o etapa del ciclo vital.</t>
  </si>
  <si>
    <t>Beneficiar  900 adultos mayores anualmente  mediante la entrega de subsidios económicos</t>
  </si>
  <si>
    <t>Personas con subsidio tipo C  beneficiadas</t>
  </si>
  <si>
    <t>Santa Fe reduce la discriminación y segregación social</t>
  </si>
  <si>
    <t>Suministrar</t>
  </si>
  <si>
    <t>subsidios</t>
  </si>
  <si>
    <t>tipo C mensuales a adultos mayores a través de una entidad bancaria y de acuerdo con los procedimientos establecidos</t>
  </si>
  <si>
    <t>Protección  integral a personas y familias en situación de vulneración</t>
  </si>
  <si>
    <t>CONSTANTE</t>
  </si>
  <si>
    <t>Vincular 220 personas en situación de fragilidad social (adulto mayor trabajadores (as) sexuales y/o habitante de calle) con programas y/o procesos que busquen mejorar sus condiciones de vida</t>
  </si>
  <si>
    <t>en situación de fragilidad social (adulto mayor, prostitución y/o habitante de calle) con programas y/o procesos que busquen mejorar sus condiciones de vida</t>
  </si>
  <si>
    <t>Vincular 5.000 personas 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</si>
  <si>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Personas vinculadas a procesos de reconocimiento de la identidad de género, orientación y diversidad sexual, grupo étnico y etario.</t>
  </si>
  <si>
    <t>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</si>
  <si>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5. GOBIERNO</t>
  </si>
  <si>
    <t>Vincular 1.000 personas  mediante acciones de prevención de casos de violencia intrafamiliar y explotación infantil con enfoque diferencial y otros tipos de violencias por discriminación</t>
  </si>
  <si>
    <t>Personas vinculadas a estrategias de prevencion de las violencias, violencia intrafamiliar y la discriminación</t>
  </si>
  <si>
    <t>mediante acciones de prevención de casos de violencia intrafamiliar y explotación infantil con enfoque diferencial y otros tipos de violencias por discriminación</t>
  </si>
  <si>
    <t>Ejercicio de libertades culturales y deportivas.</t>
  </si>
  <si>
    <t>Apropiar 2 espacios culturales significativos de la localidad a través de corredores culturales e inventario patrimonial tangible e intangible</t>
  </si>
  <si>
    <t>Espacios recuperados o apropiados culturalmente</t>
  </si>
  <si>
    <t>Programas culturales para todas y todos</t>
  </si>
  <si>
    <t>Apropiar</t>
  </si>
  <si>
    <t>espacios</t>
  </si>
  <si>
    <t>culturales significativos de la localidad a través de corredores culturales e inventario patrimonial tangible e intangible</t>
  </si>
  <si>
    <t>2. CULTURA Y RECREACIÓN</t>
  </si>
  <si>
    <t>Infraestructura y dotación a centros artísticos y culturales</t>
  </si>
  <si>
    <t>Realizar 9 eventos culturales anuales en  los que se visibilicen las prácticas culturales de la localidad: Día  de la afrocolombianidad, Día del campesino, Festival de la chicha, Festival de Hip Hop, Festival de la alegría, Día del Adulto Mayor, Día de la discapacidad, Festival de la diversidad y el festival de integración comunal</t>
  </si>
  <si>
    <t>Eventos culturales realizados</t>
  </si>
  <si>
    <t>Realizar</t>
  </si>
  <si>
    <t>eventos</t>
  </si>
  <si>
    <t>culturales anuales que visibilicen las prácticas culturales de la localidad</t>
  </si>
  <si>
    <t>Espacios artísticos y culturales</t>
  </si>
  <si>
    <t>Vincular 4.500 personas en eventos y formación deportiva que permitan la integración de niños, niñas, jóvenes, adolescentes, adultos y adultos mayores</t>
  </si>
  <si>
    <t>Personas vinculadas a la oferta recreativa y deportiva</t>
  </si>
  <si>
    <t>Santa Fe más activa y dinámica</t>
  </si>
  <si>
    <t>en eventos y formación deportiva que permitan la integración de niños, niñas, jóvenes, adolescentes, adultos y adultos mayores</t>
  </si>
  <si>
    <t>Eventos y actividades recreativas y deportivas</t>
  </si>
  <si>
    <t>Vincular 350 niñas, niños y adolescentes anualmente a través de la práctica de grupos orquestales y formación artística y/o cultural</t>
  </si>
  <si>
    <t>Personas capacitadas en formación informal artística, cultural y del patrimonio</t>
  </si>
  <si>
    <t>niños, niñas y adolecentes</t>
  </si>
  <si>
    <t>a través de la práctica de grupos orquestales y formación en áreas artísticas y/o culturales</t>
  </si>
  <si>
    <t>Formación artística y cultural</t>
  </si>
  <si>
    <t>Dotar 4 bibliotecas comunitarias con  elementos, materiales, mobiliario y apoyos logísticos</t>
  </si>
  <si>
    <t>Escenarios culturales dotados</t>
  </si>
  <si>
    <t>bibliotecas</t>
  </si>
  <si>
    <t>comunitarias con elementos, materiales, mobiliario y apoyos logísticos</t>
  </si>
  <si>
    <t>EJE_DOS</t>
  </si>
  <si>
    <t>Recuperación, rehabilitación y restauración de la estructura ecológica principal y de los espacios del agua.</t>
  </si>
  <si>
    <t>Recuperar 3 ríos y/o quebradas de la localidad de Santa Fe para el desarrollo integral – ambiental</t>
  </si>
  <si>
    <t>Espacios ambientales intervenidos</t>
  </si>
  <si>
    <t>Santa Fe se ordena alrededor del agua</t>
  </si>
  <si>
    <t>Recuperar</t>
  </si>
  <si>
    <t>ríos y/o quebradas</t>
  </si>
  <si>
    <t>de la localidad de Santa Fe para el desarrollo integral - ambiental</t>
  </si>
  <si>
    <t>1. AMBIENTE</t>
  </si>
  <si>
    <t>Calidad ambiental y preservación del patrimonio natural</t>
  </si>
  <si>
    <t>Recuperar 25 puntos críticos identificados en el diagnóstico ambiental local que afectan el medio ambiente con procesos de atención, recuperación, organización y educación ambiental</t>
  </si>
  <si>
    <t>puntos críticos</t>
  </si>
  <si>
    <t>identificados en el diagnóstico ambiental local que afectan el medio ambiente con procesos de atención, recuperación, organización y educación ambiental</t>
  </si>
  <si>
    <t>Recuperar 10 hectáreas ambientalmente estratégicas a través de acciones de rehabilitación ecológica y procesos de sustentabilidad campesina</t>
  </si>
  <si>
    <t>hectáreas</t>
  </si>
  <si>
    <t>ambientalmente estratégicas a través de acciones de rehabilitación ecológica y procesos de sustentabilidad campesina</t>
  </si>
  <si>
    <t>Vincular  500 personas a través de la Planificación Agroforestal y el fortalecimiento de la asistencia técnica para armonizar con el desarrollo sostenible</t>
  </si>
  <si>
    <t>Personas vinculadas en acciones para la conservación o recuperación de los espacios del agua y la protección del ambiente</t>
  </si>
  <si>
    <t>a través de la Planificación Agroforestal y el fortalecimiento de la asistencia técnica para armonizar con el desarrollo sostenible</t>
  </si>
  <si>
    <t>Movilidad Humana.</t>
  </si>
  <si>
    <t>Mantener 64 Km/Carril  de la malla vial local</t>
  </si>
  <si>
    <t>Km/carril de malla vial local recuperados</t>
  </si>
  <si>
    <t>Mejoramiento y recuperación del espacio público local</t>
  </si>
  <si>
    <t>Mantener</t>
  </si>
  <si>
    <t>Km/carril</t>
  </si>
  <si>
    <t>de la malla vial local</t>
  </si>
  <si>
    <t>8. MOVILIDAD</t>
  </si>
  <si>
    <t>Vías Locales</t>
  </si>
  <si>
    <t>Rehabilitar 19 Km/Carril  de la malla vial local</t>
  </si>
  <si>
    <t>Rehabilitar</t>
  </si>
  <si>
    <t>Mantener y rehabilitar 12.000 M2 de espacio público</t>
  </si>
  <si>
    <t>m2 de espacio público recuperado</t>
  </si>
  <si>
    <t>M2</t>
  </si>
  <si>
    <t>de espacio público local a través de acciones de rehabilitacion y mejoramiento</t>
  </si>
  <si>
    <t>Espacio Publico</t>
  </si>
  <si>
    <t>Gestión integral de riesgos.</t>
  </si>
  <si>
    <t>Vincular 400 personas con programas para la prevención de riesgos</t>
  </si>
  <si>
    <t>Habitantes sensibilizados en gestión local del riesgo</t>
  </si>
  <si>
    <t>Mitigación del riesgo local</t>
  </si>
  <si>
    <t>con programas para la prevención de riesgos</t>
  </si>
  <si>
    <t>Gestión para la prevención y mitigación del riesgo</t>
  </si>
  <si>
    <t>Realizar 1 dotación al Comité Local de Emergencias - CLE de elementos para la atención del riesgo</t>
  </si>
  <si>
    <t>Dotaciones realizadas al CLE</t>
  </si>
  <si>
    <t>dotación</t>
  </si>
  <si>
    <t>al Comité Local de Emergencias - CLE de elementos para la atención del riesgo</t>
  </si>
  <si>
    <t>Basuras cero.</t>
  </si>
  <si>
    <t>Vincular 400 personas mediante procesos de sensibilización y estrategias para el manejo de residuos sólidos</t>
  </si>
  <si>
    <t>Personas vinculadas a campañas de promoción de reciclaje y disposición diferenciada de residuos sólidos</t>
  </si>
  <si>
    <t>Santa fe basura cero</t>
  </si>
  <si>
    <t>mediante procesos de sensibilización y estrategias para el manejo de residuos sólidos</t>
  </si>
  <si>
    <t>7. HABITAT</t>
  </si>
  <si>
    <t>Manejo integral de residuos sólidos</t>
  </si>
  <si>
    <t>Bogotá Humana ambientalmente saludable.</t>
  </si>
  <si>
    <t>Vincular 160 personas mediante acciones pedagógicas y de sensibilización a través de jornadas de apropiación del entorno</t>
  </si>
  <si>
    <t>Santa Fe humana ambientalmente saludable</t>
  </si>
  <si>
    <t>mediante acciones pedagógicas y de sensibilización a través de jornadas de apropiación del entorno</t>
  </si>
  <si>
    <t>EJE_TRES</t>
  </si>
  <si>
    <t>Bogotá Humana participa y decide.</t>
  </si>
  <si>
    <t>Vincular  600 personas en los ejercicios de los presupuestos participativos en la localidad de Santa Fe</t>
  </si>
  <si>
    <t>Personas  vinculadas a procesos de presupestos participativos</t>
  </si>
  <si>
    <t>La participación en el centro de todas y todos</t>
  </si>
  <si>
    <t>en los ejercicios de los presupuestos participativos en la localidad de Santa Fe</t>
  </si>
  <si>
    <t>Fortalecer 60 Organizaciones Sociales  a través del apoyo de las acciones  y propuestas para el mejoramiento de las expresiones sociales</t>
  </si>
  <si>
    <t>Organizaciones sociales fortalecidas para la participación</t>
  </si>
  <si>
    <t>Fortalecer</t>
  </si>
  <si>
    <t>organizaciones</t>
  </si>
  <si>
    <t>sociales en el desarrollo y fortalecimiento de expresiones sociales</t>
  </si>
  <si>
    <t>Dotar y/o adecuar 15 salones comunales con elementos, materiales y mobiliario para el desarrollo de la participación en la toma de decisiones</t>
  </si>
  <si>
    <t>Salones comunales dotados</t>
  </si>
  <si>
    <t>salones</t>
  </si>
  <si>
    <t>con elementos, materiales y mobiliario para el desarrollo de la participación en la toma de decisiones</t>
  </si>
  <si>
    <t>Transparencia, probidad, lucha contra la corrupción y control social efectivo e incluyente.</t>
  </si>
  <si>
    <t>Vincular 400 personas en el fortalecimiento y consolidación del control social de las ciudadanas y ciudadanos</t>
  </si>
  <si>
    <t>Personas vinculadas en campañas para promover la participación y el control social</t>
  </si>
  <si>
    <t>Promoción del control social</t>
  </si>
  <si>
    <t>en el fortalecimiento y consolidación del control social de las ciudadanas y ciudadanos</t>
  </si>
  <si>
    <t>Espacios para el control social</t>
  </si>
  <si>
    <t>Territorios de vida y paz con prevención del delito.</t>
  </si>
  <si>
    <t>Vincular 800 personas 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t>
  </si>
  <si>
    <t>Personas vinculadas a la promoción de espacios y/o campañas  para mejorar la convivencia y seguridad ciudadana</t>
  </si>
  <si>
    <t>Santa Fe Humana libre de discriminación y violencias</t>
  </si>
  <si>
    <t>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t>
  </si>
  <si>
    <t>Prevención, atención y gestión del conflicto en la localidad</t>
  </si>
  <si>
    <t>Vincular 800 personas con acciones para motivar el cumplimiento voluntario de normas en la localidad</t>
  </si>
  <si>
    <t>con acciones para motivar el cumplimiento voluntario de normas en la localidad</t>
  </si>
  <si>
    <t>Vincular 800 personas con estrategias para promocionar la defensa del espacio público en la localidad</t>
  </si>
  <si>
    <t>con estrategias para promocionar la defensa del espacio público en la localidad</t>
  </si>
  <si>
    <t>Bogotá decide y protege el derecho fundamental a la salud de los intereses del  mercado y la corrupción.</t>
  </si>
  <si>
    <t>Fortalecer 1 Comité de Participación Comunitaria en Salud - COPACOS</t>
  </si>
  <si>
    <t>Santa Fe fortalece al COPACO</t>
  </si>
  <si>
    <t>Comité de participación comunitaria</t>
  </si>
  <si>
    <t>en salud COPACOS</t>
  </si>
  <si>
    <t>Fortalecimiento de la función administrativa y desarrollo institucional.</t>
  </si>
  <si>
    <t>Realizar 1 fortalecimiento a la función administrativa y desarrollo institucional anualmente</t>
  </si>
  <si>
    <t>Estrategias realizadas de fortalecimiento institucional</t>
  </si>
  <si>
    <t>Desarrollo institucional</t>
  </si>
  <si>
    <t>fortalecimiento</t>
  </si>
  <si>
    <t>a la función administrativa y desarrollo institucional anualmente</t>
  </si>
  <si>
    <t>Fortalecimiento institucional</t>
  </si>
  <si>
    <t>Realizar a los 7 ediles de la localidad el pago de honorarios correspondiente a sesiones ordinarias, extraordinarias y comisiones permanentes y el fortalecimiento de la función administrativa y desarrollo institucional de la JAL de Santa Fe</t>
  </si>
  <si>
    <t>Ediles con pago de honorarios cubierto</t>
  </si>
  <si>
    <t>pagos</t>
  </si>
  <si>
    <t>a ediles de honorarios correspondiente a sesiones ordinarias, extraordinarias y comisiones permanentes y el fortalecimiento de la función administrativa y desarrollo institucional de la JAL de Santa Fe</t>
  </si>
  <si>
    <t>Implementar 1 Sistema Integrado de Gestión en la administración local</t>
  </si>
  <si>
    <t>Implementar</t>
  </si>
  <si>
    <t>sistema integrado de gestión</t>
  </si>
  <si>
    <t>en la administración local</t>
  </si>
  <si>
    <t>Tic para gobierno digital, ciudad inteligente, y sociedad del conocimiento y del emprendimiento.</t>
  </si>
  <si>
    <t>Vincular 4.000 personas a través de procesos de Tecnologías de la información, la comunicación y medios comunicativos</t>
  </si>
  <si>
    <t>TICS dinamizadoras de conocimiento local</t>
  </si>
  <si>
    <t>a través de procesos de Tecnologías de la información, la comunicación y medios comunicativos</t>
  </si>
  <si>
    <t>PROGRAMACIÓN FINANCIERA (BASADOS EN CDP)</t>
  </si>
  <si>
    <t>PAGOS MENSUALES REALIZADOS 2013</t>
  </si>
  <si>
    <t>PAGOS MENSUALES REALIZADOS 2014</t>
  </si>
  <si>
    <t>5PROGRAMACIÓN FINANCIERA (BASADOS EN CDP) 2015</t>
  </si>
  <si>
    <t>PAGOS MENSUALES REALIZADOS 2015</t>
  </si>
  <si>
    <t>Valor total Comprometido</t>
  </si>
  <si>
    <t>Valor total girado</t>
  </si>
  <si>
    <t>Objeto contractual</t>
  </si>
  <si>
    <t>SECTOR (Seleccionar de la Lista)</t>
  </si>
  <si>
    <t>Modalidadad de Selección
(Seleccionar de la Lista)</t>
  </si>
  <si>
    <t>Tipo de Contrato
(seleccionar de la lista)</t>
  </si>
  <si>
    <t>Fecha de suscripción del contrato
(DD/MM/AAAA)</t>
  </si>
  <si>
    <t>Fecha acta de inicio del contrato
(DD/MM/AAAA)</t>
  </si>
  <si>
    <t>Plazo de ejecución</t>
  </si>
  <si>
    <t>Numero de contrato</t>
  </si>
  <si>
    <t>Forma de pago</t>
  </si>
  <si>
    <t>Entidad Ejecutora</t>
  </si>
  <si>
    <t>Número de identificación (NIT  o documento de identidad)</t>
  </si>
  <si>
    <t>Cantidad de población atendida con el contrato</t>
  </si>
  <si>
    <t>Estado del contrato
(seleccionar de la lista)</t>
  </si>
  <si>
    <t>Observaciones</t>
  </si>
  <si>
    <t>No. CDP 2013</t>
  </si>
  <si>
    <t>Fecha  expedicion del CDP</t>
  </si>
  <si>
    <t>No. CRP 2013</t>
  </si>
  <si>
    <t>VALOR CRP 2013</t>
  </si>
  <si>
    <t>Enero</t>
  </si>
  <si>
    <t>Febrero</t>
  </si>
  <si>
    <t>Marzo</t>
  </si>
  <si>
    <t>Abril</t>
  </si>
  <si>
    <t>Mayo</t>
  </si>
  <si>
    <t>Junio</t>
  </si>
  <si>
    <t>Julio</t>
  </si>
  <si>
    <t>Agosto</t>
  </si>
  <si>
    <t>Septiembre</t>
  </si>
  <si>
    <t>Octubre</t>
  </si>
  <si>
    <t>Noviembre</t>
  </si>
  <si>
    <t>Diciembre</t>
  </si>
  <si>
    <t>Total 2013</t>
  </si>
  <si>
    <t>Valor faltante por girar</t>
  </si>
  <si>
    <t>% Pagos</t>
  </si>
  <si>
    <t>Cantidad de pagos realizados</t>
  </si>
  <si>
    <t>No. CDP 2014</t>
  </si>
  <si>
    <t>No. CRP 2014</t>
  </si>
  <si>
    <t>VALOR CRP 2014</t>
  </si>
  <si>
    <t>No. CDP 2015</t>
  </si>
  <si>
    <t>No. CRP 2015</t>
  </si>
  <si>
    <t>VALOR CRP 2015</t>
  </si>
  <si>
    <t>Total 2015</t>
  </si>
  <si>
    <t>PROYECTO.3.3.1.14.01.01.1147. SELECCIONAR UNA PERSONA NATURAL O JURIDICA ,EN CONSORCIO O UNION TEMPORAL ,PARA DESARROLLAR EL COMPONENTE , DOTACION INSTITUCIONES DISTRITALES PARA LA ATENCION DE PRIMERA INFANCIA.</t>
  </si>
  <si>
    <t>Selección abreviada subasta inversa</t>
  </si>
  <si>
    <t>Contrato de suministro</t>
  </si>
  <si>
    <t>2 meses</t>
  </si>
  <si>
    <t>CSU-128-2013</t>
  </si>
  <si>
    <t>EL FONDO DE DESARROLLO LOCAL DE SANTA FE CANCELARÁ UN PRIMER Y ÚNICO PAGO POR EL 100% DEL VALOR TOTAL DEL (OS)  CONTRATO (S) PREVIA ENTREGA DE LOS ELEMENTOS, UNA VEZ FIRMADA EL ACTA DE LIQUIDACIÓN Y VERIFICADA LA CORRESPONDIENTE ENTRADA DE LOS ELEMENTOS AL ALMACÉN DEL FONDO DE DESARROLLO LOCAL DE SANTA FE. NOTA: PARA LA REALIZACIÓN DEL PAGO EL EJECUTOR DEBERÁ PRESENTAR: FACTURA O DOCUMENTO EQUIVALENTE.  ACTAS DE RECIBO A SATISFACCIÓN FIRMADAS POR LAS PERSONAS ENCARGADAS EN CADA UNA DE LAS INSTITUCIONES BENEFICIADAS CON EL PROYECTO. CERTIFICADO DE CUMPLIMIENTO O ACTA DE RECIBO A SATISFACCIÓN EXPEDIDO POR EL SUPERVISOR DEL CONTRATO. ACTA DE INGRESO DE LOS BIENES AL ALMACÉN. COPIA DE LA PLANILLA DE PAGO DE LOS APORTES AL SISTEMA DE SEGURIDAD SOCIAL INTEGRAL Y PARAFISCALES, PARA EL PERIODO COBRADO, EN PROPORCIÓN AL VALOR MENSUAL DEL CONTRATO, CUANDO SE TRATE DE PERSONAS NATURALES. CERTIFICACIÓN SUSCRITA POR EL REPRESENTANTE LEGAL O REVISOR FISCAL, QUE ACREDITE EL CUMPLIMIENTO DEL PAGO DE APORTES AL SISTEMA DE SEGURIDAD SOCIAL INTEGRAL Y PARAFISCALES DE LOS ÚLTIMOS SEIS (6) MESES Y DEL TIEMPO DE EJECUCIÓN DEL CONTRATO, DE CONFORMIDAD CON EL ARTÍCULO 50 DE LA LEY 789 DE 2002 O AQUELLA QUE LO MODIFIQUE, ADICIONE O SUSTITUYA CUANDO SE TRATE DE PERSONAS JURÍDICAS. COPIA DE REGISTRO ÚNICO TRIBUTARIO RUT. COPIA DEL REGISTRO DE IDENTIFICACIÓN TRIBUTARIA RIT. CERTIFICACIÓN BANCARIA. COMPROBANTE DE PAGO DE SUS OBLIGACIONES CON LOS SISTEMAS DE SALUD, RIESGOS PROFESIONALES, PENSIONES Y APORTES A LAS CAJAS DE COMPENSACIÓN FAMILIAR, INSTITUTO COLOMBIANO DE BIENESTAR FAMILIAR Y SERVICIO NACIONAL DE APRENDIZAJE, PREVIA CERTIFICACIÓN DE RECIBIDO A SATISFACCIÓN POR PARTE DEL SUPERVISOR Y/O INTERVENTOR DEL CONTRATO D. INFORME DEBIDAMENTE SOPORTADO TÉCNICAMENTE DE LAS ACTIVIDADES. PARA EFECTO DEL PAGO LOS TREINTA DÍAS (30) DÍAS HÁBILES SE EMPEZARÁN A CONTAR A PARTIR DE LA RADICACIÓN EN LA OFICINA FINANCIERA DEL FONDO LOCAL DE LOS DOCUMENTOS REQUERIDOS PARA TAL FIN.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</si>
  <si>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AMERICANA DE DISTRIBUCIONES LTDA.</t>
  </si>
  <si>
    <t>?</t>
  </si>
  <si>
    <t>En ejecución</t>
  </si>
  <si>
    <t>CSU-127-2013</t>
  </si>
  <si>
    <t>DIDACTICOS PINOCHO S.A.</t>
  </si>
  <si>
    <t>PROYECTO.3.3.1.14.01.01.1147. INTERVENTORIA TECNICA , ADMINISTRATIVA Y FINANCIERA AL CONVENIO 105 DE 2013. POTENCIALIZAR EL DESARROLLO DE NIÑAS Y NIÑOS EN SU PRIMERA INFANCIA Y CUALIFICAR LAS CAPACIDADES DE SUS CUIDADORES.</t>
  </si>
  <si>
    <t>CONTRATACIÓN DIRECTA CONVENIOS</t>
  </si>
  <si>
    <t>Consultoria / Interventoría</t>
  </si>
  <si>
    <t>8 meses</t>
  </si>
  <si>
    <t>EL VALOR DEL PRESENTE CONTRATO SERÁ POR LA SUMA DE TRES MILLONES NOVECIENTOS OCHENTA MIL PESOS (3.980.000) MCTE.,.EL VALOR DEL CONTRATO SE PAGARÁ ASÍ:  DOS MENSUALIDADES VENCIDAS DE OCHO MILLONES DE  PESOS  M/CTE ($ 8.000.000)LA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</si>
  <si>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SONIA  ACUÑA PEREZ</t>
  </si>
  <si>
    <t>PROYECTO.3.3.1.14.01.01.1147.AUNAR ESFUERZOS TECNICOS,ADMINISTRATIVOS Y FINANCIEROS PARA DESARROLLAR ACCIIONES QUE PERMITAN POTENCIALIZAR EL DESARROLLO DE LOS NIÑOS Y NIÑAS EN SU PRIMERA INFANCIA.</t>
  </si>
  <si>
    <t>Convenio Interadministrativo</t>
  </si>
  <si>
    <t>EL FONDO DE DESARROLLO LOCAL EFECTUARA EL DESEMBOLSO DE SUS APORTES DE LA SIGUIENTE MANERA: OCHO PAGOS MENSUALES SEGÚN PORCENTAJE DE AVANCE DE EJECUCIÓN DE ACTIVIDADES, PREVIA ENTREGA DEL INFORME DE ACTIVIDADES RESPECTIVO E INFORME FINANCIERO, FACTURA O DOCUMENTO EQUIVALENTE, SEGÚN SEA EL CASO, CERTIFICACIÓN DE CUMPLIMIENTO DEL PAGO DE APORTES AL SISTEMA DE SEGURIDAD SOCIAL INTEGRAL Y PARAFISCALES Y CERTIFICADO DE CUMPLIMIENTO EXPEDIDO POR EL INTERVENTOR DEL CONVENIO, EL ÚLTIMO PAGO QUEDARÁ SUJETO A LA SUSCRIPCIÓN DEL ACTA DE LIQUIDACIÓN RESPECTIVA</t>
  </si>
  <si>
    <t>HOSPITAL CENTRO ORIENTE</t>
  </si>
  <si>
    <t>PROYECTO , 3.3.1.14.01.02.1149, INTERVENTORIA,TECNICA,ADMINISTRATIVA ,FINANCIERA Y SOCIAL AL CONVENIO DE ASOCIACION 157 DE 2012.SUSCRITO CON FUNDIDERC.</t>
  </si>
  <si>
    <t>Selección abreviada menor cuantía</t>
  </si>
  <si>
    <t>7 meses</t>
  </si>
  <si>
    <t>003-2013</t>
  </si>
  <si>
    <t>EL VALOR ESTIMADO DEL CONTRATO QUE SE DERIVE DEL PRESENTE PROCESO DE SELECCIÓN. ES POR LA SUMA DE NUEVE MILLONES SETECIENTOS MIL PESOS ($9.700.000.OO) INCLUIDO IVA. LA CUAL INCLUYE TODOS LOS IMPUESTOS. TASAS Y CONTRIBUCIONES A QUE TENGA LUGAR. PAGADEROS E</t>
  </si>
  <si>
    <t>ESPERANZA DEL CARMEN SACHICA DE DAZA</t>
  </si>
  <si>
    <t>NA</t>
  </si>
  <si>
    <t>PROYECTO. 3.3.1.14.01.02.1149 . ADICIONAR EL CONVENIO INTERADMINISTRATIVO 95 DE 2012 , COMPONENTE APOYO EN PROGRAMAS DE SALUD ORAL PARA ADULTOS.</t>
  </si>
  <si>
    <t>Contratación directa</t>
  </si>
  <si>
    <t>6 meses</t>
  </si>
  <si>
    <t>003-2014</t>
  </si>
  <si>
    <t>EL FONDO EFECTUARÁ LOS DESEMBOLSOS CORRESPONDIENTES A SU APORTE DE LA SIGUIENTE MANERA: ANTICIPO: EL FONDO ENTREGARÁ AL HOSPITAL A TITULO DE ANTICIPO EL 20% DEL VALOR DE SUS APORTES. PARAGRAFO PRIMERO: REGLAS DE MANEJO DEL ANTICIPO: 1) APERTURA DE CUENTA: EL HOSPITAL DEBERÁ APERTURAR UNA CUENTA BANCARIA SEPARADA. A NOMBRE DEL CONVENIO SUSCRITO. LOS RENDIMIENTOS QUE LLEGAREN A PRODUCIR LOS RECURSOS ASÍ ENTREGADOS. PERTENECERÁN A LA TESORERÍA DISTRITAL. 2) PLAN DE INVERSIÓN DEL ANTICIPO: EL HOSPITAL DEBE PRESENTAR EL PLAN DE INVERSIÓN DEL ANTICIPO. EL CUAL DEBE ESTAR DEBIDAMENTE APROBADO POR EL INTERVENTOR Y/O SUPERVISOR DEL CONVENIO. QUIEN DEBERÁ HACERLE EL SEGUIMIENTO RESPECTIVO. 3) AMORTIZACION DEL ANTICIPO: EL ANTICIPO SE AMORTIZARÁ EN LOS CINCO (5) PAGOS RESTANTES. LOS SOPORTES TÉCNICOS Y FINANCIEROS DEL ANTICIPO SE DEBERÁN PRESENTAR CON LOS RESPECTIVOS INFORMES DE ACTIVIDADES. PARAGRAFO SEGUNDO: EN CASO DE INCUMPLIMIENTO DEL HOSPITAL EN EL MANEJO Y DESTINACIÓN DEL ANTICIPO. DE ACUERDO CON LAS CERTIFICACIONES DE CUMPLIMIENTO DE LA SUPERVISIÓN. LA ENTIDAD DARÁ APLICACIÓN A LOS PROCESOS ESTABLECIDOS PARA LA IMPOSICIÓN DE MULTAS Y/O DECLARATORIA DE INCUMPLIMIENTO. HACIENDO EFECTIVAS LAS GARANTÍAS APORTADAS. PAGOS PARCIALES Y PAGO FINAL: EL 80% DEL VALOR DE LOS APORTES DEL FONDO SE CANCELARÁ EN CUATRO (4) PAGOS MENSUALES IGUALES Y UN PAGO FINAL AL TERMINAR EL PLAZO DE EJECUCIÓN DEL CONVENIO. PREVIO DESCUENTO DEL VALOR ENTREGADO A TITULO DE ANTICIPO. PARRAGRAFO PRIMERO: PARA CADA UNO DE LOS PAGOS EL EJECUTOR DEBERÁ PRESENTAR. INFORME DE AVANCE DE EJECUCIÓN. CERTIFICACIÓN DE DE PAGO DE LOS APORTES AL SISTEMA DE SEGURIDAD SOCIAL Y PARAFISCALES. FACTURA O CUENTA DE COBRO Y CERTIFICACIÓN DE RECIBO A SATISFACCIÓN EXPEDIDA POR EL INTERVENTOR Y/O SUPERVISOR DELEGADO POR LA ALCALDÍA LOCAL. PARAGRAFO SEGUNDO: PARA EL ÚLTIMO PAGO SE EXIGIRÁ COPIA DEL RECIBO DE CAJA EMITIDO POR LA ENTIDAD. CON EL CUAL SE GARANTIZA QUE EL HOSPITAL REALIZÓ LA DEVOLUCIÓN DE LOS RENDIMIENTOS GENERADOS POR EL ANTICIPO Y SE VERIFICARÁ QUE SE HAYA AMORTIZADO LA TOTALIDAD DEL ANTICIPO. ASÍ COMO EL INFORME FINAL DE EJECUCIÓN Y LA SUSCRIPCIÓN DEL ACTA DE LIQUIDACIÓN</t>
  </si>
  <si>
    <t>830077644-5</t>
  </si>
  <si>
    <t>Adición y prorroga a convenio 095-2012 a convenio de 2012</t>
  </si>
  <si>
    <t>PROYECTO.3.3.1.14.01.02.1149.DESARROLLAR ACCIONES TENDIENTES A MEJORAR LAS CONDICIONES DE VIVIENDA Y SALUBRIDAD DE LOS HABITANTES DE LA LOCALIDAD TERCERA A TRAVES DE LOS PROGRAMAS DE PREVENCION E INTERVENCION EN ELCONTROL DE VECTORES PLAGA Y ROEDORES .</t>
  </si>
  <si>
    <t>EL FONDO DE DESARROLLO LOCAL EFECTUARA EL DESEMBOLSO DE SUS APORTES DE LA SIGUIENTE MANERA: SEIS PAGOS MENSUALES SEGÚN PORCENTAJE DE AVANCE DE EJECUCIÓN DE ACTIVIDADES, PREVIA ENTREGA DEL INFORME DE ACTIVIDADES RESPECTIVO E INFORME FINANCIERO, FACTURA O DOCUMENTO EQUIVALENTE, SEGÚN SEA EL CASO, CERTIFICACIÓN DE CUMPLIMIENTO DEL PAGO DE APORTES AL SISTEMA DE SEGURIDAD SOCIAL INTEGRAL Y PARAFISCALES Y CERTIFICADO DE CUMPLIMIENTO EXPEDIDO POR EL INTERVENTOR DEL CONVENIO, EL ÚLTIMO PAGO QUEDARÁ SUJETO A LA SUSCRIPCIÓN DEL ACTA DE LIQUIDACIÓN RESPECTIVA</t>
  </si>
  <si>
    <t>PROYECTO.3.3.1.14.01.02.1149.AUNAR ESFUERZOS TECNICOS , ADMINISTRATIVOS Y FINANCIEROS CON EL FIN DE DESARROLLAR ACCIONES ENCAMINADAS A RESTAURAR LA AUTOIMAGEN CON PROCEDIMIENTOS Y TRATAMIENTOS DE ORTODONCIA.</t>
  </si>
  <si>
    <t>14 meses</t>
  </si>
  <si>
    <t>EL FONDO DE DESARROLLO LOCAL EFECTUARA EL DESEMBOLSO DE SUS APORTES DE LA SIGUIENTE MANERA: DOS PAGOS, MENSUALES SEGÚN PORCENTAJE DE AVANCE DE EJECUCIÓN DE ACTIVIDADES, PREVIA ENTREGA DEL INFORME DE ACTIVIDADES RESPECTIVO E INFORME FINANCIERO, FACTURA O DOCUMENTO EQUIVALENTE, SEGÚN SEA EL CASO, CERTIFICACIÓN DE CUMPLIMIENTO DEL PAGO DE APORTES AL SISTEMA DE SEGURIDAD SOCIAL INTEGRAL Y PARAFISCALES Y CERTIFICADO DE CUMPLIMIENTO EXPEDIDO POR EL INTERVENTOR DEL CONVENIO, EL ÚLTIMO PAGO QUEDARÁ SUJETO A LA SUSCRIPCIÓN DEL ACTA DE LIQUIDACIÓN RESPECTIVA</t>
  </si>
  <si>
    <t>PROYECTO.3.3.1.14.01.02.1149. AUNAR ESFUERZOS TECNICOS.ADMINISTRATIVOS Y FINANCIEROS CON EL FIN DE REALIZAR LA CARRERA DE LA SALUD ,EN EL MARCO DEL CIRCUITO BOGOTA HUMANA.</t>
  </si>
  <si>
    <t>PROYECTO.3.3.1.14.01.02.1149. REALIZAR LA INTERVENTORIA TECNICA, ADMINISTRATIVA Y FINANCIERA  AL PROYECTO 1149 , COMPONENTE ATENCION EN SALUD SAMA.</t>
  </si>
  <si>
    <t>SELECCIÓN ABREVIADA 10% DE MENOR CUANTIA</t>
  </si>
  <si>
    <t>SEIS MENSUALIDADES VENCIDAS DE UN MILLON CUATROCIENTOS DIECISEIS MIL SEISCIENTOS SESENTA Y SEIS PESOS M/CTE ($1.416.666</t>
  </si>
  <si>
    <t>ESPERANZA JURIDICA SAS</t>
  </si>
  <si>
    <t>RUBRO.3.3.1.14.01.02.1149. ADICIONAR EL CONVENIO INTERADMOINISTRATIVO 94 DE 2012 , COMPONENTE ATENCION EN SALUD A NIÑAS Y NIÑOS EN CASAS VECINALES Y JARDINES ,ATENCION INTEGRAL A JOVENES POR SUSTANCIAS PSICOACTIVAS,SALUD SEXUAL Y REPRODUCTIVA.</t>
  </si>
  <si>
    <t>94-2012</t>
  </si>
  <si>
    <t>Adición y prorroga al convenio 094-2012 a convenio de 2012</t>
  </si>
  <si>
    <t>PROYECTO.3.3.1.14.01.02.1149. ADICIONAR EL C.INTERV. 136 DE 2012, APOYO AL PROGRAMA SALUD A SU CASA .ATENCION EN SALUD A NIÑAS Y NIÑOS EN CASAS VECINALES , ATENCION INTEGRAL A JOVENES , SUBSTANCIAS SICOACTIVAS  , SALUD SEXUAL Y REPRODUCTIVA.</t>
  </si>
  <si>
    <t>Contrato de prestación de servicios</t>
  </si>
  <si>
    <t>5 meses</t>
  </si>
  <si>
    <t>136-2012</t>
  </si>
  <si>
    <t>PAGARÁ EL VALOR DE ESTE CONTRATO DE LA SIGUIENTE MANERA; SIETE PAGOS MENSUALES PROPORCIONALES (MES VENCIDO) PREVIA ENTREGA DE CRONOGRAMA Y PLAN DE ACCIÓN PARA CADA UNO DE LOS PROYECTOS. INFORME DE AVANCE. CERTIFICACIÓN DE PARAFISCALES. FACTURA O CUENTA DE COBRO Y CERTIFICADO DEL SUPERVISOR. EL SÉPTIMO Y ÚLTIMO PAGO SE REALIZARÁ PREVIA ENTREGA DEL INFORME FINAL. PREVIA SUSCRIPCIÓN DEL ACTA DE LIQUIDACIÓN. ACTA DE TERMINACIÓN. RECIBO Y ENTREGA A SATISFACCIÓN  Y CERTIFICACIÓN DE  CUMPLIMIENTO EXPEDIDA POR EL SUPERVISOR DE LA ALCALDÍA LOCAL. PARA LA REALIZACIÓN DE CADA UNO DE LOS PAGOS EL CONTRATISTA DEBERÁ ENTREGAR LOS SIGUIENTES DOCUMENTOS: A. INFORME DE ACTIVIDADES DEBIDAMENTE FIRMADO POR EL CONTRATISTA B. CERTIFICADO DE CUMPLIMIENTO O ACTA DE RECIBO A SATISFACCIÓN EXPEDIDO POR EL SUPERVISOR DEL CONTRATO. C. COPIA DE LA PLANILLA DE PAGO DE LOS APORTES AL RÉGIMEN DE SEGURIDAD SOCIAL. PARA EL PERIODO COBRADO. EN PROPORCIÓN AL VALOR MENSUAL DEL CONTRATO. CUANDO SE TRATE DE PERSONAS NATURALES D.  CERTIFICACIÓN SUSCRITA POR EL REPRESENTANTE LEGAL O REVISOR FISCAL. QUE ACREDITE EL CUMPLIMIENTO DEL PAGO DE APORTES AL SISTEMA DE SEGURIDAD SOCIAL INTEGRAL DE LOS ÚLTIMOS SEIS (6) MESES. DE CONFORMIDAD CON EL ARTÍCULO 50 DE LA LEY 789 DE 2002 O AQUELLA QUE LO MODIFIQUE. ADICIONE O SUSTITUYA CUANDO SE TRATE DE PERSONAS JURÍDICAS.</t>
  </si>
  <si>
    <t>ARTULIO  ROZO CASTAÑEDA</t>
  </si>
  <si>
    <t>No aplica</t>
  </si>
  <si>
    <t>Adición y prorroga al contrato 136-2012 a convenio de 2012</t>
  </si>
  <si>
    <t>PROYECTO.3.3.1.14.01.02.1149.ADICIONAR EL CONVENIO INTERADMINISTRATIVO 91 DE 2012, COMPONENTE ENTREGA DE AYUDAS TECNICAS .</t>
  </si>
  <si>
    <t>091-2012</t>
  </si>
  <si>
    <t>FORMA DE PAGO: EL FONDO EFECTUARÁ LOS DESEMBOLSOS CORRESPONDIENTES A SU APORTE DE LA SIGUIENTE MANERA: ANTICIPO: EL FONDO ENTREGARÁ AL HOSPITAL A TITULO DE ANTICIPO EL 20% DEL VALOR DE SUS APORTES. PARAGRAFO PRIMERO: REGLAS DE MANEJO DEL ANTICIPO: 1) APERTURA DE CUENTA: EL HOSPITAL DEBERÁ APERTURAR UNA CUENTA BANCARIA SEPARADA. A NOMBRE DEL CONVENIO SUSCRITO. LOS RENDIMIENTOS QUE LLEGAREN A PRODUCIR LOS RECURSOS ASÍ ENTREGADOS. PERTENECERÁN A LA TESORERÍA DISTRITAL. 2) PLAN DE INVERSIÓN DEL ANTICIPO: EL HOSPITAL DEBE PRESENTAR EL PLAN DE INVERSIÓN DEL ANTICIPO. EL CUAL DEBE ESTAR DEBIDAMENTE APROBADO POR EL INTERVENTOR Y/O SUPERVISOR DEL CONVENIO. QUIEN DEBERÁ HACERLE EL SEGUIMIENTO RESPECTIVO. 3) AMORTIZACION DEL ANTICIPO: EL ANTICIPO SE AMORTIZARÁ EN LOS NUEVE (9) PAGOS RESTANTES. LOS SOPORTES TÉCNICOS Y FINANCIEROS DEL ANTICIPO SE DEBERÁN PRESENTAR CON LOS RESPECTIVOS INFORMES DE ACTIVIDADES. PARAGRAFO SEGUNDO: EN CASO DE INCUMPLIMIENTO DEL HOSPITAL EN EL MANEJO Y DESTINACIÓN DEL ANTICIPO. DE ACUERDO CON LAS CERTIFICACIONES DE CUMPLIMIENTO DE LA SUPERVISIÓN. LA ENTIDAD DARÁ APLICACIÓN A LOS PROCESOS ESTABLECIDOS PARA LA IMPOSICIÓN DE MULTAS Y/O DECLARATORIA DE INCUMPLIMIENTO. HACIENDO EFECTIVAS LAS GARANTÍAS APORTADAS. PAGOS PARCIALES Y PAGO FINAL: EL 80% DEL VALOR DE LOS APORTES DEL FONDO SE CANCELARÁ EN OCHO (8) PAGOS MENSUALES IGUALES Y UN PAGO FINAL AL TERMINAR EL PLAZO DE EJECUCIÓN DEL CONVENIO. PREVIO DESCUENTO DEL VALOR ENTREGADO A TITULO DE ANTICIPO. PARRAGRAFO PRIMERO: PARA CADA UNO DE LOS PAGOS EL EJECUTOR DEBERÁ PRESENTAR. INFORME DE AVANCE DE EJECUCIÓN. CERTIFICACIÓN DE DE PAGO DE LOS APORTES AL SISTEMA DE SEGURIDAD SOCIAL Y PARAFISCALES. FACTURA O CUENTA DE COBRO Y CERTIFICACIÓN DE RECIBO A SATISFACCIÓN EXPEDIDA POR EL INTERVENTOR Y/O SUPERVISOR DELEGADO POR LA ALCALDÍA LOCAL. PARAGRAFO SEGUNDO: PARA EL ÚLTIMO PAGO SE EXIGIRÁ COPIA DEL RECIBO DE CAJA EMITIDO POR LA ENTIDAD. CON EL CUAL SE GARANTIZA QUE EL HOSPITAL REALIZÓ LA DEVOLUCIÓN DE LOS RENDIMIENTOS GENERADOS POR EL ANTICIPO Y SE VERIFICARÁ QUE SE HAYA AMORTIZADO LA TOTALIDAD DEL ANTICIPO. ASÍ COMO EL INFORME FINAL DE EJECUCIÓN Y LA SUSCRIPCIÓN DEL ACTA DE LIQUIDACIÓN</t>
  </si>
  <si>
    <t>Adición y prorroga al contrato 091-2012 a convenio de 2012</t>
  </si>
  <si>
    <t>PROYECTO. 3.3.1.14.01.02.1149. ADICIONAR EL CONTRATO DE INTERVENTORIA 111 DE 2012 , A LOS PROYECTOS 429 Y 463 , FORTALECIMIENTO AL BANCO0 DE AYUDAS TECNICAS.</t>
  </si>
  <si>
    <t>TERESA  RIVERA CHAVARRO</t>
  </si>
  <si>
    <t>PROYECTO. 3.3.1.14.01.03.1150. REALIZAR INTERVENTORIA TECNICA,ADMINISTRATIVA FINANCIERA,CONTABLE SOCIAL Y AMBIENTAL AL CONTRATO DE LA LICITACION PUBLICA PROYECTO 1150. PROGRAMA DE ALFABETIZACION Y EDUCACION BASICA Y MEDIA.</t>
  </si>
  <si>
    <t>CIN-170-2013</t>
  </si>
  <si>
    <t>EL VALOR TOTAL DEL CONTRATO ES  LA SUMA DE DIEZ MILLONES DE PESOS M/CTE ($10.000.000), INCLUIDOS LOS IMPUESTOS Y DEMÁS COSTOS DIRECTOS E INDIRECTOS QUE SU EJECUCIÓN CONLLEVE,  LOS CUALES SERÁN CANCELADOS EN OCHO (8) MENSUALIDADES VENCIDAS, PREVIA PRESENTACIÓN DE INFORME DE ACTIVIDADES DEBIDAMENTE FIRMADO POR EL SUPERVISOR DE CONTRATO, EL APOYO A LA SUPERVISIÓN (SI APLICA) Y EL CONTRATISTA, FACTURA O DOCUMENTO EQUIVALENTE, COPIA DEL PAGO DE LOS APORTES AL SISTEMA DE SEGURIDAD SOCIAL Y PARAFISCALES, PARA EL PERIODO COBRADO, CERTIFICADO DE CUMPLIMIENTO EXPEDIDO POR EL SUPERVISOR DEL CONTRATO. EL ÚLTIMO PAGO SE REALIZARÁ PREVIA ENTREGA DEL INFORME FINAL DEL INTERVENTOR, EL INFORME FINAL DEL EJECUTOR, SUSCRIPCIÓN DEL ACTA DE LIQUIDACIÓN, ACTA DE TERMINACIÓN Y CERTIFICACIÓN DE CUMPLIMIENTO EXPEDIDA POR EL SUPERVISOR DE LA ALCALDÍA LOCAL. PARAGRAFO PRIMERO: LA CANCELACIÓN DEL VALOR DEL CONTRATO, POR PARTE DEL FONDO  AL CONTRATISTA SE HARÁ MEDIANTE EL SISTEMA AUTOMÁTICO DE PAGOS, REALIZANDO CONSIGNACIONES EN LA CUENTA DE AHORROS NO.   037129608 DEL BANCO BBVA  PARÁGRAFO SEGUNDO: LOS PAGOS QUE EFECTUÉ EL FONDO ,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</si>
  <si>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CHARLES  MENDOZA SALAS</t>
  </si>
  <si>
    <t>PROYECTO.3.3.1.14.01.03.1150. REALIZAR UN PROGRAMA DE ALFABETIZACION Y EDUCACION BASICA Y MEDIA A JOVENES EN EXTRA EDAD ESCOLAR Y POBLACION ADULTA DE LA LOCALIDAD DE SANTA FE.</t>
  </si>
  <si>
    <t>CPS-154-2013</t>
  </si>
  <si>
    <t>EL VALOR DEL CONTRATO SE CANCELARA DE LA SIGUIENTE FORMA: 1. EL OCHENTA (80%)  POR CIENTO DEL VALOR DEL CONTRATO DE FORMA MENSUAL. EL CONTRATISTA DEBERÁ DEMOSTRAR EL PORCENTAJE DE  EJECUCIÓN DEL CONTRATO Y ESE SERÁ EL VALOR A CANCELAR EN EL MES.  2. EL VEINTE (20%) POR CIENTO DEL VALOR DEL CONTRATO JUNTO CON EL ACTA DE LIQUIDACIÓN DEL CONTRATO, EL CONTRATISTA DEBERÁ SOPORTAR LA EJECUCIÓN DEL CONTRATO.  PREVIA PRESENTACIÓN DE LOS SIGUIENTES DOCUMENTOS:  A. INFORME DE ACTIVIDADES DEBIDAMENTE FIRMADO POR EL INTERVENTOR DE CONTRATO, Y EL CONTRATISTA, EL INFORME DEBE ESTAR DEBIDAMENTE SOPORTADO. B. FACTURA O DOCUMENTO EQUIVALENTE (DEPENDIENDO DEL RÉGIMEN A QUIEN PERTENEZCA).C. CERTIFICADO DE CUMPLIMIENTO O ACTA DE RECIBO A SATISFACCIÓN EXPEDIDO POR EL INTERVENTOR DEL CONTRATO. D.  ACTA DE INGRESO DE LOS BIENES AL ALMACÉN.(CUANDO APLIQUE). E.  COPIA DE LA PLANILLA DE PAGO DE LOS APORTES AL RÉGIMEN DE SEGURIDAD SOCIAL, PARA EL PERIODO COBRADO, EN PROPORCIÓN AL VALOR MENSUAL DEL CONTRATO, CUANDO SE TRATE DE PERSONAS NATURALES F.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J. COPIA DEL RIT, RUT Y RESOLUCIÓN DEL APLICACIÓN (CUANDO APLIQUE).K.  CERTIFICACIÓN BANCARIA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</si>
  <si>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FUNPES FUNDACION DE PROYECTOS EDUCATIVOS SOCIALES</t>
  </si>
  <si>
    <t>PROYECTO.3.3.1.14.01.03.1150. REALIZACION DE UN FESTIVAL DE EXPRESIONES ARTISTICAS DE NIÑAS Y NIÑOS Y JOVENES DE LAS INSTITUCIONES EDUCATIVAS DISTRITALES DE LA LOCALIDAD DE SANTA FE.</t>
  </si>
  <si>
    <t>2 MESES</t>
  </si>
  <si>
    <t>85-2013</t>
  </si>
  <si>
    <t>80% DEL VALOR DEL CONTRATO DE MANERA MENSUAL CONTRA EJECUCIÓN PREVIA PRESENTACIÓN DE: INFORME DE ACTIVIDADES FIRMADO POR EL INTERVENTOR DEL CONTRATO Y EL CONTRATISTA, COPIA DE LA PLANILLA DE PAGO DE LOS APORTES A RÉGIMEN DE SEGURIDAD SOCIAL, CERTIFICACIÓN DEL REVISOR O REPRESENTANTE LEGAL ACREDITANDO EL CUMPLIMIENTO DE PAGOS. APORTE DE SEGURIDAD SOCIAL INTEGRAL Y PARAFISCALES, CERTIFICACIÓN BANCARIA, CON EL ACTA DE LIQUIDACIÓN DEL CONTRATO Y 20% A LA LIQUIDACIÓN DEL CONTRATO</t>
  </si>
  <si>
    <t>SUI JURIS</t>
  </si>
  <si>
    <t>900.078.097-4</t>
  </si>
  <si>
    <t>PROYECTO. 3.3.1.14.01.03.1150. REALIZAR UN TORNEO DE MICROFUTBOL ENTRE LAS NUEVE (9) IEDS DE LA LOCALIDAD DE SANTA FE, EN EL MARCO DEL PROYECTO EDUCACION PARA YTODAS Y TODOS.</t>
  </si>
  <si>
    <t>. EL OCHENTA (80%)  POR CIENTO DEL VALOR DEL CONTRATO DE FORMA MENSUAL. EL CONTRATISTA DEBERÁ DEMOSTRAR EL PORCENTAJE DE  EJECUCIÓN DEL CONTRATO Y ESE SERÁ EL VALOR A CANCELAR EN EL MES.  2. EL VEINTE (20%) POR CIENTO DEL VALOR DEL CONTRATO JUNTO CON EL ACTA DE LIQUIDACIÓN DEL CONTRATO</t>
  </si>
  <si>
    <t>CLUB DEPORTIVO SCORPTIVA</t>
  </si>
  <si>
    <t>suscrito</t>
  </si>
  <si>
    <t>PROYECTO.3.3.1.14.01.03.1150.INTERVENTORIA TECNICA,ADMINISTRATIVA,FINANCIERA,CONTABLE,SOCIAL Y AMBIENTAL AL CONTRATO DE LA SELECCION ABREVIADA  DE MINIMA CUANTIA , TORNEO DE MICROFUTBOL ENTRE LAS 9 IEDS DE LA LOCALIDAD.</t>
  </si>
  <si>
    <t>DOS MENSUALIDADES VENCIDAS DE UN MILLON NOVECIENTOS NOVENTA MIL PESOS  M/CTE ($1.990.000.OO), LA CUAL INCLUYE TODOS LOS IMPUESTOS, TASAS Y CONTRIBUCIONES A QUE TENGA LUGAR, PREVIA PROGRAMACIÓN DEL PAC</t>
  </si>
  <si>
    <t>KAMAL ALBERTO BECHARA HINESTROZA</t>
  </si>
  <si>
    <t>PROYECTO.3.3.1.14.01.03.1150. REALIZAR INTERVENTORIA TECNICA,ADMINISTRATIVA ,FINANCIERA,CONTABLE , SOCIAL Y AMBIENTAL AL CONTRATO RESULTANTE DE LA SELECCION ABREVIADA DE MENOR CUANTIA ,PARA GARANTIZAR LA REALIZACION DEL FESTIVAL DE EXPRESIONES ARTISTICAS EN LA LOCALIDAD DE SANTA FE.</t>
  </si>
  <si>
    <t>CONTRATACIÓN DIRECTA LEY 1150 DE 2007</t>
  </si>
  <si>
    <t>DOS MENSUALIDADES VENCIDAS DE UN MILLÓN NOVECIENTOS VEINTICINCO MIL PESOS ($1.925.000), LA CUAL INCLUYE TODOS LOS IMPUESTOS, TASAS Y CONTRIBUCIONES A QUE TENGA LUGAR, PREVIA PROGRAMACIÓN DEL PAC</t>
  </si>
  <si>
    <t>LUIS CARLOS POTES COPETE</t>
  </si>
  <si>
    <t>PROYECTO. 3.3.1.14.01.08.1150. CONTATAR EL SUMINISTRO DE UN SISTEMA DE APRENDIZAJE (DIDACTICO,PEDAGOGICO Y RECREATIVO) PARA MEJORAR LA CALIDAD EDUCATIVA DE LA POBLACION ESTUDIANTIL ,DE LAS INSTITUCIONES DISTRITALES DE LA LOCALIDAD DE SANTA FE.</t>
  </si>
  <si>
    <t>1 mes</t>
  </si>
  <si>
    <t>CPS-094-2013</t>
  </si>
  <si>
    <t>EL VALOR TOTAL DEL PRESENTE CONTRATO SERÁ EL QUE RESULTE COMO PRODUCTO DEL PRESENTE PROCESO EL CUAL TENDRÁ EL I.V.A. INCLUIDO; EL FONDO DE DESARROLLO LOCAL DE SANTA FE CANCELARÁ EL 100 % DEL VALOR DEL CONTRATO, DENTRO DE LOS 30 DÍAS SIGUIENTES A LA RADICACIÓN DE: A). FACTURA Ó CUENTA DE COBRO. B). CERTIFICACIÓN DEL RECIBO A SATISFACCIÓN SUSCRITA POR EL SUPERVISOR DEL CONTRATO. C). COMPROBANTE DE PAGO DE SUS OBLIGACIONES CON LOS SISTEMAS DE SALUD, RIESGOS PROFESIONALES, PENSIONES Y APORTES A LAS CAJAS DE COMPENSACIÓN FAMILIAR, INSTITUTO COLOMBIANO DE BIENESTAR FAMILIAR Y SERVICIO NACIONAL DE APRENDIZAJE, PREVIA CERTIFICACIÓN DE RECIBIDO A SATISFACCIÓN POR PARTE DEL SUPERVISOR Y/O INTERVENTOR DEL CONTRATO D. INFORME DEBIDAMENTE SOPORTADO TÉCNICAMENTE DE LAS ACTIVIDADES. PARA EFECTO DEL PAGO LOS TREINTA DÍAS (30) DÍAS HÁBILES SE EMPEZARÁN A CONTAR A PARTIR DE LA RADICACIÓN EN LA OFICINA FINANCIERA DEL FONDO LOCAL DE LOS DOCUMENTOS REQUERIDOS PARA TAL FIN.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</si>
  <si>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ARISMA S A</t>
  </si>
  <si>
    <t>PROYECTO.3.3.1.14.01.03.1150. ACTIVIDADES EXTRAESCOLARES , CON EL FIN DE FORTALECER LOS PROCESOS DE INVESTIGACION EN PROYECTOS DE CIENCIA Y TECNOLOGIA ,ASI COMO LA APROPIACION SOCIAL DE CONOCIMIENTO EN LAS INSTITUCIONES EDUCATIVAS DISTRITALES DE LA LOCALIDAD.</t>
  </si>
  <si>
    <t>Convenio de Asociación</t>
  </si>
  <si>
    <t>67-2013</t>
  </si>
  <si>
    <t>50% CUANDO SE HALLAN REALIZADO EL 50% DE LA SALIDA, 50% CUANDO SE HAYAN REALIZADO EL OTRO 505 DE LAS SALIDAS (555)</t>
  </si>
  <si>
    <t>MALOKA CENTRO INTERACTIVO DE CIENCIA Y TECNOLOGIA</t>
  </si>
  <si>
    <t>830,040,745-0</t>
  </si>
  <si>
    <t>PROYECTO.3.3.1.14.01.03.1150. REALIZAR INTERVENTORIA TECNICA,ADMINISTRATIVA,FINANCIERA,CONTABLE,SOCIAL Y AMBIENTAL AL CONTRATO RESULTANTE DE LA SELECCION ABREVIADA DE MENOR CUANTIA PARA DESARROLLAR EL PROCESO DE CAPACITACION EN LAS NUEVE(9) IED DE LA LOCALIDAD DE SANTA FE.</t>
  </si>
  <si>
    <t>DOS MENSUALIDADES VENCIDAS DE UN MILLON QUINIENTOS MIL PESOS M/CTE ($1.500.000.OO)</t>
  </si>
  <si>
    <t>EDISON  ARIAS CELIS</t>
  </si>
  <si>
    <t>PROYECTO.3.3.1.14.01.03.1150. DESARROLLAR UN PROCESO DE CAPACITACION TEORICO PRACTICO EN LAS NUEVE (9)  INSTITUCIONES EDUCATIVAS DISTRITALES DE LA LOCALIDAD DE SANTA FE , PARA FORTALECER EL APRENDIZAJE DE LA COMUNICACION , EN EL MARCO DEL PROYECTO "EDUCACION PARA TODAS Y TODOS".</t>
  </si>
  <si>
    <t>SELECCIÓN ABREVIADA MENOR CUANTIA LEY 1150 DE 2007</t>
  </si>
  <si>
    <t>EL OCHENTA (80%)  POR CIENTO DEL VALOR DEL CONTRATO DE FORMA MENSUAL. EL CONTRATISTA DEBERÁ DEMOSTRAR EL PORCENTAJE DE  EJECUCIÓN DEL CONTRATO Y ESE SERÁ EL VALOR A CANCELAR EN EL MES.  2. EL VEINTE (20%) POR CIENTO DEL VALOR DEL CONTRATO JUNTO CON EL ACTA DE LIQUIDACIÓN DEL CONTRATO, EL CONTRATISTA DEBERÁ SOPORTAR LA EJECUCIÓN DEL CONTRATO.</t>
  </si>
  <si>
    <t>CONSORCIO PROYECTOS SOCIALES</t>
  </si>
  <si>
    <t>PROYECTO.3.3.1.14.01.03.1150. APOYO LOGISTICO AL FORO EUCATIVO LOCAL 2013, EDUCACION PARA DISFRUTAR Y APRENDER</t>
  </si>
  <si>
    <t>053-2013</t>
  </si>
  <si>
    <t>EL FONDO DE DESARROLLO LOCAL DE SANTA FE. REALIZARÁ UN (1) ÚNICO PAGO PREVIA CERTIFICACIÓN DE CUMPLIMIENTO A SATISFACCIÓN EXPEDIDA. ENTREGA Y RECIBIDO A SATISFACCIÓN DE LOS ELEMENTOS A SUMINISTRAR POR PARTE DEL SUPERVISOR DE APOYO DESIGNADO PARA ESTE CONTRATO. INFORME DEBIDAMENTE SOPORTADO TÉCNICA Y FINANCIERAMENTE AVALADO POR LAS PARTES. CUENTA DE COBRO Y/O FACTURA.  CERTIFICACIÓN EMANADA DEL REVISOR FISCAL O REPRESENTANTE LEGAL SEGÚN SEA EL CASO EN LA QUE INDIQUE ESTAR AL DÍA EN EL PAGO DE LOS APORTES AL SISTEMA GENERAL DE SEGURIDAD SOCIAL INTEGRAL Y DEMÁS APORTES PARAFISCALES A QUE HAYA LUGAR. EL VALOR A CANCELAR SERÁ PROGRAMADO CON EL CUMPLIMIENTO DE TODOS LOS REQUISITOS Y DE ACUERDO CON LA AUTORIZACIÓN QUE EMITA LA SECRETARÍA DE HACIENDA PARA EL PAC</t>
  </si>
  <si>
    <t>CORPORACION INNOVA</t>
  </si>
  <si>
    <t>En proceso de liquidación</t>
  </si>
  <si>
    <t>CONTRIBUIR AL DESARROLLO Y FORTALECIMIENTO DE LAS CAPACIDADES Y POTENCIALIDADES RELACIONADAS CON LA PARTICIPACIÓN CON INCIDENCIA, EN EL CUIDADO Y LAS REDES SOCIALES,  FAMILIARES DE LAS PERSONAS MAYORES Y GRUPOS POBLACIONALES DE LA LOCALIDAD DE SANTA FE, EN SITUACIÓN DE DISCRIMINACIÓN Y SEGREGACIÓN SOCIOECONÓMICA, EXCLUSIÓN, SENSIBILIZACIÓN Y VISIBILIZACIÓN.  AL IGUAL QUE MEJORAR SUS CONDICIONES MATERIALES DE EXISTENCIA, QUE PERMITAN LA AMPLIACIÓN DE OPORTUNIDADES CON AUTONOMÍA, INDEPENDENCIA Y DIGNIDAD. (VALOR SUBSIDIOS)</t>
  </si>
  <si>
    <t>MENSUAL</t>
  </si>
  <si>
    <t>CAJA DE COMPENSACION FAMILIAR - COMPENSAR</t>
  </si>
  <si>
    <t>860066942-7</t>
  </si>
  <si>
    <t>CONTRIBUIR AL DESARROLLO Y FORTALECIMIENTO DE LAS CAPACIDADES Y POTENCIALIDADES RELACIONADAS CON LA PARTICIPACIÓN CON INCIDENCIA, EN EL CUIDADO Y LAS REDES SOCIALES,  FAMILIARES DE LAS PERSONAS MAYORES Y GRUPOS POBLACIONALES DE LA LOCALIDAD DE SANTA FE, EN SITUACIÓN DE DISCRIMINACIÓN Y SEGREGACIÓN SOCIOECONÓMICA, EXCLUSIÓN, SENSIBILIZACIÓN Y VISIBILIZACIÓN.  AL IGUAL QUE MEJORAR SUS CONDICIONES MATERIALES DE EXISTENCIA, QUE PERMITAN LA AMPLIACIÓN DE OPORTUNIDADES CON AUTONOMÍA, INDEPENDENCIA Y DIGNIDAD. (VALOR COSTOS OPERATIVOS)</t>
  </si>
  <si>
    <t>PRESTAR LOS SERVICIOS PROFESIONALES PARA APOYAR AL GRUPO DE GESTIÓN ADMINISTRATIVA Y FINANCIERA EN LA VERIFICACIÓN DE CONDICIONES, SEGUIMIENTO A TRESCIENTOS (300) BENEFICIARIOS DEL PROYECTO, DONDE SE ATIENDEN UN TOTAL DE NOVECIENTOS BENEFICIARIOS (900) PERSONAS MAYORES EN TOTAL Y APOYE LA EJECUCIÓN DEL PROYECTO 1157 SANTA FE REDUCE LA DISCRIMINACIÓN Y LA SEGREGACIÓN SOCIAL COMPONENTE: ENTREGA DE SUBSIDIO TIPO C (FOCALIZADORA 3)</t>
  </si>
  <si>
    <t>MESUAL</t>
  </si>
  <si>
    <t>FUNDACION FORO CIVICO ESCUELA DE DEMOCRACIA, DERECHOS HUMANOS Y PARTICIPACION CIUDADANA</t>
  </si>
  <si>
    <t>830044030-1</t>
  </si>
  <si>
    <t>SE CONTRATO LA FUNDACION, TODA VEZ QUE LA MINIMA CUENTIA DEL FDL NO PERMITIA UN SUELDO SIMILAR AL DE LAS FOCALIZADORAS DE LA SDIS</t>
  </si>
  <si>
    <t>PRESTAR LOS SERVICIOS PROFESIONALES PARA APOYAR AL GRUPO DE GESTIÓN ADMINISTRATIVA Y FINANCIERA EN LA VERIFICACIÓN DE CONDICIONES, SEGUIMIENTO A TRESCIENTOS (300) BENEFICIARIOS DEL PROYECTO, DONDE SE ATIENDEN UN TOTAL DE NOVECIENTOS BENEFICIARIOS (900) PERSONAS MAYORES EN TOTAL Y APOYE LA EJECUCIÓN DEL PROYECTO 1157 SANTA FE REDUCE LA DISCRIMINACIÓN Y LA SEGREGACIÓN SOCIAL COMPONENTE: ENTREGA DE SUBSIDIO TIPO C (FOCALIZADORA 1)</t>
  </si>
  <si>
    <t>PRESTAR LOS SERVICIOS PROFESIONALES PARA APOYAR AL GRUPO DE GESTIÓN ADMINISTRATIVA Y FINANCIERA EN LA VERIFICACIÓN DE CONDICIONES, SEGUIMIENTO A TRESCIENTOS (300) BENEFICIARIOS DEL PROYECTO, DONDE SE ATIENDEN UN TOTAL DE NOVECIENTOS BENEFICIARIOS (900) PERSONAS MAYORES EN TOTAL Y APOYE LA EJECUCIÓN DEL PROYECTO 1157 SANTA FE REDUCE LA DISCRIMINACIÓN Y LA SEGREGACIÓN SOCIAL COMPONENTE: ENTREGA DE SUBSIDIO TIPO C (FOCALIZADORA 2)</t>
  </si>
  <si>
    <t>adición al contrato 10 de 2013</t>
  </si>
  <si>
    <t>adición</t>
  </si>
  <si>
    <t>PROYECTO.3.3.1.14.01.05.1157. REALIZAR INTERVENTORIA TECNICA ADMINISTRATIVA ,FINANCIERA , CONTABLE  , SOCIAL Y AMBIENTAL AL PROYECTO 1157. SANTA VFE REDUCE LA DISCRIMINACION Y LA SEGREGACION SOCIAL.</t>
  </si>
  <si>
    <t>CARLOS HERNANDO MACIAS MONTOYA</t>
  </si>
  <si>
    <t>PROYECTO.3.3.1.14.01.05.1157.CONTRIBUIR AL DESARROLLO Y FORTALECIMIENTO DE LAS CAPACIDADES Y POTENCIALIDADES EN EL CUIDADO Y LAS REDES SOCIALES ,FAMILIARES DE PERSONAS MAYORES Y GRUPOS POBLACIONALES DE LA LOCALIDAD DE SANTA FE.</t>
  </si>
  <si>
    <t>PROYECTO.3.3.1.14.01.05.1157. CONTRIBUIR AL DESARROLLO Y FORTALECIMIENTO DE LAS CAPACIDADES Y POTENCIALIDADES RELACIONADAS CON LA PARTICIPACION EN EL CUIDADO DE LAS REDES SOCIALES DE LAS PERSONAS MAYORES Y GRUPOS POBLACIONALES DE LA LOCALIDAD DE SANTA FE.</t>
  </si>
  <si>
    <t>PROYECTO.3.3.1.14.01.05.1157. CONTRIBUIR AL DESARROLLO Y FORTALECIMIENTO DE LAS CAPACIDADES Y POTENCIALIDADES RELACIONADAS CON LA PARTICIPACION EN EL CUIDADO DE GRUPOS POBLACIONALES DE LA LOCALIDAD DE SANTA FE , EN SITUACION DE DISCRIMINACION Y SEGREGACION SOCIOECONOMICA(VALOR SUBSIDIOS).</t>
  </si>
  <si>
    <t>PROYECTO.3.3.1.14.01.05.1157. ADICIONAR EL CPS-126.</t>
  </si>
  <si>
    <t>126-2012</t>
  </si>
  <si>
    <t>EL VALOR DEL CONTRATO DE INTERVENTORÍA SERÁ DE VALOR OFERTADO. EN 5 MENSUALIDADES VENCIDAS.  PREVIA PRESENTACIÓN DE INFORMES DE ACTIVIDADES DEL PERÍODO. DEBIDAMENTE AVALADO POR EL SUPERVISOR DESIGNADO POR EL FDLSF; VERIFICACIÓN DEL PAGO A LOS SISTEMAS DE SALUD. PENSIONES Y ARP.  SUSCRIPCIÓN DE RECIBO A SATISFACCIÓN POR PARTE DEL SUPERVISOR GENERAL. TENIENDO EN CUENTA LO DISPUESTO POR EL ARTÍCULO 23 DE LA LEY 1150 DE 2007. LOS PAGOS ESTARÁN CONDICIONADOS A LAS APROPIACIONES PRESUPUESTALES QUE DE LOS MISMOS SE HAGAN EN EL PRESUPUESTO Y A LA PROGRAMACIÓN DEL PROGRAMA ANUAL MENSUALIZADO DE CAJA - PAC</t>
  </si>
  <si>
    <t>JULIANA  SUAREZ VANEGAS</t>
  </si>
  <si>
    <t>PROYECTO.3.3.1.14.01.05.1157. ADICIONAR EL CONVENIO DE ASOCIACION 157 DE 2012. COMPONENTE PROTECCION A LOS DERECHOS DE LA POBLACION ADULTA MAYOR EN CONCORDANCIA CON LA POLITICA PUBLICA PARA EL ENVEJECIMIENTO.</t>
  </si>
  <si>
    <t>3 meses</t>
  </si>
  <si>
    <t>157-2012</t>
  </si>
  <si>
    <t>EL FONDO DE DESARROLLO LOCAL PAGARA A) UN PRIMER PAGO POR EL 30% DEL VALOR APORTADO POR EL FONDO AL PRIMER MES DE EJECUCIÓN CONTRA ENTREGA DEL PRIMER INFORME DE ACTIVIDADES. B) UN SEGUNDO PAGO POR EL 30% DEL VALOR APORTADO POR EL FONDO CONTRA ENTREGA AL TERCER INFORME DE ACTIVIDADES. C) UN TERCER PAGO POR EL 30% DEL VALOR APORTADO POR EL FONDO CONTRA EL QUINTO INFORME DE ACTIVIDADES. EL DIEZ POR CIENTO (10%) DEL VALOR DEL CONTRATO ESTARÁ A SUJETO AL ACTA DE TERMINACIÓN DEL CONTRATO. ESTOS PAGOS SE REALIZARÁN PREVIA PRESENTACIÓN POR PARTE DE  LA FUNDACION DE LOS SIGUIENTES DOCUMENTOS: FACTURA CON EL CUMPLIMIENTO DE LOS REQUISITOS LEGALES. REPORTE DE INGRESO DE INFORMACIÓN DE ASISTENCIA EN EL SISTEMA E INFORMES DE EJECUCIÓN. ESTOS DOCUMENTOS SERÁN CONFRONTADOS CON LA INTERVENTORÍA. EN LA CERTIFICACIÓN DE CUMPLIMIENTO LA INTERVENTORÍA VERIFICARÁ Y CERTIFICARÁ EL CUMPLIMIENTO DE LAS OBLIGACIONES CONTRACTUALES. LAS OBLIGACIONES LABORALES Y DE SEGURIDAD SOCIAL EN SALUD. PENSIONES Y APORTES PARAFISCALES. PARAGRAFO PRIMERO: DICHA SUMA SE PAGARÁ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LA FUNDACION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LA FUNDACION DESTINARÁ LOS RECURSOS ECONÓMICOS ENTREGADOS POR EL FONDO ÚNICA Y EXCLUSIVAMENTE PARA DESARROLLAR LAS ACTIVIDADES DESCRITAS EN EL MARCO DEL PRESENTE CONVENIO</t>
  </si>
  <si>
    <t>FUNDACION PARA EL DESARROLLO INTEGRAL DEL DEPORTE LA RECREACION LA CULTURA Y EL APROVECHAMIENTO DEL TIEMPO LIBRE Y QUE P</t>
  </si>
  <si>
    <t>PROYECTO. 3.3.1.14.01.05.1157. ADICIONAR EL CONTRATO DE INTERVENTORIA 03 DE 2013. SUSCRITO ENTRE EL FDL DE SANTA FE Y LA FUNDACION FUNDIDERC.</t>
  </si>
  <si>
    <t>EL VALOR ESTIMADO DEL CONTRATO QUE SE DERIVE DEL PRESENTE PROCESO DE SELECCIÓN. ES POR LA SUMA DE NUEVE MILLONES SETECIENTOS MIL PESOS ($9.700.000.OO) INCLUIDO IVA. LA CUAL INCLUYE TODOS LOS IMPUESTOS. TASAS Y CONTRIBUCIONES A QUE TENGA LUGAR. PAGADEROS EN MENSUALIDADES VENCIDAS DE UN MILLON TRESCIENTOS OCHENTA Y CINCO MIL  SETECIENTOS CATORCE PESOS M/CTE ($$ 1.385.714.OO). DENTRO DE LOS DIEZ (10) DÍAS HÁBILES SIGUIENTES A LA FINALIZACIÓN DEL RESPECTIVO MES DE EJECUCIÓN DEL CONTRATO PREVIA ENTREGA DE LOS SIGUIENTES DOCUMENTOS: INFORME DE ACTIVIDADES DEBIDAMENTE FIRMADO POR EL SUPERVISOR DE CONTRATO. EL APOYO A LA SUPERVISIÓN (SI APLICA) Y EL CONTRATISTA. CUENTA DE COBRO. COPIA DEL PAGO DE LOS APORTES AL SISTEMA DE SEGURIDAD SOCIAL Y PARAFISCALES. PARA EL PERIODO COBRADO. CERTIFICADO DE CUMPLIMIENTO EXPEDIDO POR EL SUPERVISOR DEL CONTRATO</t>
  </si>
  <si>
    <t>PROYECTO , 3.3.1.14.01.05.1157 , INTERVENTORIA TECNICA,ADMINISTRATIVA,FINANCIERA Y SOCIAL AL CONVENIO DE ASOCIACION 154 DE 2012 SUSCRITO CON EL INPAHU.</t>
  </si>
  <si>
    <t>Mínima Cuantía</t>
  </si>
  <si>
    <t>12/022013</t>
  </si>
  <si>
    <t>10 meses</t>
  </si>
  <si>
    <t>SANDRA CATALINA GONZALEZ ALVAREZ</t>
  </si>
  <si>
    <t>DE ACUERDO CON LA REVISION DEL PROYECTO EL OBJETO DEL CONTRATO NO CORRESPONDE CON LA META DEL PROYECTO AFECTADO</t>
  </si>
  <si>
    <t>PROYECTO.3.3.1.14.01.05.1157 , PRESTAR LOS SERVICIOS PARA EJECUTAR EL PROYECTO 1157 , COMPONENTE ATENCION A PERSONAS EN SITUACION DE FRAGILIDAD SOCIAL , ADULTO MAYOR.</t>
  </si>
  <si>
    <t>10-SDID</t>
  </si>
  <si>
    <t>066-2013</t>
  </si>
  <si>
    <t>900078097-4</t>
  </si>
  <si>
    <t>Existe constancia en la cual se señala que habrá interventoria externa porque no hay designación de supervisor.</t>
  </si>
  <si>
    <t>PROYECTO.3.3.1.14.01.05.1157. AUNAR ESFUERZOS TECNICOS.ADMINISTRATIVOS Y FINANCIEROS PARA EJECUTAR EL PROYECTO 1157.COMPONENTE ATENCION A LAS PERSONAS EN SITUACION DE FRAGILIDAD SOCIAL.</t>
  </si>
  <si>
    <t>CAS-103-2013</t>
  </si>
  <si>
    <t>SE CANCELARA EL 80% DEL VALOR DEL CONVENIO DE ASOCIACIÓN DE FORMA MENSUAL, CUANDO SE ENCUENTRE LOS DOCUMENTOS DE SOPORTE COMO FACTURA Y/O DOCUMENTO EQUIVALENTE CUANDO APLIQUE, CERTIFICADO DE SISTEMA INTEGRADO DE SALUD, PENSIÓN, ARL, INFORME DE ACTIVIDADES DEBIDAMENTE SOPORTADO TÉCNICAMENTE Y FINANCIERAMENTE; EL VALOR A CANCELAR DE FORMA MENSUAL SERÁ EL QUE SE ENCUENTRE SOPORTADO FINANCIERAMENTE.  EL VEINTE (20%) POR CIENTO ESTARÁ SUJETO A LA SUSCRIPCIÓN AL ACTA DE LIQUIDACIÓN.</t>
  </si>
  <si>
    <t>FUNDACION COMUNITARIA PARA EL DESARROLLO INTEGRAL DE LA VIVIENDA DIGNA - FUCODEVI</t>
  </si>
  <si>
    <t>Se anuló parte del CRP 491</t>
  </si>
  <si>
    <t>PROYECTO.3.3.1.14.01.05.1157 . PROMOCION DE LAS POLITICAS PUBLICAS ,DE LOS GRUPOS POBLACIONALES.</t>
  </si>
  <si>
    <t>Licitación pública</t>
  </si>
  <si>
    <t>CPS-074-2013</t>
  </si>
  <si>
    <t>FUNDACION SOCIAL VIVE COLOMBIA</t>
  </si>
  <si>
    <t>PROYECTO.3.3.1.14.01.05.1157. PROMOCION DE LAS POLITICAS PUBLICAS DE LOS GRUPOS POBLACIONALES ,PARA APOYAR LOGISTICAMENTE LA REALIZACION DEL PRIMER REINADO DE MUJERES TRANSGENERISTAS , ACTIVIDAD ENMARCADA EN LA SEMANA DE LA DIVERSIDAD SEXUAL Y DE GENEROS.</t>
  </si>
  <si>
    <t>CPS-069-2013</t>
  </si>
  <si>
    <t>EL CIEN POR CIENTO (100%) DEL VALOR DEL CONTRATO, SE CANCELARA  CUANDO SE REALICE EL EVENTO JUNTO CON EL ACTA DE LIQUIDACIÓN DEL CONTRATO</t>
  </si>
  <si>
    <t>FUNDACION CANDELARIA JOVEN H. M. PRODUCCIONES</t>
  </si>
  <si>
    <t>PROYECTO.3.3.1.14.01.05.1157.ADICIONAR EL CONTRATO DE INTERVENTORIA 94 DE 2010 , COMPONENTE APOYO A JOVENES CON SUBSIDIO PARA EL INGRESO  A LA EDUCACION SUPERIOR PROFESIONAL O TECNOLOGICA.</t>
  </si>
  <si>
    <t>CIN-094-2010-ADPRO1</t>
  </si>
  <si>
    <t>.</t>
  </si>
  <si>
    <t>FERNANDO OSORIO DIMATE</t>
  </si>
  <si>
    <t>PROYECTO.3.3.1.14.01.05.1157.3 REALIZAR INTERVENTORIA TECNICA,ADMINISTRATIVA,FINANCIERA, CONTABLE SOCIAL Y AMBIENTAL AL PROYECTO 1157.SANTA FE REDUCE LA DISCRIMINACION Y LA SEGREGACION SOCIAL.</t>
  </si>
  <si>
    <t>CIN-112-2013</t>
  </si>
  <si>
    <t>CINCO MENSUALIDADES VENCIDAS DE DOS MILLONES DE PESOS  M/CTE ($ 2.000.000.OO), LA CUAL INCLUYE TODOS LOS IMPUESTOS, TASAS Y CONTRIBUCIONES A QUE TENGA LUGAR, PREVIA PROGRAMACIÓN DEL PAC Y ENTREGA DE LOS SIGUIENTES DOCUMENTOS: INFORME DE ACTIVIDADES DEBIDAMENTE FIRMADO POR EL SUPERVISOR DE CONTRATO, EL APOYO A LA SUPERVISIÓN (SI APLICA) Y EL CONTRATISTA. CUENTA DE COBRO. COPIA DEL PAGO DE LOS APORTES AL SISTEMA DE SEGURIDAD SOCIAL Y PARAFISCALES, PARA EL PERIODO COBRADO. 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 LA SECRETARÍA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LA SECRETARÍA,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</si>
  <si>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DIANA PAOLA TRUJILLO LEON</t>
  </si>
  <si>
    <t>PROYECTO.3.3.1.14.01.05.1157.REALIZAR INTERVENTORIA TECNICA,ADMINISTRATIVA ,FINANCIERA ,CONTABLE,SOCIAL Y AMBIENTAL AL PROYECTO 1157. SANTA FE REDUCE LA DISCRIMINACION Y LA SEGREGACION SOCIAL.</t>
  </si>
  <si>
    <t>CIN-147-2013</t>
  </si>
  <si>
    <t>EL VALOR DEL PRESENTE CONTRATO SERÁ POR LA SUMA DE NUEVE MILLONES TRESCIENTOS MIL PESOS M/CTE ($9.300.000),.,.EL VALOR DEL CONTRATO SE PAGARÁ ASÍ:  PAGADEROS EN SEIS MENSUALIDADES VENCIDAS DE MILLÓN QUINIENTOS CINCUENTA MIL PESOS M/CTE ($1.550.000,00),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</si>
  <si>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LORENA MENDEZ VALLEJO</t>
  </si>
  <si>
    <t xml:space="preserve">TERMINADO </t>
  </si>
  <si>
    <t>PROYECTO.3.3.1.14.01.05.1157. AUNAR ESFUERZOS TECNICOS,ADMINISTRATIVOS Y FINANCIEROS PARA ESTABLECER TRANSFORMACIONES EN DESARROLLO DE ACCIONES DE ATENCION TERAPEUTICA A FAMILIAS VICTIMAS DE VIOLENCIA EN LA LOCALIDAD DE SANTA FE.</t>
  </si>
  <si>
    <t>CAS-098-2013</t>
  </si>
  <si>
    <t>SE CANCELARA EL 80% DEL VALOR DEL CONVENIO DE ASOCIACIÓN DE FORMA MENSUAL, CUANDO SE ENCUENTRE LOS DOCUMENTOS DE SOPORTE COMO FACTURA Y/O DOCUMENTO EQUIVALENTE CUANDO APLIQUE, CERTIFICADO DE SISTEMA INTEGRADO DE SALUD, PENSIÓN, ARL, INFORME DE ACTIVIDADES DEBIDAMENTE SOPORTADO TÉCNICAMENTE Y FINANCIERAMENTE; EL VALOR A CANCELAR DE FORMA MENSUAL SERÁ EL QUE SE ENCUENTRE SOPORTADO FINANCIERAMENTE. EL VEINTE (20%) POR CIENTO ESTARÁ SUJETO A LA SUSCRIPCIÓN AL ACTA DE LIQUIDACIÓN.</t>
  </si>
  <si>
    <t>CORPORACION FUERZA OXIGENO</t>
  </si>
  <si>
    <t>PROYECTO. 3.3.1.14.01.05.1157. ADICION C. ASOC. 098 DE 2013.</t>
  </si>
  <si>
    <t>meses</t>
  </si>
  <si>
    <t>CAS-098-2013-ADI1</t>
  </si>
  <si>
    <t>LOS RECURSOS APORTADOS AL CONVENIO POR EL FONDO DE DESARROLLO LOCAL DE SANTA FE SERÁN DESEMBOLSADOS AL ASOCIADO DE LA SIGUIENTE FORMA: SE CANCELARA EL 80% DEL VALOR DEL CONVENIO DE ASOCIACIÓN DE FORMA MENSUAL, CUANDO SE ENCUENTRE LOS DOCUMENTOS DE SOPORTE COMO FACTURA Y/O DOCUMENTO EQUIVALENTE CUANDO APLIQUE, CERTIFICADO DE SISTEMA INTEGRADO DE SALUD, PENSIÓN, ARL, INFORME DE ACTIVIDADES DEBIDAMENTE SOPORTADO TÉCNICAMENTE Y FINANCIERAMENTE; EL VALOR A CANCELAR DE FORMA MENSUAL SERÁ EL QUE SE ENCUENTRE SOPORTADO FINANCIERAMENTE. EL VEINTE (20%) POR CIENTO ESTARÁ SUJETO A LA SUSCRIPCIÓN AL ACTA DE LIQUIDACIÓN. SE DEBE ANEXAR LOS  SIGUIENTES DOCUMENTOS: INFORME DE ACTIVIDADES DEBIDAMENTE FIRMADO POR EL INTERVENTOR DE CONTRATO, Y EL CONTRATISTA, EL INFORME DEBE ESTAR DEBIDAMENTE SOPORTADO. FACTURA O DOCUMENTO EQUIVALENTE (DEPENDIENDO DEL RÉGIMEN A QUIEN PERTENEZCA). CERTIFICADO DE CUMPLIMIENTO O ACTA DE RECIBO A SATISFACCIÓN EXPEDIDO POR EL INTERVENTOR DEL CONTRATO. ACTA DE INGRESO DE LOS BIENES AL ALMACÉN.(CUANDO APLIQUE). COPIA DE LA PLANILLA DE PAGO DE LOS APORTES AL RÉGIMEN DE SEGURIDAD SOCIAL, PARA EL PERIODO COBRADO, EN PROPORCIÓN AL VALOR MENSUAL DEL CONTRATO, CUANDO SE TRATE DE PERSONAS NATURALES .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COPIA DEL RIT, RUT Y RESOLUCIÓN DEL APLICACIÓN (CUANDO APLIQUE).CERTIFICACIÓN BANCARIA  NOTA: TODO PAGO ESTARÁ SUJETO A LA PROGRAMACIÓN ANUALIZADA DE CAJA - PAC DE LA DIRECCIÓN DISTRITAL DE TESORERÍA Y DEL FONDO DE DESARROLLO LOCAL DE SANTA FE Y A LAS FECHAS DE PAGO ESTABLECIDAS, LO CUAL NO GENERARÁ INTERESES MORATORIOS. PARAGRAFO PRIMERO: DICHAS SUMAS SE PAGARÁN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EL EJECUTOR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EJECUTOR DESTINARÁ LOS RECURSOS ECONÓMICOS ENTREGADOS POR EL FONDO ÚNICA Y EXCLUSIVAMENTE PARA DESARROLLAR LAS ACTIVIDADES DESCRITAS EN EL MARCO DEL PRESENTE CONVENIO</t>
  </si>
  <si>
    <t>PROYECTO.3.3.1.14.01.08.1161 . CONTRATAR EL SUMINISTRO DE ARTICULOS TECNICOS,PARA LOS CARICATURISTAS DEL CORREDOR CULTURAL DE LA CARRERA SEPTIMA ,ELEMENTOS QUE SERAN ENTREGADOS EN EL MARCO DE LA CELEBRACION LOCAL DEL CUMPLEAÑOS DE BOGOTÄ , PROGRAMAS CULTURALES PARA TODAS Y TODOS.</t>
  </si>
  <si>
    <t>2. CULTURA</t>
  </si>
  <si>
    <t>CSU-056-2013</t>
  </si>
  <si>
    <t>EL FONDO DE DESARROLLO LOCAL DE SANTA FE CANCELARÁ EL 100 % DEL VALOR DEL CONTRATO. DENTRO DE LOS 30 DÍAS SIGUIENTES A LA RADICACIÓN DE: A). FACTURA Ó CUENTA DE COBRO. B). CERTIFICACIÓN DEL RECIBO A SATISFACCIÓN SUSCRITA POR EL SUPERVISOR DEL CONTRATO. C). COMPROBANTE DE PAGO DE SUS OBLIGACIONES CON LOS SISTEMAS DE SALUD. RIESGOS PROFESIONALES. PENSIONES Y APORTES A LAS CAJAS DE COMPENSACIÓN FAMILIAR. INSTITUTO COLOMBIANO DE BIENESTAR FAMILIAR Y SERVICIO NACIONAL DE APRENDIZAJE. PREVIA CERTIFICACIÓN DE RECIBIDO A SATISFACCIÓN POR PARTE DEL SUPERVISOR Y/O INTERVENTOR DEL CONTRATO D. INFORME DEBIDAMENTE SOPORTADO TÉCNICAMENTE DE LAS ACTIVIDADES. PARA EFECTO DEL PAGO LOS TREINTA DÍAS (30) DÍAS HÁBILES SE EMPEZARÁN A CONTAR A PARTIR DE LA RADICACIÓN EN LA OFICINA FINANCIERA DEL FONDO LOCAL DE LOS DOCUMENTOS REQUERIDOS PARA TAL FIN.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</si>
  <si>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DISTRIBUCIONES ALIADAS BJ SAS</t>
  </si>
  <si>
    <t>22 de la Lolalidad</t>
  </si>
  <si>
    <t>Por iniciar</t>
  </si>
  <si>
    <t>PROYECTO. 3.3.1.14.01.08.1161.PRESTAR LOS SERVICIOS PARA LA IMPLEMENTACION DEL CORREDOR CULTURAL DE LA LOCALIDAD  , PROGRAMAS CULTURALES PARA TODAS Y TODOS.</t>
  </si>
  <si>
    <t>4 meses</t>
  </si>
  <si>
    <t>CPS-161-2013</t>
  </si>
  <si>
    <t>EL VALOR DEL CONTRATO SE CANCELARA DE LA SIGUIENTE FORMA: 1. UN TREINTA PORCIENTO (30%) COMO ANTICIPO. LA FORMA DE AMORTIZAR SERÁ DE CONFORMIDAD A LA CLAUSULA DEL ANTICIPO. 2.  EL CINCUENTA (50%)  POR CIENTO DEL VALOR DEL CONTRATO DE FORMA MENSUAL. EL CONTRATISTA DEBERÁ DEMOSTRAR EL PORCENTAJE DE  EJECUCIÓN DEL CONTRATO Y ESE SERÁ EL VALOR A CANCELAR EN EL MES.  3. EL VEINTE (20%) POR CIENTO DEL VALOR DEL CONTRATO JUNTO CON EL ACTA DE LIQUIDACIÓN DEL CONTRATO, EL CONTRATISTA DEBERÁ SOPORTAR LA EJECUCIÓN DEL CONTRATO.  PREVIA PRESENTACIÓN DE LOS SIGUIENTES DOCUMENTOS: INFORME DE ACTIVIDADES DEBIDAMENTE FIRMADO POR EL INTERVENTOR DE CONTRATO, Y EL CONTRATISTA, EL INFORME DEBE ESTAR DEBIDAMENTE SOPORTADO. FACTURA O DOCUMENTO EQUIVALENTE (DEPENDIENDO DEL RÉGIMEN A QUIEN PERTENEZCA). CERTIFICADO DE CUMPLIMIENTO O ACTA DE RECIBO A SATISFACCIÓN EXPEDIDO POR EL INTERVENTOR DEL CONTRATO. ACTA DE INGRESO DE LOS BIENES AL ALMACÉN.(CUANDO APLIQUE). COPIA DE LA PLANILLA DE PAGO DE LOS APORTES AL RÉGIMEN DE SEGURIDAD SOCIAL, PARA EL PERIODO COBRADO, EN PROPORCIÓN AL VALOR MENSUAL DEL CONTRATO, CUANDO SE TRATE DE PERSONAS NATURALES.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COPIA DEL RIT, RUT Y RESOLUCIÓN DEL APLICACIÓN (CUANDO APLIQUE). CERTIFICACIÓN BANCARIA.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</si>
  <si>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FUNDACION CAMINO VERDE ONG SOCIAL CULTURAL Y AMBIENTAL- FUNDCAVE</t>
  </si>
  <si>
    <t>PROYECTO , 3.3.14.01.08.1161 , APOYO A LA ASOCIACION DE JUNTAS DE ACCION COMUNAL , EN EL DIA COMUNAL DE  LA LOCALIDAD DE SANTA FE , PROGRAMAS CULTURALES PARA TODAS Y TODOS.</t>
  </si>
  <si>
    <t>CAS-02-2013</t>
  </si>
  <si>
    <t>Anticipo del 40% y dos pagos del restante</t>
  </si>
  <si>
    <t>ASOCIACION DE JUNTAS DE ACCION COMUNAL DE LA LOCALIDAD 03 - SANTA FE</t>
  </si>
  <si>
    <t>900093799-9</t>
  </si>
  <si>
    <t>35 JUNTAS DE ACCIÓN COMUNAL</t>
  </si>
  <si>
    <t>En proceso de Liquidación</t>
  </si>
  <si>
    <t>PROYECTO , 3.3.1.14.01.08.1161 , INTERVENTORIA TECNICA,ADMINISTRATIVA,FINANCIERA Y SOCIAL AL CONTRATO DEL PROYECTO 0491,ESCUELA LOCAL DE PARTICIPACION.</t>
  </si>
  <si>
    <t>1 MES</t>
  </si>
  <si>
    <t>CIN-169-2012</t>
  </si>
  <si>
    <t>PAGOS MENSUALES</t>
  </si>
  <si>
    <t>CARLOS ANDRES CACERES VIDAL</t>
  </si>
  <si>
    <t>LA INTERVENTORÍA FUE COTRATADA CON RECURSOS DEL 2012, PARA EL 2013 SE ADICIONO CON RECURSOS DEL 2013 DEL SECTOR CULTURA. ESTE CONTRATO DEFINE ACTIVIDADES REALACIONADAS CON PARTICIPACION PERO SE ENCUENTRA DENTRO DEL PROYECTO DE CULTURA</t>
  </si>
  <si>
    <t>PROYECTO.3.3.1.14.01.08.1161. APOYO A LA EJECUCION DE LA FIESTA DE LA MUSICA BOGOTA 2013.PROGRAMAS CULTURALES PÁRA TODAS Y TODOS.</t>
  </si>
  <si>
    <t>CPS-051-2013</t>
  </si>
  <si>
    <t>unico pago a presentacion de informe final adiministrativo y financiero</t>
  </si>
  <si>
    <t>CORPORACION CLUB CONCORDE</t>
  </si>
  <si>
    <t>830,070,212-5</t>
  </si>
  <si>
    <t>PROYECTO.3.3.1.14.01.08.1161. CONMEMORACION DEL CUMPLEAÑOS NO. 475 DE BOGOTA, PROGRAMAS CULTURALES PARA TODAS Y TODOS.</t>
  </si>
  <si>
    <t>CAS-054-2013</t>
  </si>
  <si>
    <t>1. EL FONDO PAGARA HASTA EL NOVENTA POR CIENTO (90%)  DEL VALOR DE LOS APORTES DE FONDO. PREVIA ENTREGA DEL INFORME DE AVANCE DE EJECUCIÓN Y ENTREGA DE INFORME FINANCIERO Y TÉCNICO CON LOS SOPORTES QUE LO RESPALDAN. DICHO AVANCE DEBIDAMENTE AVALADO POR LA INTERVENTORÍA Y/O EL SUPERVISOR DE APOYO DESIGNADO DESDE LA ALCALDÍA LOCAL. CERTIFICACIÓN DE PAGO DE APORTES AL SISTEMA DE SEGURIDAD SOCIAL Y PARAFISCALES. FACTURA O DOCUMENTO EQUIVALENTE Y CERTIFICACIÓN DE CUMPLIMIENTO EXPEDIDA POR EL INTERVENTOR Y/O SUPERVISOR DE APOYO; LA FORMA DE PAGO SE FIJARA MENSUALMENTE DE CONFORMIDAD CON EL AVANCE DE EJECUCIÓN FINANCIERA SOPORTADA. 2. UN DIEZ POR CIENTO (10%) DEL VALOR DE LOS APORTES DEL FONDO. AL FINALIZAR EL PLAZO DE EJECUCIÓN. PREVIA ENTREGA DE INFORME FINAL. INFORME FINANCIERO FINAL Y LOS SOPORTES QUE LO RESPALDAN. CERTIFICACIÓN DE PAGO DE APORTES AL SISTEMA DE SEGURIDAD SOCIAL Y PARAFISCALES. FACTURA O DOCUMENTO EQUIVALENTE Y CERTIFICACIÓN DE CUMPLIMIENTO EXPEDIDA POR EL INTERVENTOR Y/O SUPERVISOR DE APOYO Y SUSCRIPCIÓN DEL ACTA DE TERMINACIÓN Y LIQUIDACIÓN DEL CONVENIO. ESTOS PAGOS SE REALIZARAN PREVIA PRESENTACIÓN POR PARTE DEL EJECUTOR DE LOS SIGUIENTES DOCUMENTOS: FACTURA CON EL CUMPLIMIENTO DE LOS REQUISITOS LEGALES. REPORTE DE INGRESO DE INFORMACIÓN DE ASISTENCIA EN EL PROYECTO (ASISTENCIA A TALLERES) E INFORMES DE EJECUCIÓN. ESTOS DOCUMENTOS SERÁN CONFRONTADOS CON LA INTERVENTORÍA. EN CERTIFICACIÓN DE CUMPLIMIENTO LA INTERVENTORÍA VERIFICARA Y CERTIFICARA EL CUMPLIMIENTO DE LAS OBLIGACIONES CONTRACTUALES. LAS OBLIGACIONES LABORALES Y DE SEGURIDAD SOCIAL EN SALUD. PENSIONES Y APORTES PARAFISCALES.  NOTA: EL EJECUTOR DEBERÁ SOPORTAR TÉCNICA Y FINANCIERAMENTE SU COFINANCIACIÓN Y ANEXARLO A LOS INFORMES PARA EL PAGO CORRESPONDIENTE. PARAGRAFO PRIMERO: DICHAS SUMAS SE PAGARÁN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 EL EJECUTOR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EJECUTOR DESTINARÁ LOS RECURSOS ECONÓMICOS ENTREGADOS POR EL FONDO ÚNICA Y EXCLUSIVAMENTE PARA DESARROLLAR LAS ACTIVIDADES DESCRITAS EN EL MARCO DEL PRESENTE CONVENIO</t>
  </si>
  <si>
    <t>CORPORACION CASA DESCENTRALIZADA DE LA CULTURA LAS ARTES Y EL PATRIMONIO DE LA LOCALIDAD SANTA FE</t>
  </si>
  <si>
    <t>PROYECTO.3.3.1.14.01.08.1161. AUNAR ESFUERZOS TECNICOS,ADMINISTRATIVOS Y FINANCIEROS PARA FORTALECER A LA LOCALIDAD A TRAVES DEL EVENTO FIESTA NAVIDEÑA LOCAL 2013.</t>
  </si>
  <si>
    <t>CAS-111-2013</t>
  </si>
  <si>
    <t>1 EL FONDO PAGARA HASTA EL NOVENTA POR CIENTO (90%)  DEL VALOR DE LOS APORTES DE FONDO, PREVIA ENTREGA DEL INFORME DE AVANCE DE EJECUCIÓN DEL PORCENTAJE IGUAL AL NIVEL DE EJECUCIÓN Y ENTREGA DE INFORME TÉCNICO Y FINANCIERO Y LOS SOPORTES QUE LO RESPALDAN. DICHO AVANCE DEBERÁ IR AVALADO POR LA INTERVENTORÍA Y/O EL SUPERVISOR DE APOYO DESIGNADO DESDE LA ALCALDÍA LOCAL, CERTIFICACIÓN DE PAGO DE APORTES AL SISTEMA DE SEGURIDAD SOCIAL Y PARAFISCALES, FACTURA O CUENTA DE COBRO Y CERTIFICACIÓN DE CUMPLIMIENTO EXPEDIDA POR EL INTERVENTOR Y/O SUPERVISOR DE APOYO; LA FORMA DE PAGO SE FIJARA MENSUALMENTE DE CONFORMIDAD CON EL AVANCE DE EJECUCIÓN FINANCIERA SOPORTADA. 2.  UN DIEZ POR CIENTO (10%) DEL VALOR DE LOS APORTES DEL FONDO, AL FINALIZAR EL PLAZO DE EJECUCIÓN, PREVIA ENTREGA DE INFORME FINAL, INFORME FINANCIERO FINAL Y LOS SOPORTES QUE LO RESPALDAN, CERTIFICACIÓN DE PAGO DE APORTES AL SISTEMA DE SEGURIDAD SOCIAL Y PARAFISCALES, FACTURA O CUENTA DE COBRO Y CERTIFICACIÓN DE CUMPLIMIENTO EXPEDIDA POR EL INTERVENTOR Y/O SUPERVISOR DE APOYO Y SUSCRIPCIÓN DEL ACTA DE TERMINACIÓN Y LIQUIDACIÓN DEL CONVENIO. ESTOS PAGOS SE REALIZARAN PREVIA PRESENTACIÓN POR PARTE DEL EJECUTOR DE LOS SIGUIENTES DOCUMENTOS: FACTURA CON EL CUMPLIMIENTO DE LOS REQUISITOS LEGALES, REPORTE DE INGRESO DE INFORMACIÓN DE ASISTENCIA EN EL PROYECTO (ASISTENCIA A TALLERES) E INFORMES DE EJECUCIÓN. ESTOS DOCUMENTOS SERÁN CONFRONTADOS CON LA INTERVENTORÍA. EN CERTIFICACIÓN DE CUMPLIMIENTO LA INTERVENTORÍA VERIFICARA Y CERTIFICARA EL CUMPLIMIENTO DE LAS OBLIGACIONES CONTRACTUALES, LAS OBLIGACIONES LABORALES Y DE SEGURIDAD SOCIAL EN SALUD, PENSIONES Y APORTES PARAFISCALES.  TODOS LOS PAGOS ESTARÁN SUJETOS A LA PROGRAMACIÓN DEL PAC. NOTA: EL EJECUTOR DEBERÁ SOPORTAR TÉCNICA Y FINANCIERAMENTE SU COFINANCIACIÓN Y ANEXARLO A LOS INFORMES PARA EL PAGO CORRESPONDIENTE. PARAGRAFO PRIMERO: DICHAS SUMAS SE PAGARÁN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EL EJECUTOR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EJECUTOR DESTINARÁ LOS RECURSOS ECONÓMICOS ENTREGADOS POR EL FONDO ÚNICA Y EXCLUSIVAMENTE PARA DESARROLLAR LAS ACTIVIDADES DESCRITAS EN EL MARCO DEL PRESENTE CONVENIO</t>
  </si>
  <si>
    <t>IMPULSAR FUNDACION SOCIAL</t>
  </si>
  <si>
    <t>PROYECTO.3.3.1.14.01.08.1161. REALIZAR LA INTERVENTORIA TECNICA , ADMINISTRATIVA Y FINANCIERA AL CPS DEL PROYECTO 1161.EVENTOS LOCALES (HIP HOP , DIVERSIDAD).</t>
  </si>
  <si>
    <t>CIN-164-2013</t>
  </si>
  <si>
    <t>EL VALOR DEL PRESENTE CONTRATO SERÁ POR LA SUMA DE OCHO MILLONES DOSCIENTOS MIL PESOS (8.200.000) MCTE.,.EL VALOR DEL CONTRATO SE PAGARÁ ASÍ:  CUATRO MENSUALIDADES VENCIDAS DOS MILLONES CINCUENTA MIL DE  PESOS  M/CTE ($ 2.050.000)LA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</si>
  <si>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ANGELA MARCELA CASTELLANOS DIAZ</t>
  </si>
  <si>
    <t>PROYECTO.3.3.1.14.01.08.1161. INTERVENTORIA TECNICA, ADMINISTRATIVA Y FINANCIERA AL CPS ,DEL PROYECTO 1161. EVENTOS LOCALES ,CELEBRACIONES DE AFROCOLOMBIANIDAD ,ADULTO MAYOR Y CAMPESINO.</t>
  </si>
  <si>
    <t>CIN-171-2013</t>
  </si>
  <si>
    <t>EL VALOR DEL PRESENTE CONTRATO SERÁ POR LA SUMA DE OCHO MILLONES DE  PESOS  M/CTE ($ 8.000.000) MCTE.,.EL VALOR DEL CONTRATO SE PAGARÁ ASÍ:  CUATRO MENSUALIDADES VENCIDAS DE DOS MILLONES DE PESOS ($2.000.000) MCTE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</si>
  <si>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ANGIE CAROLINA RIVEROS ARAUJO</t>
  </si>
  <si>
    <t>PROYECTO .3.3.1.14.01.08.1161. PRESTAR LOS SERVICIOS PARA LA EJECUCION DE EVENTOS CULTURALES LOCALES DEL PROYECTO 1161.DIA DE LA DISCAPACIDAD ,FESTIVAL DE LA ALEGRIA Y DIA COMUNAL.</t>
  </si>
  <si>
    <t>CPS-157-2013</t>
  </si>
  <si>
    <t>EL VALOR DEL CONTRATO SE CANCELARA DE LA SIGUIENTE FORMA: 1. UN TREINTA PORCIENTO (30%) COMO ANTICIPO. LA FORMA DE AMORTIZAR SERÁ DE CONFORMIDAD A LA CLAUSULA DEL ANTICIPO. 2.  EL CINCUENTA (50%)  POR CIENTO DEL VALOR DEL CONTRATO DE FORMA MENSUAL. EL CONTRATISTA DEBERÁ DEMOSTRAR EL PORCENTAJE DE  EJECUCIÓN DEL CONTRATO Y ESE SERÁ EL VALOR A CANCELAR EN EL MES.  3. EL VEINTE (20%) POR CIENTO DEL VALOR DEL CONTRATO JUNTO CON EL ACTA DE LIQUIDACIÓN DEL CONTRATO, EL CONTRATISTA DEBERÁ SOPORTAR LA EJECUCIÓN DEL CONTRATO.  PREVIA PRESENTACIÓN DE LOS SIGUIENTES DOCUMENTOS: INFORME DE ACTIVIDADES DEBIDAMENTE FIRMADO POR EL INTERVENTOR DE CONTRATO, Y EL CONTRATISTA, EL INFORME DEBE ESTAR DEBIDAMENTE SOPORTADO. FACTURA O DOCUMENTO EQUIVALENTE (DEPENDIENDO DEL RÉGIMEN A QUIEN PERTENEZCA) CERTIFICADO DE CUMPLIMIENTO O ACTA DE RECIBO A SATISFACCIÓN EXPEDIDO POR EL INTERVENTOR DEL CONTRATO. ACTA DE INGRESO DE LOS BIENES AL ALMACÉN.(CUANDO APLIQUE)COPIA DE LA PLANILLA DE PAGO DE LOS APORTES AL RÉGIMEN DE SEGURIDAD SOCIAL, PARA EL PERIODO COBRADO, EN PROPORCIÓN AL VALOR MENSUAL DEL CONTRATO, CUANDO SE TRATE DE PERSONAS NATURALES.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COPIA DEL RIT, RUT Y RESOLUCIÓN DEL APLICACIÓN (CUANDO APLIQUE). CERTIFICACIÓN BANCARIA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</si>
  <si>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ASOCIAION DE HOGARES SI A LA VIDA</t>
  </si>
  <si>
    <t>PROYECTO. 3.3.1.14.01.08.1161. INTERVENTORIA TECNICA,ADMIMNISTRATIVA Y FINANCIERA AL CONVENIO DE ASOCIACION 1161.EVENTOS CULTURALES Y ARTISTICOS , FESTIVAL DE LA CHICHA , EL MAIZ LA VIDA Y LA DICHA 2013.</t>
  </si>
  <si>
    <t>CIN-165-2013</t>
  </si>
  <si>
    <t>EL VALOR DEL PRESENTE CONTRATO SERÁ POR LA SUMA DE TRES MILLONES SETECIENTOS MIL PESOS (3.700.000) MCTE.,.EL VALOR DEL CONTRATO SE PAGARÁ ASÍ:  DOS MENSUALIDADES VENCIDAS DE UN MILLON OCHOCIENTOS CINCUENTA MIL PESOS  M/CTE ($1.850.000),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</si>
  <si>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PROYECTO.3.3.1.14.01.08.1161. PRESTAR SERVICIOS PARA LA EJECUCION DE EVENTOS CULTURALES  LOCALES. CELEBRACION DEL DIA DEL CAMPESINO ,DIA DE LA AFROCOLOMBIANIDAD Y DIA DEL ADULTO MAYOR.</t>
  </si>
  <si>
    <t>CPS-150-2013</t>
  </si>
  <si>
    <t>ASOCIACION DE DISCAPACITADOS FISICOS DEL SUR ASODISFISUR</t>
  </si>
  <si>
    <t>PROYECTO. 3.3.1.14.01.08.1161. AUNAR ESFUERZOS TECNICOS,ADMINISTRATIVOS Y FINANCIEROS PARA LA REALIZACION DEL FESTIVAL DE LA CHICHA ,EL MAIZ,LA VIDA Y LA DICHA ,QUE PERMITA RESCATAR Y FORTALECER LA CULTURA POPULAR.</t>
  </si>
  <si>
    <t>CPS-158-2013</t>
  </si>
  <si>
    <t>PROYECTO.3.3.1.14.01.08.1161.PRESTAR LOS SERVICIOS PARA LA EJECUCION DE EVENTOS CULTURALES LOCALES.</t>
  </si>
  <si>
    <t>CPS-149-2013</t>
  </si>
  <si>
    <t>FUNDACION PARA EL DESARROLLO Y FORTALECIMIENTO TERRITORIAL VISION LOCAL</t>
  </si>
  <si>
    <t>PROYECTO. 3.3.1.14.01.08.1163. AUNAR ESFUERZOS TECNICOS, ADMINISTRATIVOS Y FINANCIEROS PARA FOMENTAR LA PRACTICA DE ACTIVIDADES RECREODEPORTIVAS NO TRADICIONALES EN 450 NIÑOS , JOVEMNES Y ADULTOS DE LA LOCALIDAD DE SANTA FE, COMPONENTE ECOAVENTURA 2013.</t>
  </si>
  <si>
    <t>CAS-083-2013</t>
  </si>
  <si>
    <t>EL FONDO PAGARA HASTA EL NOVENTA POR CIENTO (90%)  DEL VALOR DE LOS APORTES DE FONDO, PREVIA ENTREGA DEL INFORME DE AVANCE DE EJECUCIÓN Y ENTREGA DE INFORME FINANCIERO Y TÉCNICO CON LOS SOPORTES QUE LO RESPALDAN. DICHO AVANCE DEBIDAMENTE AVALADO POR LA INTERVENTORÍA Y/O EL SUPERVISOR DE APOYO DESIGNADO DESDE LA ALCALDÍA LOCAL, CERTIFICACIÓN DE PAGO DE APORTES AL SISTEMA DE SEGURIDAD SOCIAL Y PARAFISCALES, FACTURA O DOCUMENTO EQUIVALENTE Y CERTIFICACIÓN DE CUMPLIMIENTO EXPEDIDA POR EL INTERVENTOR Y/O SUPERVISOR DE APOYO; LA FORMA DE PAGO SE FIJARA MENSUALMENTE DE CONFORMIDAD CON EL AVANCE DE EJECUCIÓN FINANCIERA SOPORTADA. 2. UN DIEZ POR CIENTO (10%) DEL VALOR DE LOS APORTES DEL FONDO, AL FINALIZAR EL PLAZO DE EJECUCIÓN, PREVIA ENTREGA DE INFORME FINAL, INFORME FINANCIERO FINAL Y LOS SOPORTES QUE LO RESPALDAN, CERTIFICACIÓN DE PAGO DE APORTES AL SISTEMA DE SEGURIDAD SOCIAL Y PARAFISCALES, FACTURA O DOCUMENTO EQUIVALENTE Y CERTIFICACIÓN DE CUMPLIMIENTO EXPEDIDA POR EL INTERVENTOR Y/O SUPERVISOR DE APOYO Y SUSCRIPCIÓN DEL ACTA DE TERMINACIÓN Y LIQUIDACIÓN DEL CONVENIO. ESTOS PAGOS SE REALIZARAN PREVIA PRESENTACIÓN POR PARTE DEL EJECUTOR DE LOS SIGUIENTES DOCUMENTOS: FACTURA CON EL CUMPLIMIENTO DE LOS REQUISITOS LEGALES, REPORTE DE INGRESO DE INFORMACIÓN DE ASISTENCIA EN EL PROYECTO (ASISTENCIA A TALLERES) E INFORMES DE EJECUCIÓN. ESTOS DOCUMENTOS SERÁN CONFRONTADOS CON LA INTERVENTORÍA. EN CERTIFICACIÓN DE CUMPLIMIENTO LA INTERVENTORÍA VERIFICARA Y CERTIFICARA EL CUMPLIMIENTO DE LAS OBLIGACIONES CONTRACTUALES, LAS OBLIGACIONES LABORALES Y DE SEGURIDAD SOCIAL EN SALUD, PENSIONES Y APORTES PARAFISCALES.   NOTA: EL EJECUTOR DEBERÁ SOPORTAR TÉCNICA Y FINANCIERAMENTE SU COFINANCIACIÓN Y ANEXARLO A LOS INFORMES PARA EL PAGO CORRESPONDIENTE. PARAGRAFO PRIMERO: DICHAS SUMAS SE PAGARÁN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EL EJECUTOR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EJECUTOR DESTINARÁ LOS RECURSOS ECONÓMICOS ENTREGADOS POR EL FONDO ÚNICA Y EXCLUSIVAMENTE PARA DESARROLLAR LAS ACTIVIDADES DESCRITAS EN EL MARCO DEL PRESENTE CONVENIO</t>
  </si>
  <si>
    <t>PROYECTO.3.3.1.14.01.08.1163.AUNAR ESFUERZOS TECNICOS , ADMINISTRATIVOS ,FINANCIEROS Y HUMANOS PARA BRINDAR A LOS NIÑOS, NIÑAS DE LA LOCALIDAD , ACTIVIDADES LUDICAS,RECREATIVAS Y DEPORTIVAS EN EL RECESO ESCOLAR.</t>
  </si>
  <si>
    <t>CAS-114-2013</t>
  </si>
  <si>
    <t>FUNDACION CONSTRUCCION LOCAL</t>
  </si>
  <si>
    <t>PROYECTO.3.3.1.14.01.08.1163.REALIZAR LA INTERVENTORIA  TECNICA,ADMINISTRATIVA Y FINANCIERA AL CONVENIO DE ASOCIACION DEL PROYECTO 1163. DEPORTES URBANOS Y NUEVAS TENDENCIAS " DUNT SANTA FE 2013."</t>
  </si>
  <si>
    <t>CIN-108-2013</t>
  </si>
  <si>
    <t>UN PRIMER PAGO EQUIVALENTE AL 30% DEL VALOR DEL CONTRATO EN CALIDAD DE ANTICIPO, CON POSTERIORIDAD A LA PRESENTACIÓN DEL PLAN DE MANEJO, CRONOGRAMA DE PROGRAMACIÓN DE EJECUCIÓN DEBIDAMENTE APROBADO POR EL SUPERVISOR DESIGNADO POR PARTE DE LA ENTIDAD, PRESENTACIÓN DE FACTURA O CUENTA DE COBRO, SEGÚN EL CASO. 2) EL SALDO SE CANCELARÁ CONTRA ACTAS DE EJECUCIÓN CONFORME A LO EJECUTADO,  PREVIA PRESENTACIÓN DE INFORME DE EJECUCIÓN DEBIDAMENTE APROBADO POR EL SUPERVISOR.  DEL VALOR DE CADA ACTA DEBERÁ DESCONTARSE EL 20% COMO AMORTIZACIÓN DEL ANTICIPO, EL CUAL SE DEVOLVERÁ AL CONTRATISTA UNA VEZ SEA LIQUIDADO EL CONTRATO. TODOS LOS DOCUMENTOS DE PAGO DEBERÁN SER AVALADOS POR EL SUPERVISOR DESIGNADO POR EL FONDO.  LOS IMPUESTOS Y RETENCIONES QUE SURJAN DEL PRESENTE CONTRATO, CORREN POR CUENTA DEL CONTRATISTA, PARA CUYOS EFECTOS EL FONDO HARÁ LAS RETENCIONES DEL CASO Y CUMPLIRÁ LAS OBLIGACIONES FISCALES QUE ORDENE LA LEY. LOS VALORES SERÁN CANCELADOS DE ACUERDO CON LA AUTORIZACIÓN QUE EMITA LA SECRETARÍA DE HACIENDA PARA EL PAC. PREVIA PRESENTACIÓN DE LOS SIGUIENTES DOCUMENTOS: 1. INFORME DE ACTIVIDADES (SI APLICA) DEBIDAMENTE FIRMADO POR EL SUPERVISOR DE CONTRATO, EL APOYO A LA SUPERVISIÓN (SI APLICA) Y EL CONTRATISTA 2. CERTIFICADO DE CUMPLIMIENTO O ACTA DE RECIBO A SATISFACCIÓN EXPEDIDO POR EL SUPERVISOR DEL CONTRATO. 3. ACTA DE INGRESO DE LOS BIENES AL ALMACÉN.(CUANDO APLIQUE). 4. COPIA DE LA PLANILLA DE PAGO DE LOS APORTES AL RÉGIMEN DE SEGURIDAD SOCIAL, PARA EL PERIODO COBRADO, SOBRE EL CUARENTA  POR CIENTO EN PROPORCIÓN AL VALOR MENSUAL DEL CONTRATO, CUANDO SE TRATE DE PERSONAS NATURALES.5. CERTIFICACIÓN SUSCRITA POR EL REPRESENTANTE LEGAL O REVISOR FISCAL, QUE ACREDITE EL CUMPLIMIENTO DEL PAGO DE APORTES AL SISTEMA DE SEGURIDAD SOCIAL INTEGRAL, PARAFISCALES, ICBF, SENA Y CAJAS DE COMPENSACIÓN FAMILIAR DE LOS ÚLTIMOS SEIS (6) MESES, DE CONFORMIDAD CON EL ARTÍCULO 50 DE LA LEY 789 DE 2002 O AQUELLA QUE LO MODIFIQUE, ADICIONE O COMPLEMENTE, CUANDO SE TRATE DE PERSONAS JURÍDICAS.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  PARAGRAFO: EL FONDO DE DESARROLLO LOCAL DE SANTA FE GIRARA AL CONTRATISTA LA SUMA EQUIVALENTE AL 30% DEL VALOR DEL CONTRATO EN CALIDAD DE ANTICIPO, UNA VEZ LEGALIZADO EL CONTRATO, PREVIA PRESENTACIÓN DEL PLAN DE MANEJO, FACTURA O DOCUMENTO EQUIVALENTE, CRONOGRAMA DE ACTIVIDADES Y AUTORIZACIÓN DE GIRO EXPEDIDA POR EL INTERVENTOR DEL CONTRATO. PARÁGRAFO: DE CONFORMIDAD CON EL ARTICULO  8.1.18   DEL DECRETO 734 DE 2012,  QUE ESTABLECE: ARTÍCULO 8.1.18. DEL ANTICIPO. EN LAS CONTRATACIONES DISTINTAS A LAS QUE SE REFIERE EL ARTÍCULO 91 DE LA LEY 1474 DE 2011, EL MANEJO DE LOS RECURSOS ENTREGADOS AL CONTRATISTA A TÍTULO DE ANTICIPO, DEBERÁ REALIZARSE EN CUENTA BANCARIA SEPARADA, NO CONJUNTA, A NOMBRE DEL CONTRATO SUSCRITO. LOS RENDIMIENTOS QUE LLEGAREN A PRODUCIR LOS RECURSOS ASÍ ENTREGADOS, PERTENECERÁN AL TESORO</t>
  </si>
  <si>
    <t>LUIS HERNANDO MALPICA CORREA</t>
  </si>
  <si>
    <t>PROYECTO.3.3.1.14.01.08.1163.AUNAR ESFUERZOS TECNICOS,ADMINISTRATIVOS,HUMANOS Y FINANCIEROS PARA REALIZAR LAS ACTIVIDADES DEL PROYECTO 1163 , COMPONENTE DEPORTES URBANOS Y NUEVAS TENDENCIAS " DUNT SANTA FE 2013".</t>
  </si>
  <si>
    <t>CAS-102-2013</t>
  </si>
  <si>
    <t>EL FONDO PAGARA HASTA EL NOVENTA POR CIENTO (90%)  DEL VALOR DE LOS APORTES DE FONDO, PREVIA ENTREGA DEL INFORME DE AVANCE DE EJECUCIÓN DEL PORCENTAJE IGUAL AL NIVEL DE EJECUCIÓN Y ENTREGA DE INFORME TÉCNICO Y FINANCIERO Y LOS SOPORTES QUE LO RESPALDAN. DICHO AVANCE DEBERÁ IR AVALADO POR LA INTERVENTORÍA Y/O EL SUPERVISOR DE APOYO DESIGNADO DESDE LA ALCALDÍA LOCAL, CERTIFICACIÓN DE PAGO DE APORTES AL SISTEMA DE SEGURIDAD SOCIAL Y PARAFISCALES, FACTURA O CUENTA DE COBRO Y CERTIFICACIÓN DE CUMPLIMIENTO EXPEDIDA POR EL INTERVENTOR Y/O SUPERVISOR DE APOYO; LA FORMA DE PAGO SE FIJARA MENSUALMENTE DE CONFORMIDAD CON EL AVANCE DE EJECUCIÓN FINANCIERA SOPORTADA. 2.  UN DIEZ POR CIENTO (10%) DEL VALOR DE LOS APORTES DEL FONDO, AL FINALIZAR EL PLAZO DE EJECUCIÓN, PREVIA ENTREGA DE INFORME FINAL, INFORME FINANCIERO FINAL Y LOS SOPORTES QUE LO RESPALDAN, CERTIFICACIÓN DE PAGO DE APORTES AL SISTEMA DE SEGURIDAD SOCIAL Y PARAFISCALES, FACTURA O CUENTA DE COBRO Y CERTIFICACIÓN DE CUMPLIMIENTO EXPEDIDA POR EL INTERVENTOR Y/O SUPERVISOR DE APOYO Y SUSCRIPCIÓN DEL ACTA DE TERMINACIÓN Y LIQUIDACIÓN DEL CONVENIO. ESTOS PAGOS SE REALIZARAN PREVIA PRESENTACIÓN POR PARTE DEL EJECUTOR DE LOS SIGUIENTES DOCUMENTOS: FACTURA CON EL CUMPLIMIENTO DE LOS REQUISITOS LEGALES, REPORTE DE INGRESO DE INFORMACIÓN DE ASISTENCIA EN EL PROYECTO (ASISTENCIA A TALLERES) E INFORMES DE EJECUCIÓN. ESTOS DOCUMENTOS SERÁN CONFRONTADOS CON LA INTERVENTORÍA. EN CERTIFICACIÓN DE CUMPLIMIENTO LA INTERVENTORÍA VERIFICARA Y CERTIFICARA EL CUMPLIMIENTO DE LAS OBLIGACIONES CONTRACTUALES, LAS OBLIGACIONES LABORALES Y DE SEGURIDAD SOCIAL EN SALUD, PENSIONES Y APORTES PARAFISCALES.  TODOS LOS PAGOS ESTARÁN SUJETOS A LA PROGRAMACIÓN DEL PAC. NOTA: EL EJECUTOR DEBERÁ SOPORTAR TÉCNICA Y FINANCIERAMENTE SU COFINANCIACIÓN Y ANEXARLO A LOS INFORMES PARA EL PAGO CORRESPONDIENTE. PARAGRAFO PRIMERO: DICHAS SUMAS SE PAGARÁN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EL EJECUTOR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EJECUTOR DESTINARÁ LOS RECURSOS ECONÓMICOS ENTREGADOS POR EL FONDO ÚNICA Y EXCLUSIVAMENTE PARA DESARROLLAR LAS ACTIVIDADES DESCRITAS EN EL MARCO DEL PRESENTE CONVENIO</t>
  </si>
  <si>
    <t>PROYECTO.3.3.1.14.01.08.1163.AUNAR ESFUERZOS MTECNICOS,ADMINISTRATIVOS Y FINANCIEROS PARA EJECUTAR LAS ACTIVIDADES PLANTEADAS . COMPONENTE ESCUELAS DE FORMACION DEPORTIVA.</t>
  </si>
  <si>
    <t>CAS-092-2013</t>
  </si>
  <si>
    <t>PROYECTO.3.3.1.14.08.1163. INTERVENTORIA TECNICA,ADMINISTRATIVA,FINANCIERA ,CONTABLE,SOCIAL Y AMBIENTAL AL CONVENIO RESULTANTE. ACTIVIDADES LUDICAS,RECREATIVAS Y DEPORTIVAS EN ETAPA DE RECESO ESCOLAR.</t>
  </si>
  <si>
    <t>CIN-115-2013</t>
  </si>
  <si>
    <t>EL VALOR TOTAL DEL CONTRATO SERÁ LA SUMA DE CUATRO MILLONES DE PESOS ($4.000.000.OO). SE CANCELARÁ ASÍ: DOS MENSUALIDADES VENCIDAS DE DOS MILLONES DE PESOS  M/CTE ($2.000.000.OO), LA CUAL INCLUYE TODOS LOS IMPUESTOS, TASAS Y CONTRIBUCIONES A QUE TENGA LUGAR, PREVIA PROGRAMACIÓN DEL PAC Y ENTREGA DE LOS SIGUIENTES DOCUMENTOS: INFORME DE ACTIVIDADES DEBIDAMENTE FIRMADO POR EL SUPERVISOR DE CONTRATO, EL APOYO A LA SUPERVISIÓN (SI APLICA) Y EL CONTRATISTA. CUENTA DE COBRO. COPIA DEL PAGO DE LOS APORTES AL SISTEMA DE SEGURIDAD SOCIAL Y PARAFISCALES, PARA EL PERIODO COBRADO. 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 LA SECRETARÍA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LA SECRETARÍA,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</si>
  <si>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ELSA  CIFUENTES BELLO</t>
  </si>
  <si>
    <t>PROYECTO.3.3.1.14.01.08.1163.INTERVENTORIA TECNICA,ADMINISTRATIVA Y FINANCIERA AL CONVENIO DE ASOCIACION PROYECTO 1163. COMPONENTE "ECOAVENTURA 2013".</t>
  </si>
  <si>
    <t>CIN-134-2013</t>
  </si>
  <si>
    <t>EL VALOR DEL PRESENTE CONTRATO SERÁ POR LA SUMA DE CUATRO MILLONES CUATROCIENTOS OCHENTA MIL PESOS (4.480.000) MCTE.,.EL VALOR DEL CONTRATO SE PAGARÁ ASÍ:  CUATRO MENSUALIDADES VENCIDAS DE UN MILLON CIENTO VEINTE MIL PESOS  M/CTE ($1.120.000.OO),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</si>
  <si>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DOLORES BALDRICH ROJAS</t>
  </si>
  <si>
    <t>PROYECTO.3.3.1.14.01.08.1163.REALIZAR LA INTERVENTORIA TECNICA , ADMINISTRATIVA Y FINANCIERA AL CONVENIO DE ASOCIACION DEL PROYECTO 1163. ESCUELAS DE FORMACION DEPORTIVA.</t>
  </si>
  <si>
    <t>CIN-109-2013</t>
  </si>
  <si>
    <t>EL VALOR TOTAL DEL CONTRATO SERÁ LA SUMA DE SIETE MILLONES  QUINIENTOS MIL PESOS M/CTE ($7.500.000.OO). SE CANCELARÁ ASÍ: CINCO MENSUALIDADES VENCIDAS DE UN MILLON QUINIENTOS MIL PESOS  M/CTE ($1.500.000,00), LA CUAL INCLUYE TODOS LOS IMPUESTOS, TASAS Y CONTRIBUCIONES A QUE TENGA LUGAR, PREVIA PROGRAMACIÓN DEL PAC Y ENTREGA DE LOS SIGUIENTES DOCUMENTOS: INFORME DE ACTIVIDADES DEBIDAMENTE FIRMADO POR EL SUPERVISOR DE CONTRATO, EL APOYO A LA SUPERVISIÓN (SI APLICA) Y EL CONTRATISTA. CUENTA DE COBRO. COPIA DEL PAGO DE LOS APORTES AL SISTEMA DE SEGURIDAD SOCIAL Y PARAFISCALES, PARA EL PERIODO COBRADO. 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 LA SECRETARÍA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LA SECRETARÍA,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</si>
  <si>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GABRIEL GIOVANNY GARCIA GARCIA</t>
  </si>
  <si>
    <t>PROYECTO.3.3.1.14.01.08.1161. AUNAR ESFUERZOS TECNICOS ,ADMINISTRATIVOS Y FINANCIEROS PARA DESARROLLAR ESTRATEGIAS QUE PERMITAN BRINDAR A LAS NIÑAS,NIÑOS Y JOVENES DE LA LOCALIDAD , ESCOLARIZADOS Y DESESCOLARIZADOS ,ENTRE LOS SIETE ( 7 )  Y VEINTE (20)  AÑOS DE EDAD QUE HAYAN PARTICIPADO EN FORMACION MUSICAL, CON EL OBJETO DE QUE CONFORMEN LA PREORQUESTA Y ORQUESTA FILARMONICA JUVENIL.</t>
  </si>
  <si>
    <t>según avance del proyecto</t>
  </si>
  <si>
    <t>COOPFILARMONICA</t>
  </si>
  <si>
    <t>800,078,560-0</t>
  </si>
  <si>
    <t>PROYECTO.3.3.1.14.01.08.1161. REALIZAR LA INTERVENTORIA AL CONVENIO DE ASOCIACION 138, COMPONENTE EXPEDICIONES PEDAGOGICAS EN MUSICA PARA NIÑAS Y NIÑOS ,FORMACION MUSICAL INTEGRAL PARA CONFORMACION DE PREORQUESTA Y ORQUESTA FILARMONICA DE LA LOCALIDAD DE SANTA FE. ADICION 001 Y PRORROGA 002</t>
  </si>
  <si>
    <t>166-2012</t>
  </si>
  <si>
    <t>EL FONDO DE DESARROLLO LOCAL DE SANTA FE. CANCELARÁ EL VALOR DEL CONTRATO POR MENSUALIDADES VENCIDAS DE DOS MILLONES TRESCIENTOS DOCE MIL QUINIENTOS PESOS M/CTE ($2.312.500.OO) PREVIA PRESENTACIÓN DE INFORME. CERTIFICACIÓN DE CUMPLIMIENTO DEL SUPERVISOR DEL CONTRATO. VALORES QUE SERÁN CANCELADOS DE ACUERDO CON LA AUTORIZACIÓN QUE EMITA LA SECRETARÍA DE HACIENDA PARA EL PAC Y  LA ENTREGA DE LOS SIGUIENTES DOCUMENTOS:  A. INFORME MENSUAL DE ACTIVIDADES DEBIDAMENTE FIRMADO POR LA CONTRATISTA. B. CERTIFICACIÓN JURAMENTADA DE RETENCIÓN EN LA FUENTE C. COPIA DE LA PLANILLA DE PAGO DE LOS APORTES AL RÉGIMEN DE SEGURIDAD SOCIAL INTEGRAL. PARA EL PERIODO COBRADO. EN PROPORCIÓN AL VALOR MENSUAL DEL CONTRATO. NOTA: PARA EFECTOS DEL ÚLTIMO PAGO. DEBERÁ ENTREGAR CERTIFICACIÓN DE GESTIÓN DOCUMENTAL. CONSTANCIA DE ENTREGA DE ELEMENTOS A CARGO. CERTIFICACIÓN DE ORFEO (CUANDO APLIQUE) Y CONSTANCIA DE ENTREGA DE LA INFORMACIÓN A SU CARGO AL SUPERVISOR DEL CONTRATO.  DEL ESTATUTO TRIBUTARIO. INCLUYENDO EL IMPUESTO AL VALOR AGREGADO (IVA). PARA CADA PAGO. PARAGRAFO PRIMERO: LA CANCELACIÓN DEL VALOR DEL CONTRATO. POR PARTE DE LA SECRETARÍA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LA SECRETARÍA.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 QUE PARA EL PRESENTE AÑO SUPEREN EL MONTO ESTABLECIDO O QUIENES YA ESTUVIEREN INSCRITOS EN EL RÉGIMEN COMÚN. DEBERÁN PRESENTAR FACTURA DE VENTA. CON LOS REQUISITOS DEL ARTÍCULO 617 DEL ESTATUTO TRIBUTARIO. INCLUYENDO EL IMPUESTO AL VALOR AGREGADO (IVA). PARA CADA PAGO.</t>
  </si>
  <si>
    <t>CLAUDIA CONSTANZA CONTRERAS CORREA</t>
  </si>
  <si>
    <t>PROYECTO.3.3.1.14.01.08.1161. AUNAR ESFUERZOS TECNICOS,ADMINISTRATIVOS Y FINANCIEROS PARA EL DESARROLLO DE PROGRAMAS CULTURALES PARA TODAS Y TODOS ,APOYANDO INICIATIVAS JUVENILES ,FORTALECIMIENTO DE LA ORGANIZACION SOCIAL Y CREACION DE REDES SOCIALES.</t>
  </si>
  <si>
    <t>CAS-113-2013</t>
  </si>
  <si>
    <t>EL NOVENTA POR CIENTO (90%) DEL VALOR DEL CONTRATO, SE CANCELARA  DE CONFORMIDAD AL  PORCENTAJE DE EJECUCIÓN QUE SE ENCUENTRA DEBIDAMENTE SOPORTADO POR CADA MES, EL DIEZ POR CIENTO (10%) SE CANCELARA JUNTO CON EL ACTA DE LIQUIDACIÓN DEL CONTRATO.  PREVIA PRESENTACIÓN DE LOS SIGUIENTES DOCUMENTOS: INFORME DE ACTIVIDADES DEBIDAMENTE FIRMADO POR EL INTERVENTOR DE CONTRATO, Y EL CONTRATISTA, EL INFORME DEBE ESTAR DEBIDAMENTE SOPORTADO. CERTIFICADO DE CUMPLIMIENTO O ACTA DE RECIBO A SATISFACCIÓN EXPEDIDO POR EL INTERVENTOR DEL CONTRATO. ACTA DE INGRESO DE LOS BIENES AL ALMACÉN.(CUANDO APLIQUE). COPIA DE LA PLANILLA DE PAGO DE LOS APORTES AL RÉGIMEN DE SEGURIDAD SOCIAL, PARA EL PERIODO COBRADO, EN PROPORCIÓN AL VALOR MENSUAL DEL CONTRATO, CUANDO SE TRATE DE PERSONAS NATURALES. CERTIFICACIÓN SUSCRITA POR EL REPRESENTANTE LEGAL O REVISOR FISCAL, QUE ACREDITE EL CUMPLIMIENTO DEL PAGO DE APORTES AL SISTEMA DE SEGURIDAD SOCIAL INTEGRAL, PARAFISCALES, ICBF, SENA Y CAJAS DE COMPENSACIÓN FAMILIAR DE LOS ÚLTIMOS SEIS (6) MESES, DE CONFORMIDAD CON EL ARTÍCULO 50 DE LA LEY 789 DE 2002 O AQUELLA QUE LO MODIFIQUE, ADICIONE O COMPLEMENTE, CUANDO SE TRATE DE PERSONAS JURÍDICAS.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 NOTA: LA COFINANCIACIÓN DEBE IR DEBIDAMENTE SOPORTADA TÉCNICA Y FINANCIERAMENTE. PARAGRAFO PRIMERO: DICHAS SUMAS SE PAGARÁN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EL EJECUTOR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EJECUTOR DESTINARÁ LOS RECURSOS ECONÓMICOS ENTREGADOS POR EL FONDO ÚNICA Y EXCLUSIVAMENTE PARA DESARROLLAR LAS ACTIVIDADES DESCRITAS EN EL MARCO DEL PRESENTE CONVENIO</t>
  </si>
  <si>
    <t>PROYECTO.3.3.1.14.01.08.1161. REALIZAR INTERVENTORIA TECNICA,ADMNISTRATIVA , FINANCIERA,CONTABLE ,SOCIAL Y AMBIENTAL AL CONVENIO RESULTANTE PARA EJECUTAR EL PROYECTO 1161 . PROGRAMAS CULTURALES PARA TODAS Y TODOS.</t>
  </si>
  <si>
    <t>CIN-107-2013</t>
  </si>
  <si>
    <t>EL VALOR TOTAL DEL CONTRATO SERÁ LA SUMA DE SEIS MILLONES DE PESOS M/CTE ($6.000.000.OO). SE CANCELARÁ ASÍ: TRES MENSUALIDADES VENCIDAS DE DOS MILLONES DE PESOS  M/CTE ($2.000.000,00), LA CUAL INCLUYE TODOS LOS IMPUESTOS, TASAS Y CONTRIBUCIONES A QUE TENGA LUGAR, PREVIA PROGRAMACIÓN DEL PAC Y ENTREGA DE LOS SIGUIENTES DOCUMENTOS: INFORME DE ACTIVIDADES DEBIDAMENTE FIRMADO POR EL SUPERVISOR DE CONTRATO, EL APOYO A LA SUPERVISIÓN (SI APLICA) Y EL CONTRATISTA. CUENTA DE COBRO. COPIA DEL PAGO DE LOS APORTES AL SISTEMA DE SEGURIDAD SOCIAL Y PARAFISCALES, PARA EL PERIODO COBRADO. 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 LA SECRETARÍA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LA SECRETARÍA,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</si>
  <si>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GERMAN  RODRIGUEZ MORENO</t>
  </si>
  <si>
    <t>PROYECTO.3.3.1.14.01.08.1161. CONTRATAR UNA PERSONA NATURAL O JURIDICA PARA REALIZAR LA INTERVENTORIA TECNICA ,FINANCIERA .ADMINISTRATIVA Y AMBIENTAL DEL CONVENIO DE ASOCIACION 113 .DESARROLLO DE PROGRAMAS CULTURALES ,USO DEL TIEMPO LIBRE Y CREACION DE REDES SOCIALES.</t>
  </si>
  <si>
    <t>CIN-143-2013</t>
  </si>
  <si>
    <t>EL VALOR DEL PRESENTE CONTRATO SERÁ POR LA SUMA DE SIETE MILLONES QUINIENTOS MIL PESOS (7.500.000) MCTE.,.EL VALOR DEL CONTRATO SE PAGARÁ ASÍ:  PAGADEROS EN MENSUALIDADES VENCIDAS DE UN MILLÓN QUINIENTOS MIL PESOS (1.500.000), PAGADEROS EN (5) CINCO MENSUALIDADES VENCIDAS,  PREVIA PRESENTACIÓN DE INFORMES DE ACTIVIDADES DEL PERÍODO, DEBIDAMENTE AVALADO POR EL SUPERVISOR DESIGNADO POR EL FDLSF; VERIFICACIÓN DEL PAGO A LOS SISTEMAS DE SALUD, PENSIONES Y ARP,  SUSCRIPCIÓN DE RECIBO A SATISFACCIÓN POR PARTE DEL SUPERVISOR GENERAL; EL ÚLTIMO PAGO ESTARÁ SUJETO A LA LIQUIDACIÓN DEL CONTRATO. TENIENDO EN CUENTA LO DISPUESTO POR EL ARTÍCULO 23 DE LA LEY 1150 DE 2007, LOS PAGOS ESTARÁN CONDICIONADOS A LAS APROPIACIONES PRESUPUESTALES QUE DE LOS MISMOS SE HAGAN EN EL PRESUPUESTO Y A LA PROGRAMACIÓN DEL PROGRAMA ANUAL MENSUALIZADO DE CAJA - PAC.PARAGRAFO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</si>
  <si>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DANIEL ARTURO BERNAL ORTIZ</t>
  </si>
  <si>
    <t>PROYECTO. 3.3.1.14.01.08.1161. ADICION AL C.ASOC.89 DE 2013.</t>
  </si>
  <si>
    <t>1 meses</t>
  </si>
  <si>
    <t>CAS-089-2013-ADPRO1</t>
  </si>
  <si>
    <t>1 CADA PAGO SE REALIZARÁ CONFORME AL AVANCE DE EJECUCIÓN TÉCNICA Y FINANCIERA SOPORTADA, HASTA LLEGAR AL 90% DEL VALOR DEL CONTRATO Y EL 10 % RESTANTE CONTRA ACTA DE  LIQUIDACIÓN. DICHO AVANCE DEBIDAMENTE AVALADO POR LA INTERVENTORÍA Y/O EL SUPERVISOR DE APOYO DESIGNADO DESDE LA ALCALDÍA LOCAL, CERTIFICACIÓN DE PAGO DE APORTES AL SISTEMA DE SEGURIDAD SOCIAL Y PARAFISCALES, FACTURA O DOCUMENTO EQUIVALENTE Y CERTIFICACIÓN DE CUMPLIMIENTO EXPEDIDA POR EL INTERVENTOR Y/O SUPERVISOR DE APOYO. EN CERTIFICACIÓN DE CUMPLIMIENTO LA INTERVENTORÍA VERIFICARA Y CERTIFICARA EL CUMPLIMIENTO DE LAS OBLIGACIONES CONTRACTUALES, LAS OBLIGACIONES LABORALES Y DE SEGURIDAD SOCIAL EN SALUD, PENSIONES Y APORTES PARAFISCALES.   NOTA: TODO PAGO ESTARÁ SUJETO A LA PROGRAMACIÓN ANUALIZADA DE CAJA - PAC DE LA DIRECCIÓN DISTRITAL DE TESORERÍA Y DEL FONDO DE DESARROLLO LOCAL DE SANTA FE Y A LAS FECHAS DE PAGOS ESTABLECIDOS, LO CUAL NO GENERARÁ INTERESES MORATORIOS.  NOTA: LA COFINANCIACIÓN DEBE IR DEBIDAMENTE SOPORTADA TÉCNICA Y FINANCIERAMENTE</t>
  </si>
  <si>
    <t>COOPERATIVA FILARMONICA COOPFILARMONICA</t>
  </si>
  <si>
    <t>PROYECTO. 3.3.1.14.01.08.1161.AUNAR ESFUERZOS TECNICOS,ADMINISTRATIVOS ,  FINANCIEROS Y HUMANOS PARA BRINDAR ALAS MÑIÑAS , NIÑOS Y JOVENES DE LA LOCALIDAD , ESCOLARIZADOS Y DESESCOLARIZADOS ENTRE LOS SIETE Y VEIINTE AÑOS DE EDAD QUE HAYAN PARTICIPADO EN FORMACION MUSICAL , CON Y SIN CONOCIMIENTO MUSICAL CON EL OBJETO DE DAR CONTINUIDAD Y FORTALECER LA ORQUESTA FILARMINICA JUVENIL DE LA LOCALIDAD.</t>
  </si>
  <si>
    <t>CAS- 089-2013</t>
  </si>
  <si>
    <t>El valor de los aportes del Fondo de Desarrollo Local de Santa Fe será desembolsado de la siguiente forma: 
Cada pago se realizará conforme a la ejecución del técnica y financiera soportada, hasta llegar al 90% del valor del contrato y el 10 % restante contra acta de  liquidación. 
NOTA: Todo pago estará sujeto a la Programación Anualizada de Caja - PAC de la Dirección Distrital de Tesorería y del Fondo de Desarrollo Local de Santa Fe y a las fechas de pagos establecidos, lo cual no generará intereses moratorios.</t>
  </si>
  <si>
    <t>800078560-0</t>
  </si>
  <si>
    <t>PROYECTO.3.3.1.14.02.17.1165. EJECUTAR ACTIVIDADES ENCAMINADAS A LA RECUPERACION DE LOS ESPACIOS DEL AGUA EN LA LOCALIDAD , PARA DAR CUMPLIMIENTO A LAS METAS DEL PLAN DE DESARROLLO LOCAL , COMPONENTE RECUPERACION DE RIOS Y QUEBRADAS.</t>
  </si>
  <si>
    <t>12 meses</t>
  </si>
  <si>
    <t>CPS-178-2013</t>
  </si>
  <si>
    <t>VALOR DEL CONTRATO SE CANCELARA DE LA SIGUIENTE FORMA: 1. UN TREINTA PORCIENTO (30%) COMO ANTICIPO. LA FORMA DE AMORTIZAR SERÁ DE CONFORMIDAD A LA CLAUSULA DEL ANTICIPO. 2.  EL CINCUENTA (50%)  POR CIENTO DEL VALOR DEL CONTRATO DE FORMA MENSUAL. EL CONTRATISTA DEBERÁ DEMOSTRAR EL PORCENTAJE DE  EJECUCIÓN DEL CONTRATO Y ESE SERÁ EL VALOR A CANCELAR EN EL MES.  3. EL VEINTE (20%) POR CIENTO DEL VALOR DEL CONTRATO JUNTO CON EL ACTA DE LIQUIDACIÓN DEL CONTRATO, EL CONTRATISTA DEBERÁ SOPORTAR LA EJECUCIÓN DEL CONTRATO.  PREVIA PRESENTACIÓN DE LOS SIGUIENTES DOCUMENTOS:  INFORME DE ACTIVIDADES DEBIDAMENTE FIRMADO POR EL INTERVENTOR DE CONTRATO, Y EL CONTRATISTA, EL INFORME DEBE ESTAR DEBIDAMENTE SOPORTADO. FACTURA O DOCUMENTO EQUIVALENTE (DEPENDIENDO DEL RÉGIMEN A QUIEN PERTENEZCA). CERTIFICADO DE CUMPLIMIENTO O ACTA DE RECIBO A SATISFACCIÓN EXPEDIDO POR EL INTERVENTOR DEL CONTRATO. ACTA DE INGRESO DE LOS BIENES AL ALMACÉN.(CUANDO APLIQUE). COPIA DE LA PLANILLA DE PAGO DE LOS APORTES AL RÉGIMEN DE SEGURIDAD SOCIAL, PARA EL PERIODO COBRADO, EN PROPORCIÓN AL VALOR MENSUAL DEL CONTRATO, CUANDO SE TRATE DE PERSONAS NATURALES.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COPIA DEL RIT, RUT Y RESOLUCIÓN DEL APLICACIÓN (CUANDO APLIQUE). CERTIFICACIÓN BANCARIA.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</si>
  <si>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FUNDACION COMUNITARIA DE VIVIENDA DIGNA FUCODEVI</t>
  </si>
  <si>
    <t>PROYECTO.3.3.1.14.02.17.1165. REALIZAR INTERVENTORIA TECNICA,ADMINISTRATIVA Y FINANCIERA AL CONTRATO DE PRESTACION DE SERVICIOS DEL PROYECTO 1165. COMPONENTE RECUPERACION DE RIOS Y QUEBRADAS.</t>
  </si>
  <si>
    <t>CIN-163-2013</t>
  </si>
  <si>
    <t>EL VALOR DEL PRESENTE CONTRATO SERÁ POR LA SUMA DE QUINCE MILLONES NOVECIENTOS CINCUENTA MIL PESOS (15.950.000) MCTE.,.EL VALOR DEL CONTRATO SE PAGARÁ ASÍ:  DOCE MENSUALIDADES VENCIDAS DE MILLÓN TRESCIENTOS VEINTINUEVE MIL  PESOS  M/CTE ($ 1.329.000)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</si>
  <si>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ANTULIO ROZO CASTAÑEDA</t>
  </si>
  <si>
    <t>PROYECTO.3.3.1.14.02.17.1165. DESARROLLAR ACTIVIDADES ENCAMINADAS A LA RECUPERACION DE LOS PUNTOS CRITICOS IDENTIFICADOS EN LA LOCALIDAD DE SANTA FE .</t>
  </si>
  <si>
    <t>CPS-125-2013</t>
  </si>
  <si>
    <t>PROYECTO.3.3.1.14.02.17.1165. INTERVENTORIA TECNICA, ADMINISTRATIVA Y FINANCIERA AL PROYECTO 1165 . COMPONENTE RECUPERACION DE PUNTOS CRITICOS-RESIDUOS DE CONSTRUCCION Y DEMOLICIONES (RCD).</t>
  </si>
  <si>
    <t>CIN-168-2013</t>
  </si>
  <si>
    <t>EL VALOR DEL PRESENTE CONTRATO SERÁ POR LA SUMA DE DOCE MILLONES  PESOS (12.000.000) MCTE.,.EL VALOR DEL CONTRATO SE PAGARÁ ASÍ:  SEIS MENSUALIDADES VENCIDAS DE DOS MILLONES DE  PESOS  M/CTE ($ 2.000.000)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</si>
  <si>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 3.3.1.14.02.17.1165.IMPLEMENTAR UNA ESTRATEGIA DE SENSIBILIZACION Y CAPACITACION PARA EL CONTROL AMBIENTAL AL INADECUADO AMNEJO Y DISPOSICION DE RESIDUOS DE CONSTRUCCION Y DEMOLICION EN LA LOCALIDAD DE SANTA FE.</t>
  </si>
  <si>
    <t>CPS-145-2013</t>
  </si>
  <si>
    <t>EL FONDO DE DESARROLLO LOCAL PAGARA EL OCHENTA POR CIENTO DEL VALOR DEL CONTRATO MEDIANTE PAGOS MENSUALES  DE CONFORMIDAD AL PORCENTAJE DE EJECUCIÓN DEMOSTRADO POR EL CONTRATISTA EN EL MES A COBRAR, EL PORCENTAJE DE EJECUCIÓN DEBE ESTAR EN CONCORDANCIA AL CRONOGRAMA DE TRABAJO DEL PROYECTO, EL VALOR A CANCELAR SERÁ PROGRAMADO CON EL CUMPLIMIENTO DE TODOS LOS REQUISITOS Y DE ACUERDO CON LA AUTORIZACIÓN QUE EMITA LA SECRETARÍA DE HACIENDA PARA EL PAC DE TERMINACIÓN Y LIQUIDACIÓN DEL CONTRATO Y EL 100 % DE LAS ACTIVIDADES SE HAYAN DESARROLLADO A SATISFACCIÓN. EL VEINTE POR CIENTO (20%) DEL VALOR DEL CONTRATO ESTARÁ A SUJETO AL ACTA DE LIQUIDACIÓN DEL CONTRATO.  PREVIA PRESENTACIÓN DE LOS SIGUIENTES DOCUMENTOS: 1. INFORME DE ACTIVIDADES DEBIDAMENTE FIRMADO POR EL INTERVENTOR DE CONTRATO, Y EL CONTRATISTA, EL INFORME DEBE ESTAR DEBIDAMENTE SOPORTADO. 2. FACTURA O DOCUMENTO EQUIVALENTE (DEPENDIENDO DEL RÉGIMEN A QUIEN PERTENEZCA)3. CERTIFICADO DE CUMPLIMIENTO O ACTA DE RECIBO A SATISFACCIÓN EXPEDIDO POR EL INTERVENTOR DEL CONTRATO. 4. ACTA DE INGRESO DE LOS BIENES AL ALMACÉN.(CUANDO APLIQUE)5. COPIA DE LA PLANILLA DE PAGO DE LOS APORTES AL RÉGIMEN DE SEGURIDAD SOCIAL, PARA EL PERIODO COBRADO, EN PROPORCIÓN AL VALOR MENSUAL DEL CONTRATO, CUANDO SE TRATE DE PERSONAS NATURALES 6.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7. COPIA DEL RIT, RUT Y RESOLUCIÓN DEL APLICACIÓN (CUANDO APLIQUE).8. CERTIFICACIÓN BANCARIA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</si>
  <si>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PROYECTO.3.3.1.14.02.17.1165. REALIZAR LA INTERVENTORIA TECNICA , ADMINISTRATIVA Y FINANCIERA AL CONTRATO DE PRESTACION DE SERVICIOS DEL PROYECTO 1165 , COMPONENTE " RECUPERACION DE PUNTOS CRITICOS - RESIDUOS DOMESTICOS Y COMERCIALES"</t>
  </si>
  <si>
    <t>CIN-183-2013</t>
  </si>
  <si>
    <t>EL VALOR DEL PRESENTE CONTRATO SERÁ POR LA SUMA DE DIEZ MILLONES OCHOCIENTOS MIL PESOS (10.800.000) MCTE.,.EL VALOR DEL CONTRATO SE PAGARÁ ASÍ:  PAGADEROS EN MENSUALIDADES VENCIDAS DE UN MILLÓN OCHOCIENTOS MIL PESOS (1.800.000),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</si>
  <si>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JOHANNA  MUÑOZ PASCAGAZA</t>
  </si>
  <si>
    <t>PROYECTO. 3.3.1.14.02.17.1165.PRESTAR LOS SERVICIOS PARA EJECUTAR EL PROYECTO 1165. COMPONENTE "RECUPERACION DE TRES HECTAREAS AMBIENTALMENTE ESTRATEGICAS A TRAVES DE REHABILITACION ECOLOGICA Y SUSTENTABILIDAD CAMPESINA.</t>
  </si>
  <si>
    <t>CPS-146-2013</t>
  </si>
  <si>
    <t>EL VALOR DEL CONTRATO SE CANCELARA DE LA SIGUIENTE FORMA: 1. UN TREINTA PORCIENTO (30%) COMO ANTICIPO. LA FORMA DE AMORTIZAR SERÁ DE CONFORMIDAD A LA CLAUSULA DEL ANTICIPO. 2.  EL CINCUENTA (50%)  POR CIENTO DEL VALOR DEL CONTRATO DE FORMA MENSUAL. EL CONTRATISTA DEBERÁ DEMOSTRAR EL PORCENTAJE DE  EJECUCIÓN DEL CONTRATO Y ESE SERÁ EL VALOR A CANCELAR EN EL MES.  3. EL VEINTE (20%) POR CIENTO DEL VALOR DEL CONTRATO JUNTO CON EL ACTA DE LIQUIDACIÓN DEL CONTRATO, EL CONTRATISTA DEBERÁ SOPORTAR LA EJECUCIÓN DEL CONTRATO.  PREVIA PRESENTACIÓN DE LOS SIGUIENTES DOCUMENTOS:  INFORME DE ACTIVIDADES DEBIDAMENTE FIRMADO POR EL INTERVENTOR DE CONTRATO, Y EL CONTRATISTA, EL INFORME DEBE ESTAR DEBIDAMENTE SOPORTADO. FACTURA O DOCUMENTO EQUIVALENTE (DEPENDIENDO DEL RÉGIMEN A QUIEN PERTENEZCA). CERTIFICADO DE CUMPLIMIENTO O ACTA DE RECIBO A SATISFACCIÓN EXPEDIDO POR EL INTERVENTOR DEL CONTRATO. ACTA DE INGRESO DE LOS BIENES AL ALMACÉN.(CUANDO APLIQUE). COPIA DE LA PLANILLA DE PAGO DE LOS APORTES AL RÉGIMEN DE SEGURIDAD SOCIAL, PARA EL PERIODO COBRADO, EN PROPORCIÓN AL VALOR MENSUAL DEL CONTRATO, CUANDO SE TRATE DE PERSONAS NATURALES.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COPIA DEL RIT, RUT Y RESOLUCIÓN DEL APLICACIÓN (CUANDO APLIQUE). CERTIFICACIÓN BANCARIA.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</si>
  <si>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PROYECTO.3.3.1.14.02.17.1165. INTERVENTORIA TECNICA , ADMINISTRATIVA Y FINANCIERA CONTABLE  , SOCIAL Y AMBIENTAL AL PROYECTO 1165.RESTAURACION DE LA ESTRUCTURA ECOLOGICA.</t>
  </si>
  <si>
    <t>CIN-166-2013</t>
  </si>
  <si>
    <t>EL VALOR DEL PRESENTE CONTRATO SERÁ POR LA SUMA DE DOCE MILLONES DE PESOS (12.000.000) MCTE.,.EL VALOR DEL CONTRATO SE PAGARÁ ASÍ:  SEIS  MENSUALIDADES VENCIDAS DOS MILLONES DE PESOS  M/CTE ($2.000.000),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</si>
  <si>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WILLIAM GIOVANNI MORENO AVILA</t>
  </si>
  <si>
    <t>PROYECTO.3.3.1.14.02.17.1165.PRESTAR LOS SERVICIOS PARA EJECUTAR EL PROYECTO 1165.3 PARA EL FORTALECIMIENTO DE LAS PRODUCCCIONES AGROPECUARIAS DEL AREA RURAL ,MEDIANTE ASISTENCIA TECNICA ,  EN LA LOCALIDAD DE SANTA FE.</t>
  </si>
  <si>
    <t>LICITACIÓN PÚBLICA LEY 1150 DE 2007</t>
  </si>
  <si>
    <t>CPS-144-2013</t>
  </si>
  <si>
    <t>EL FONDO DE DESARROLLO LOCAL DE SANTA FE GIRARA AL CONTRATISTA LA SUMA DE EQUIVALENTE AL 30% DEL VALOR DEL CONTRATO EN CALIDAD DE ANTICIPO, UNA VEZ LEGALIZADO EL CONTRATO, PREVIA PRESENTACIÓN DEL PLAN DE MANEJO, FACTURA O DOCUMENTO EQUIVALENTE, CRONOGRAMA DE ACTIVIDADES Y AUTORIZACIÓN DE GIRO EXPEDIDA POR EL INTERVENTOR DEL CONTRATO.  PARÁGRAFO: DE CONFORMIDAD CON EL ARTICULO  8.1.18   DEL DECRETO 734 DE 2012,  QUE ESTABLECE: ARTÍCULO 8.1.18. DEL ANTICIPO. EN LAS CONTRATACIONES DISTINTAS A LAS QUE SE REFIERE EL ARTÍCULO 91 DE LA LEY 1474 DE 2011, EL MANEJO DE LOS RECURSOS ENTREGADOS AL CONTRATISTA A TÍTULO DE ANTICIPO, DEBERÁ REALIZARSE EN CUENTA BANCARIA SEPARADA, NO CONJUNTA, A NOMBRE DEL CONTRATO SUSCRITO. LOS RENDIMIENTOS QUE LLEGAREN A PRODUCIR LOS RECURSOS ASÍ ENTREGADOS, PERTENECERÁN AL TESORO.  PARÁGRAFO SEGUNDO: EL VALOR GIRADO EN CALIDAD DE ANTICIPO SERÁ AMORTIZADO EN CADA DESEMBOLSO MENSUAL QUE REALICE EL FONDO. POR CONSIGUIENTE DE CADA PAGO MENSUAL SE DESCONTAR UN  CINCUENTA PORCIENTO (50%)  HASTA AMORTIZAR EL CIEN PORCIENTO (100%)</t>
  </si>
  <si>
    <t>PROYECTO.3.3.1.14.02.19.1168. EL FONDO DE DESARROLLO LOCAL DE SANTA FE ,REQUIERE SELECCIONAR UN CONTARTISTA QUE REALICE A PRECIOS UNITARIOS FIJOS SIN FORMULA DE REAJUSTE ,EL DAGNOSTICO , DISEÑO , MANTENIMIENTO Y REHABILITACION DE LA MALLA VIAL Y ANDENES EN LA LOCALIDAD DE SANTA FE , DE ACUERDO CON LA DESCRIPCION , ESPECIFICACIONES TECNICAS Y DEMAS CONDICIONES ESTABLECIDAS EN LOS PRESENTES ESTUDIOS ,LA FORMULACION DEL PROYECTO Y ANEXOS ,DOCUMENTOS QUE HACEN PARTE INTEGRAL DEL PRESENTE PROCESO.</t>
  </si>
  <si>
    <t>Contrato de Obra</t>
  </si>
  <si>
    <t>COP-059-2013</t>
  </si>
  <si>
    <t>EL FONDO DE DESARROLLO LOCAL DE SANTA FE SE COMPROMETE A PAGAR EL VALOR DEL CONTRATO SUBORDINADO A LAS APROPIACIONES QUE DEL MISMO SE HAGAN DEL PRESUPUESTO, DE LA SIGUIENTE MANERA: 1) UN PRIMER PAGO EQUIVALENTE AL 20% DEL VALOR DEL CONTRATO EN CALIDAD DE ANTICIPO, CON POSTERIORIDAD A LA PRESENTACIÓN DEL PLAN DE MANEJO, CRONOGRAMA DE PROGRAMACIÓN DE OBRA DEBIDAMENTE APROBADO POR EL INTERVENTOR Y SUPERVISOR DESIGNADO POR PARTE DE LA ENTIDAD, PRESENTACIÓN DE FACTURA O CUENTA DE COBRO, SEGÚN EL CASO. 2) EL SALDO SE CANCELARÁ CONTRA ACTAS DE OBRA CONFORME A LO EJECUTADO,  PREVIA PRESENTACIÓN DE INFORME DE EJECUCIÓN DEBIDAMENTE APROBADO POR EL INTERVENTOR.  DEL VALOR DE CADA ACTA DEBERÁ DESCONTARSE EL 20% COMO AMORTIZACIÓN DEL ANTICIPO Y UN 10% COMO GARANTÍA DE CALIDAD DE LA OBRA, EL CUAL SE DEVOLVERÁ AL CONTRATISTA UNA VEZ SEA LIQUIDADO EL CONTRATO. TODOS LOS DOCUMENTOS DE PAGO DEBERÁN SER AVALADOS POR EL INTERVENTOR CONTRATADO POR EL FONDO Y POR EL SUPERVISOR DESIGNADO POR EL FONDO.  LOS IMPUESTOS Y RETENCIONES QUE SURJAN DEL PRESENTE CONTRATO, CORREN POR CUENTA DEL CONTRATISTA, PARA CUYOS EFECTOS EL FONDO HARÁ LAS RETENCIONES DEL CASO Y CUMPLIRÁ LAS OBLIGACIONES FISCALES QUE ORDENE LA LEY. PARAGRAFO: EL CONTRATISTA DEBERÁ CONSTITUIR UNA FIDUCIA PARA EL MANEJO DEL ANTICIPO, LOS  RENDIMIENTOS DE LA MISMA DEBERÁN SER CONSIGNADOS EN LA TESORERÍA DISTRITAL  A FAVOR DEL FONDO DE DESARROLLO LOCAL DE SANTA FE. LOS VALORES SERÁN CANCELADOS DE ACUERDO CON LA AUTORIZACIÓN QUE EMITA LA SECRETARÍA DE HACIENDA PARA EL PAC</t>
  </si>
  <si>
    <t>CONSORCIO BACATA</t>
  </si>
  <si>
    <t>PROYECTO.3.3.1.14.02.09.1168 .INTERVENTORIA TECNICA , .LEGAL ADMINISTRATIVA FINANCIERA Y AMBIENTAL AL CONTRATO CUYO OBJETO ES EL DIAGNOSTICO ,DISEÑO,MANTENIMIENTO Y REHABILITACION DE LA MALLA VIAL Y ANDENES EN LA LOCALIDAD DE SANTA FE.</t>
  </si>
  <si>
    <t>CIA-070-2013</t>
  </si>
  <si>
    <t>SE PAGARA POR PARTE DEL FONDO DE DESARROLLO LOCAL DE SANTA FE, EL VALOR DEL CONVENIO,  SUBORDINADO A LAS APROPIACIONES QUE DEL MISMO SE HAGAN DEL PRESUPUESTO, DE LA SIGUIENTE MANERA: A)- UN PRIMER PAGO ANTICIPADO DEL CUARENTA POR CIENTO (40%) DEL VALOR DE LOS APORTES DE EL FONDO, A LA SUSCRIPCIÓN DEL ACTA DE INICIO. B)- UN CINCUENTA POR CIENTO (50%) DEL VALOR DE LOS APORTES DE EL FONDO, EN DESEMBOLSOS MENSUALES DURANTE EL TIEMPO DEL CONVENIO, ACORDE CON LA PRESENTACIÓN DE INFORMES Y AVANCES. C)- EL DIEZ POR CIENTO  (10%) DEL VALOR DEL DE LOS APORTES DE EL FONDO CONTRA LIQUIDACIÓN DEL CONTRATO, PREVIO RECIBO A SATISFACCIÓN DE LOS PRODUCTOS RESPECTIVOS POR PARTE DEL SUPERVISOR Y HABERSE LIQUIDADO EL CONTRATO DE OBRA. PARAGRAFO: TODO PAGO ESTARÁ SUJETO A LA PROGRAMACIÓN ANUALIZADA DE CAJA - PAC DE LA DIRECCIÓN DISTRITAL DE TESORERÍA Y DEL FONDO DE DESARROLLO LOCAL DE SANTA FE Y A LAS FECHAS DE PAGO ESTABLECIDAS, LO CUAL NO GENERARÁ INTERESES MORATORIOS</t>
  </si>
  <si>
    <t>UNIVERSIDAD NACIONAL DE COLOMBIA</t>
  </si>
  <si>
    <t>PROYECTO , 3.3.1.14.02.19.1168 , SE PROMOVERA QUE LAS NECESIDADES BASICAS DE MOVILIDAD SE CUMPLAN DE MANERA SEGURA Y EFICIENTE ,CONSISTENTE CON LA SALUD HUMANA Y EL ECOSISTEMA ATENDIENDO LAS NECESIDADES DIFERENCIALES DE HOMBRES Y MUJERES EN LOS NIVELES GENERACIONAL Y TIPOS DE DISCAPACIDAD.19.1168 ,</t>
  </si>
  <si>
    <t>Concurso de méritos</t>
  </si>
  <si>
    <t>128 de 2011</t>
  </si>
  <si>
    <t>Mensuales</t>
  </si>
  <si>
    <t>ARQUITECTURA URBANA LTDA</t>
  </si>
  <si>
    <t>830.098.495-4</t>
  </si>
  <si>
    <t>PROYECTO.3.3.1.14.02.09.1168. PRESTAR LOS SERVICIOS PARA LA EJECUCION DEL PROYECTO 1168,  EN  EL DISEÑO Y LAS OBRAS DE CONSTRUCCION ADECUACION Y MANTENIMIENTO DE PARQUES EN LA LOCALIDAD DE SANTA FE.</t>
  </si>
  <si>
    <t>112 de 2012</t>
  </si>
  <si>
    <t>Contra actas de obra</t>
  </si>
  <si>
    <t>CONSORCIO OBRAS PARQUES</t>
  </si>
  <si>
    <t>900.587.043-2</t>
  </si>
  <si>
    <t>PROYECTO 3.3.1.14.02.19.1168. LA INTERVENTORIA SE OBLIGA A PRESTAR LOS SERVICIOS EN LA EJECUCION DEL PROYECTO . 1168 ,EN SU COMPONENTE DISEÑO Y OBRAS DE CONSTRUCCION ADECUACION Y MANTENIMIENTO DE PARQUES EN LA LOCALIDAD DE SANTA FE.</t>
  </si>
  <si>
    <t>134 de 2012</t>
  </si>
  <si>
    <t>899.999.063-3</t>
  </si>
  <si>
    <t>PROYECTO. 3.3.1.14.02.19.1168. MEJORAMIENTO Y RECUPERACION DEL ESPACIO PUBLICO LOCAL, SUBCOMPONENTE "DISEÑO Y CONSTRUCCION DE LAS OBRAS DE MITIGACION DE RIESGOS EN LA LOCALIDAD DE SANTA FE".</t>
  </si>
  <si>
    <t>COP-124-2013</t>
  </si>
  <si>
    <t>EL VALOR DEL CONTRATO SE CANCELARÁ DE LA SIGUIENTE MANERA:  UN PRIMER PAGO EQUIVALENTE AL 40% DEL VALOR DEL CONTRATO EN CALIDAD DE ANTICIPO, CON POSTERIORIDAD A LA PRESENTACIÓN DEL PLAN DE MANEJO, CRONOGRAMA DE PROGRAMACIÓN DE OBRA DEBIDAMENTE APROBADO POR EL INTERVENTOR Y SUPERVISOR DESIGNADO POR PARTE DE LA ENTIDAD, PRESENTACIÓN DE FACTURA O DOCUMENTO EQUIVALENTE, SEGÚN EL CASO, PRESENTACIÓN DEL CONTRATO DE FIDUCIA AL FONDO DE DESARROLLO Y AUTORIZACIÓN DE GIRO DEL INTERVENTOR. 2) EL SALDO SE CANCELARÁ  CONTRA ACTAS DE OBRA CONFORME A LO EJECUTADO, PREVIA PRESENTACIÓN DE INFORME DE EJECUCIÓN DEBIDAMENTE APROBADO POR EL INTERVENTOR.  DEL VALOR DE CADA ACTA DEBERÁ DESCONTARSE EL 40% COMO AMORTIZACIÓN DEL ANTICIPO Y UN 10% COMO GARANTÍA DE CALIDAD DE LA OBRA, EL CUAL SE DEVOLVERÁ AL CONTRATISTA UNA VEZ SEA LIQUIDADO EL CONTRATO.  EL IVA Y RETENCIÓN EN LA FUENTE A LOS PAGOS O ABONOS EN CUENTA, SE HARÁN DE ACUERDO CON LAS DISPOSICIONES LEGALES QUE REGULAN LA MATERIA. CONFORME A LO SEÑALADO EN EL ARTÍCULO 91 DEL DECRETO 734 DE 2012 EL CONTRATISTA DEBERÁ CONSTITUIR UNA FIDUCIA O UN PATRIMONIO AUTÓNOMO IRREVOCABLE PARA EL MANEJO DE LOS RECURSOS QUE RECIBA A TÍTULO DE ANTICIPO, CON EL FIN DE GARANTIZAR QUE DICHOS RECURSOS SE APLIQUEN EXCLUSIVAMENTE A LA EJECUCIÓN DEL CONTRATO CORRESPONDIENTE. EL COSTO DE LA COMISIÓN FIDUCIARIA SERÁ CUBIERTO DIRECTAMENTE POR EL CONTRATISTA.  LA INFORMACIÓN FINANCIERA Y CONTABLE DE LA FIDUCIA PODRÁ SER CONSULTADA POR LOS ORGANISMOS DE VIGILANCIA Y CONTROL FISCAL.  EL CONTRATO DE FIDUCIA DEBERÁ SER PRESENTADO POR EL CONTRATISTA AL ÁREA JURÍDICA DEL FONDO DE DESARROLLO PARA SU REVISIÓN.  LOS RENDIMIENTOS FINANCIEROS QUE GENEREN LOS RECURSOS CONSIGNADOS EN LA FIDUCIA, DEBERÁN SER DEVUELTOS AL FONDO DE DESARROLLO LOCAL DE SANTA FE, UNA VEZ SE LIQUIDE EL CONTRATO DE FIDUCIA, MEDIANTE CONSIGNACIÓN EN LA TESORERÍA DE HACIENDA DISTRITAL, REQUISITO FUNDAMENTAL PARA LIQUIDAR EL CONTRATO. PAGO DE LOS PLANES DE MANEJO DE TRÁFICO: EL VALOR DEL PLAN DE MANEJO DE TRÁFICO Y SEÑALIZACIÓN, HACE PARTE DE LOS COSTOS DIRECTOS DEL PRESUPUESTO, CUMPLIENDO CON CADA UNO DE LOS ASPECTOS ESTABLECIDOS POR LA SECRETARÍA DISTRITAL DE MOVILIDAD  PAGO PLAN DE GESTION SOCIAL Y AMBIENTAL: EL VALOR DE LA GESTIÓN AMBIENTAL Y SOCIAL DEBE SER CONSIDERADO POR EL PROPONENTE EN EL PORCENTAJE DE AIU, CON EL CUAL SE DARÁ CUMPLIMIENTO A CADA UNO DE LOS ASPECTOS AMBIENTALES DEFINIDOS EN EL PRESENTE CAPÍTULO.  LOS IMPUESTOS Y RETENCIONES QUE SURJAN DEL PRESENTE CONTRATO, CORREN POR CUENTA DEL CONTRATISTA, PARA CUYOS EFECTOS EL FONDO HARÁ LAS RETENCIONES DEL CASO Y CUMPLIRÁ LAS OBLIGACIONES FISCALES QUE ORDENE LA LEY.  NO OBSTANTE LO ANTERIOR, TODOS LOS PAGOS ESTARÁN SUJETOS A DISPONIBILIDAD DEL PAC.   LOS PAGOS SERÁN CANCELADOS POR MEDIO DE LA TESORERÍA DISTRITAL, EN PESOS COLOMBIANOS, A TRAVÉS DE LA CONSIGNACIÓN EN LA CUENTA CORRIENTE O DE AHORROS QUE EL CONTRATISTA SEÑALE, EN UNA DE LAS ENTIDADES FINANCIERAS AFILIADAS AL SISTEMA AUTOMÁTICO DE PAGOS, PREVIOS LOS DESCUENTOS DE LEY. EN CASO QUE EL OFERENTE FAVORECIDO SEA UN CONSORCIO O UNIÓN TEMPORAL, PARA EFECTOS DEL PAGO, ÉSTE DEBERÁ INFORMAR EL NÚMERO DEL NIT, A NOMBRE DEL CONSORCIO O UNIÓN TEMPORAL, ASÍ COMO EFECTUAR LA FACTURACIÓN EN FORMATO APROBADO POR LA DIAN A NOMBRE DEL RESPECTIVO CONSORCIO O UNIÓN TEMPORAL. EL FONDO SÓLO ADQUIERE OBLIGACIONES CON EL PROPONENTE FAVORECIDO EN EL PROCESO DE SELECCIÓN Y BAJO NINGÚN MOTIVO O CIRCUNSTANCIA ACEPTARÁ PAGOS A TERCEROS.  SI LA FACTURA NO HA SIDO CORRECTAMENTE ELABORADA O NO SE ACOMPAÑA DE LOS DOCUMENTOS REQUERIDOS PARA EL PAGO, EL TÉRMINO PARA ESTE EFECTO SÓLO EMPEZARÁ A CONTARSE DESDE LA FECHA EN QUE SE PRESENTEN EN DEBIDA FORMA O SE HAYA APORTADO EL ÚLTIMO DE LOS DOCUMENTOS EXIGIDOS EN ESTE PLIEGO DE CONDICIONES. LOS RETARDOS QUE SE PRESENTEN POR ESTE CONCEPTO SERÁ RESPONSABILIDAD DEL CONTRATISTA Y ÉSTE NO TENDRÁ POR ELLO DERECHO AL PAGO DE INTERESES O COMPENSACIÓN DE NINGUNA NATURALEZA</t>
  </si>
  <si>
    <t>ASMI CONSTRUCTORES S.A.</t>
  </si>
  <si>
    <t>PROYECTO. 3.3.1.14.02.19.1168 . INTERVENTORIA TECNICA , LEGAL ADMINISTRATIVA , SOCIAL, FINANCIERA Y AMBIENTAL AL CONTRATO " DISEÑO Y CONSTRUCCION DE OBRAS DE MITIGACION DE RIESGOS EN LA LOCALIDAD DE SANTA FE.</t>
  </si>
  <si>
    <t>CIN-133-2013</t>
  </si>
  <si>
    <t>EL VALOR DEL CONTRATO SE CANCELARÁ  EN SIETE  (7)  PAGOS PARCIALES MENSUALES IGUALES SEGÚN PROGRAMACIÓN EN EL PAC, SIEMPRE QUE SE HAYA APROBADO EL INFORME DEL CONTRATO OBJETO DE INTERVENTORÍA Y AUTORIZADO EL PAGO DEL MISMO PERÍODO,  PREVIA PRESENTACIÓN DE LOS SIGUIENTES DOCUMENTOS: A) INFORME PARCIAL DE EJECUCIÓN DE ACTIVIDADES, DEBIDAMENTE APROBADO POR EL RESPONSABLE DEL CONTROL DE EJECUCIÓN, SOPORTADO CON LA DOCUMENTACIÓN EXIGIDA EN LAS OBLIGACIONES.  B) INFORME EJECUTIVO DE AVANCE DEL CONTRATO INTERVENIDO AVALADO POR EL SUPERVISOR. RESUMEN DEL ESTADO ADMINISTRATIVO, PRESUPUESTAL Y AVANCE FÍSICO DEL MISMO.   C) CERTIFICACIÓN DEL SUPERVISOR DEL CUMPLIMIENTO DEL OBJETO CONTRACTUAL, DURANTE EL RESPECTIVO PERÍODO. D) COMPROBANTE DE PAGO DE LOS APORTES A LOS SISTEMAS  DE SALUD Y PENSIONES,  PREVISTOS EN LA LEY 100 DE 1993 Y SUS DECRETOS REGLAMENTARIOS  Y EL ARTÍCULO 23 DE LA LEY 1150 DE 2007. EL CONTRATISTA DEBE DEMOSTRAR PARA EL COBRO DE CADA PAGO DERIVADO DEL CONTRATO QUE SE ENCUENTRA AL DÍA EN SUS APORTES AL SISTEMA INTEGRAL DE SEGURIDAD SOCIAL Y RIESGOS LABORALES, SEGÚN EL CASO. EN CASO CONTRARIO, LA ENTIDAD SE ABSTENDRÁ DE REALIZAR EL PAGO CORRESPONDIENTE. EL ÚLTIMO PAGO SERÁ CANCELADO PREVIA SUSCRIPCIÓN DE LAS ACTAS DE TERMINACIÓN Y DE LIQUIDACIÓN DEL CONTRATO POR PARTE DEL SUPERVISOR DESIGNADO Y EL CONTRATISTA, UNA VEZ SE HALLA LIQUIDADO EL CONTRATO DE OBRA.  PARA PROCEDER A LA LIQUIDACIÓN DEL CONTRATO EN LA CARPETA DEBERÁN REPOSAR: 1. ACTA DE TERMINACIÓN Y ENTREGA DE OBRAS SUSCRITA POR EL CONTRATISTA INTERVENTOR, EL EJECUTOR DEL CONTRATO INTERVENIDO Y EL SUPERVISOR. 2.  INFORME FINAL DE ACTIVIDADES DE INTERVENTORÍA APROBADO POR EL SUPERVISOR. 3.  BALANCE FINAL, ADMINISTRATIVO Y FINANCIERO DEL CONTRATO INTERVENIDO. 4. ACTA FINAL DE CUMPLIMIENTO SUSCRITA POR EL CONTRATISTA INTERVENTOR Y EL SUPERVISOR.  5. LOS PAGOS SERÁN CANCELADOS POR MEDIO DE LA TESORERÍA DISTRITAL, EN PESOS COLOMBIANOS, A TRAVÉS DE CONSIGNACIÓN EN LA CUENTA CORRIENTE O DE AHORROS QUE EL CONTRATISTA SEÑALE, EN UNA DE LAS ENTIDADES FINANCIERAS AFILIADAS AL SISTEMA AUTOMÁTICO DE PAGOS, PREVIOS LOS DESCUENTOS DE LEY</t>
  </si>
  <si>
    <t>CODIPRO INGENIERIA  Y  ARQUITECTURA LTDA  CONSTRUCCIONES DISEÑOS Y PROYECTOS</t>
  </si>
  <si>
    <t>PROYECTO. 3.3.1.14.02.20.1170. AUNAR ESFUERZOS TECNICOS,ADMINISTRATIVOS,FINANCIEROS,Y HUMANOS, PARA REALIZAR LA CAPACITACION TECNICA A TRAVES DE CURSOS DE FORMACION BASICA EN GESTION LOCAL DE RIESGO.</t>
  </si>
  <si>
    <t>CAS-100-2013</t>
  </si>
  <si>
    <t>CADA PAGO SE REALIZARÁ CONFORME AL AVANCE DE EJECUCIÓN TÉCNICA Y FINANCIERA SOPORTADA, HASTA LLEGAR AL 90% DEL VALOR DEL CONTRATO PRESENTANDO LOS INFORMES DE EJECUCIÓN MENSUALES ACORDE A LA EJECUCIÓN REALIZADA EN CADA MES Y EL 10 % RESTANTE CONTRA ACTA DE  LIQUIDACIÓN. DICHO AVANCE DEBIDAMENTE AVALADO POR LA INTERVENTORÍA Y/O EL SUPERVISOR DE APOYO DESIGNADO DESDE LA ALCALDÍA LOCAL, CERTIFICACIÓN DE PAGO DE APORTES AL SISTEMA DE SEGURIDAD SOCIAL Y PARAFISCALES, FACTURA O DOCUMENTO EQUIVALENTE Y CERTIFICACIÓN DE CUMPLIMIENTO EXPEDIDA POR EL INTERVENTOR Y/O SUPERVISOR DE APOYO. EN CERTIFICACIÓN DE CUMPLIMIENTO LA INTERVENTORÍA VERIFICARA Y CERTIFICARA EL CUMPLIMIENTO DE LAS OBLIGACIONES CONTRACTUALES, LAS OBLIGACIONES LABORALES Y DE SEGURIDAD SOCIAL EN SALUD, PENSIONES Y APORTES PARAFISCALES.  NOTA: TODO PAGO ESTARÁ SUJETO A LA PROGRAMACIÓN ANUALIZADA DE CAJA - PAC DE LA DIRECCIÓN DISTRITAL DE TESORERÍA Y DEL FONDO DE DESARROLLO LOCAL DE SANTA FE Y A LAS FECHAS DE PAGOS ESTABLECIDOS, LO CUAL NO GENERARÁ INTERESES MORATORIOS. NOTA: LA COFINANCIACIÓN DEBE IR DEBIDAMENTE SOPORTADA TÉCNICA Y FINANCIERAMENTE</t>
  </si>
  <si>
    <t>CRUZ ROJA COLOMBIANA SECCIONAL CUNDINAMARCA Y BOGOTA</t>
  </si>
  <si>
    <t>PROYECTO . 3.3.1.14.02.20.1170 , MITIGACION DEL RIESGO LOCAL. SUSCRIPCION DEL CONVENIO INTERADMINISTRATIVO ENTRE EL FONDO DE DESARROLLO LOCAL DE SANTA FE Y LA CAJA DE VIVIENDA POPULAR.</t>
  </si>
  <si>
    <t>CIA-063-2013</t>
  </si>
  <si>
    <t>LA TOTALIDAD DE LOS RECURSOS APORTADOS POR EL FONDO SERÁN GIRADOS A LA CAJA DENTRO DE LOS QUINCE (15) DÍAS HÁBILES SIGUIENTES A LA SUSCRIPCIÓN DEL PRESENTE CONVENIO</t>
  </si>
  <si>
    <t>CAJA DE VIVIENDA POPULAR</t>
  </si>
  <si>
    <t>PROYECTO.3.3.1.14.02.20.1170. DOTACION DE IMPLEMENTOS DE SEGURIDAD PARA EL CLE.</t>
  </si>
  <si>
    <t>CPS-162-2013</t>
  </si>
  <si>
    <t>EL FONDO PAGARÁ AL CONTRATISTA PAGOS MENSUALES VENCIDOS FRENTE A LA PRESENTACIÓN DE LA FACTURA O CUENTA DE COBRO, SOPORTES DEL SERVICIO PRESTADO, LA ACREDITACIÓN DEL PAGO DE APORTES AL SISTEMA INTEGRAL DE SEGURIDAD SOCIAL Y PARAFISCALES, DE ACUERDO CON LO SEÑALADO EN EL ARTÍCULO 50 DE LA LEY 789 DE 2002, LA LEY 1150 DE 2007 Y DEMÁS NORMAS QUE REGULAN LA MATERIA, Y CERTIFICACIÓN DE RECIBO A SATISFACCIÓN POR PARTE DEL FUNCIONARIO QUE REALICE EL APOYO A LA SUPERVISIÓN DEL CONTRATO. EL OFERENTE DEBERÁ INDICAR LA CUENTA CORRIENTE O DE AHORRO EN LA CUAL SE CONSIGNARÁ EL VALOR</t>
  </si>
  <si>
    <t>GRUPO LOS LAGOS S.A.S.</t>
  </si>
  <si>
    <t>PROYECTO. 3.3.1.14.02.21.1172. REALIZAR LA INTERVENTORIA TECNICA , ADMINISTRATIVA Y FINANCIERA AL CONTRATO DE PRESTACION DE SERVCIOS DEL PROYECTO 1172. SANTA FE BASURA CERO.</t>
  </si>
  <si>
    <t>CIN-159-2013</t>
  </si>
  <si>
    <t>EL VALOR DEL PRESENTE CONTRATO SERÁ POR LA SUMA DE ONCE MILLONES QUINIENTOS OCHENTA MIL  PESOS  M/CTE ($ 11.580.000)MCTE.,.EL VALOR DEL CONTRATO SE PAGARÁ ASÍ:  SEIS MENSUALIDADES VENCIDAS DE MILLON  NOVECIENTOS TREINTA MIL PESOS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</si>
  <si>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DAGOBERTO MEJIA SANDOVAL</t>
  </si>
  <si>
    <t>PROYECTO.3.3.1.14.02.21.1172. EJECUTAR ACTIVIDADES ENCAMINADAS AL FORTALECIMIENTO DEL PROGRAMA DISTRITAL BASURA CERO EN LA LOCALIDAD DE SANTA FE, MEDIANTE ACCIONES DE SENSIBILIZACION DANDO CUMPLIMIENTO A  LAS METAS DEL PLAN DE DESARROLLO LOCAL .</t>
  </si>
  <si>
    <t>CPS-136-2013</t>
  </si>
  <si>
    <t>CORPORACION ESTRATEGICA EN GESTION E INTEGRACION COLOMBIA</t>
  </si>
  <si>
    <t>PROYECTO.3.3.1.14.02.22.1174.AUNAR ESFUERZOS TECNICOS , ADMINISTRATIVOS,FINANCIEROS PARA EJECUTAR ACCIONES TENDIENTES AL MEJORAMIENTO DEL MEDIO AMBIENTE DE LA LOCALIDAD DE SANTA FE, SANTA FE HUMANA AMBIENTALMENTE SALUDABLE.</t>
  </si>
  <si>
    <t>CAS-101-2013</t>
  </si>
  <si>
    <t>LOS RECURSOS APORTADOS AL CONVENIO POR EL FONDO DE DESARROLLO LOCAL DE SANTA FE SERÁN DESEMBOLSADOS AL ASOCIADO DE LA SIGUIENTE FORMA: SE CANCELARA EL 80% DEL VALOR DEL CONVENIO DE ASOCIACIÓN DE FORMA MENSUAL, CUANDO SE ENCUENTRE LOS DOCUMENTOS DE SOPORTE COMO FACTURA Y/O DOCUMENTO EQUIVALENTE CUANDO APLIQUE, CERTIFICADO DE SISTEMA INTEGRADO DE SALUD, PENSIÓN, ARL, INFORME DE ACTIVIDADES DEBIDAMENTE SOPORTADO TÉCNICAMENTE Y FINANCIERAMENTE; EL VALOR A CANCELAR DE FORMA MENSUAL SERÁ EL QUE SE ENCUENTRE SOPORTADO FINANCIERAMENTE. EL VEINTE (20%) POR CIENTO ESTARÁ SUJETO A LA SUSCRIPCIÓN DEL ACTA DE LIQUIDACIÓN. SE DEBE ANEXAR LOS  SIGUIENTES DOCUMENTOS: INFORME DE ACTIVIDADES DEBIDAMENTE FIRMADO POR EL INTERVENTOR DE CONTRATO, Y EL CONTRATISTA, EL INFORME DEBE ESTAR DEBIDAMENTE SOPORTADO. FACTURA O DOCUMENTO EQUIVALENTE (DEPENDIENDO DEL RÉGIMEN A QUIEN PERTENEZCA). CERTIFICADO DE CUMPLIMIENTO O ACTA DE RECIBO A SATISFACCIÓN EXPEDIDO POR EL INTERVENTOR DEL CONTRATO. ACTA DE INGRESO DE LOS BIENES AL ALMACÉN.(CUANDO APLIQUE).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COPIA DEL RIT, RUT Y RESOLUCIÓN DEL APLICACIÓN (CUANDO APLIQUE). CERTIFICACIÓN BANCARIA  NOTA: TODO PAGO ESTARÁ SUJETO A LA PROGRAMACIÓN ANUALIZADA DE CAJA - PAC DE LA DIRECCIÓN DISTRITAL DE TESORERÍA Y DEL FONDO DE DESARROLLO LOCAL DE SANTA FE Y A LAS FECHAS DE PAGO ESTABLECIDAS, LO CUAL NO GENERARÁ INTERESES MORATORIOS.    PARAGRAFO PRIMERO: DICHAS SUMAS SE PAGARÁN UNA VEZ SE ENCUENTREN DENTRO DEL RESPECTIVO PAC, PREVIA EXPEDICIÓN DE LA CERTIFICACIÓN DE CUMPLIMIENTO EMITIDA A SATISFACCIÓN POR EL INTERVENTOR Y/O SUPERVISOR DEL CONVENIO, PRESENTACIÓN DE LA CUENTA DE COBRO Y/O FACTURA DE COMPRAVENTA  Y, CERTIFICADO DE PAGO DE APORTES AL SISTEMA INTEGRADO DE SEGURIDAD SOCIAL Y APORTES PARAFISCALES. ESTO DENTRO DE LOS TREINTA (30) DÍAS SIGUIENTES A LA FECHA DE RADICACIÓN DE LOS DOCUMENTOS ANTES SEÑALADOS. EL ÚLTIMO DESEMBOLSO ESTARÁ SUPEDITADO A LA OPORTUNA ELABORACIÓN, FIRMA Y LEGALIZACIÓN DEL ACTA DE LIQUIDACIÓN DEL CONVENIO. PARAGRAFO SEGUNDO: EL CÁLCULO DE IMPUESTOS Y LA RESPECTIVA RETENCIÓN SOBRE LOS PAGOS, SE HARÁ DE CONFORMIDAD CON LAS DISPOSICIONES LEGALES QUE REGULAN LA MATERIA. PARAGRAFO TERCERO: PARA QUE EL FONDO EFECTUÉ LOS PAGOS DERIVADOS DEL CONVENIO, EL EJECUTOR DEBERÁ PRESENTAR ANTE EL INTERVENTOR, COPIAS  DE LAS CONSTANCIAS O RECIBOS DE PAGOS DE LOS HONORARIOS Y DE LOS APORTES MENSUALES AL SISTEMA DE SEGURIDAD SOCIAL INTEGRAL EN SALUD, PENSIONES Y APORTES PARAFISCALES DE LAS PERSONAS QUE HAY VINCULADO A TRAVÉS DE PRESTACIÓN DE SERVICIOS PARA LA EJECUCIÓN DEL MISMO Y/O DE LOS SALARIOS Y PRESTACIONES DE SUS EMPLEADOS. SÓLO SE RECONOCERÁ LA EJECUCIÓN DE DINERO QUE ESTÉ PREVIAMENTE AUTORIZADA POR EL FONDO. NO OBSTANTE LO ANTERIOR, TODOS LOS PAGOS ESTARÁN SUJETOS A LA PROGRAMACIÓN DEL PAC, PARA LO CUAL, EL CONTRATISTA DEBERÁ RADICAR EL INFORME DE ACTIVIDADES REALIZADAS CON LOS PORCENTAJES DE EJECUCIÓN ESTIPULADOS.  PARÁGRAFO CUARTO: DESTINACIÓN ESPECÍFICA DE LOS RECURSOS: EJECUTOR DESTINARÁ LOS RECURSOS ECONÓMICOS ENTREGADOS POR EL FONDO ÚNICA Y EXCLUSIVAMENTE PARA DESARROLLAR LAS ACTIVIDADES DESCRITAS EN EL MARCO DEL PRESENTE CONVENIO</t>
  </si>
  <si>
    <t>FUNDACION SIN ANIMO DE LUCRO ECOLOGICA FULECOL</t>
  </si>
  <si>
    <t>PROYECTO.3.3.1.14.02.22.1174. INTERVENTORIA ADMINISTRATIVA Y FINANCIERA PARA EJECUTAR ACCIONES TENDIENTES AL MEJORAMIENTO DEL MEDIO AMBIENTE DE LA LOCALIDAD .SANTA FE HUMANA AMBIENTALMENTE SALUDABLE.</t>
  </si>
  <si>
    <t>CIN-137-2013</t>
  </si>
  <si>
    <t>EL VALOR TOTAL DEL CONTRATO ES  LA SUMA DE NUEVE MILLONES  QUINIENTOS MIL PESOS M/CTE ($9.500.000) INCLUIDOS TODOS LOS COSTOS E IMPUESTOS QUE SU EJECUCIÓN GENERE,  LOS  CUALES  SERÁN CANCELADOS EN MENSUALIDADES IGUALES VENCIDAS, PREVIA PRESENTACIÓN DEL INFORME DE EJECUCIÓN, CONSTANCIA DEL PAGO DE APORTES A SALUD Y PENSIÓN,  FACTURA  O DOCUMENTO EQUIVALENTE Y CERTIFICACIÓN DE CUMPLIMIENTO POR PARTE DEL SUPERVISOR DEL CONTRATO. EL ÚLTIMO PAGO SERÁ CANCELADO CON POSTERIORIDAD A LA PRESENTACIÓN DEL INFORME FINAL APROBADO POR LA SUPERVISIÓN DEL CONTRATO Y SUSCRIPCIÓN DEL ACTA DE LIQUIDACIÓN DEL CONTRATO OBJETO DE LA INTERVENTORÍA. PARAGRAFO PRIMERO: LA CANCELACIÓN DEL VALOR DEL CONTRATO, POR PARTE DEL  FONDO  AL CONTRATISTA SE HARÁ MEDIANTE EL SISTEMA AUTOMÁTICO DE PAGOS, REALIZANDO CONSIGNACIONES EN LA CUENTA DE AHORROS O CORRIENTE QUE DESIGNE EL CONTRATISTA.  PARÁGRAFO SEGUNDO: LOS PAGOS QUE EFECTÚE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</si>
  <si>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PROYECTO.3.3.1.14.03.24.1171. ADICIONAR EL CONTRATO DE INTERVENTORIA No. 167 DE 2012 , REALIZAR LA INTERVENTORIA TECNICA,ADMINISTRATIVA Y FINANCIERA AL CONVENIO DE ASOCIACION DEL PROYECTO 491 , ESCUELA LOCAL DE PARTICIPACION PARA LA DECISION.</t>
  </si>
  <si>
    <t>LUCIA ROSARIO VALDES SILVA</t>
  </si>
  <si>
    <t>N / A</t>
  </si>
  <si>
    <t>Verificar fecha acta de inicio</t>
  </si>
  <si>
    <t>PROYECTO.3.3.1.14.03.24.1177. INTERVENTORIA TECNICA,FINANCIERA Y ADMINISTRATIVA AL PROYECTO 1177.COMPONENTE FORTALECIMIENTO A LAS ORGANIZACIONES SOCIALES.</t>
  </si>
  <si>
    <t>CIN-120-2013</t>
  </si>
  <si>
    <t>EL VALOR TOTAL DEL CONTRATO ES  LA SUMA DE DIEZ MILLONES QUINIENTOS MIL PESOS M/CTE ($10.500.00) MCTE, LOS CUALES SERÁN CANCELADOS DE LA SIGUIENTE MANERA:   UN PRIMER PAGO DE 10% DE LOS RECURSOS EN EL PRIMER MES DE EJECUCIÓN PREVIA ENTREGA DE CRONOGRAMA, FIRMA DE ACTA DE INICIO, PLAN DE TRABAJO,  INFORME GENERAL DE TRABAJO DEL PRIMER MES DE EJECUCIÓN Y APROBACIÓN DE SUPERVISIÓN. SIEMPRE Y CUANDO DEMUESTRE UNA EJECUCIÓN MÍNIMA DEL 10%, EN SUS ACTIVIDADES, CON SALIDAS DE CAMPO Y VERIFICACIÓN DE ACCIONES ADELANTADAS DEBIDAMENTE EVIDENCIADAS Y SUSTENTADAS. UN SEGUNDO PAGO DE 40% DE LOS RECURSOS AL CUARTO MES DE EJECUCIÓN PREVIA ENTREGA DE UN INFORME DE EJECUCIÓN APROBADA POR EL SUPERVISOR, DONDE SE EVIDENCIAN A LAS ETAPAS DESARROLLADAS POR EL EJECUTOR (PRESENTACIONES PÚBLICAS DEL PROYECTO, APROBACIÓN DE PIEZAS COMUNICATIVAS PARA LA DIVULGACIÓN Y CONVOCATORIA, ASÍ COMO LA VERIFICACIÓN DE; ASESORÍA E INSCRIPCIÓN DE LAS INICIATIVAS A APOYAR, SELECCIÓN DE LAS MISMAS, DIAGNÓSTICOS DE CADA ORGANIZACIÓN, PLAN DE FORTALECIMIENTO Y LOS AJUSTES A LOS PROYECTOS PRESENTADOS), EQUIVALENTES A UN 50% DE LA EJECUCIÓN. SIEMPRE Y CUANDO DEMUESTRE UNA EJECUCIÓN MÍNIMA DEL 50% EN SUS ACTIVIDADES, CON SALIDAS DE CAMPO Y VERIFICACIÓN DE ACCIONES ADELANTADAS DEBIDAMENTE EVIDENCIADAS Y SUSTENTADAS. UN TERCER PAGO CORRESPONDIENTE AL 30% DE LOS RECURSOS EN EL 6 MES DE EJECUCIÓN APROBADO POR EL SUPERVISOR, LLEVANDO UN 80% DE EJECUCIÓN DE SUS ACTIVIDADES. SIEMPRE Y CUANDO DEMUESTRE UNA EJECUCIÓN MÍNIMA DEL 80% EN SUS ACTIVIDADES, CON SALIDAS DE CAMPO Y VERIFICACIÓN DE ACCIONES ADELANTADAS DEBIDAMENTE EVIDENCIADAS Y SUSTENTADAS, EN SUS ACTIVIDADES. UN CUARTO PAGO CORRESPONDIENTE AL 20% DE LOS RECURSOS CON ENTREGA DE INFORME FINAL DONDE SE EVIDENCIE EL CIERRE DEL PROYECTO Y LA EVALUACIÓN DE IMPACTO, CON LA ENTREGA DE TODOS LOS SOPORTES Y LA CORRESPONDIENTE APROBACIÓN DEL SUPERVISOR. DEMOSTRANDO LA EJECUCIÓN DEL 100% EN SUS ACTIVIDADES, CON SALIDAS DE CAMPO Y VERIFICACIÓN DE ACCIONES ADELANTADAS DEBIDAMENTE EVIDENCIADAS Y SUSTENTADAS. INFORME DE ACTIVIDADES DEBIDAMENTE FIRMADO POR EL SUPERVISOR DE CONTRATO, EL APOYO A LA SUPERVISIÓN Y EL CONTRATISTA, CERTIFICADO DE CUMPLIMIENTO O ACTA DE RECIBO A SATISFACCIÓN EXPEDIDO POR EL SUPERVISOR DEL CONTRATO. COPIA DE LA PLANILLA DE PAGO DE LOS APORTES AL RÉGIMEN DE SEGURIDAD SOCIAL, PARA EL PERIODO COBRADO, EL PERIODO DE COTIZACIÓN DEBE SER SOBRE EL CUARENTA POR CIENTO (40%) AL VALOR MENSUAL DEL CONTRATO. EL ÚLTIMO PAGO SERÁ CANCELADO CON POSTERIORIDAD A LA PRESENTACIÓN DEL INFORME FINAL APROBADO POR LA SUPERVISIÓN DEL CONTRATO Y SUSCRIPCIÓN DEL ACTA DE LIQUIDACIÓN DEL CONTRATO OBJETO DE LA INTERVENTORÍA. PARAGRAFO PRIMERO: LA CANCELACIÓN DEL VALOR DEL CONTRATO, POR PARTE DEL FONDO  AL CONTRATISTA SE HARÁ MEDIANTE EL SISTEMA AUTOMÁTICO DE PAGOS, REALIZANDO CONSIGNACIONES EN LA CUENTA BANCARIA QUE EL CONTRATISTA SEÑALE PARA TAL FIN.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</si>
  <si>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MARTHA LUCIA MORENO GUTIERREZ</t>
  </si>
  <si>
    <t>PROYECTO.3.3.1.14.03.24.1177. FORTALECIMIENTO A ORGANIZACIONES SOCIALES DE LA LOCALIDAD A TRAVES DE METODOLOGIAS Y ESTRATEGIAS .COMPONENTE FORTALECIMIENTO A LAS ORGANIZACIONES SOCIALES.</t>
  </si>
  <si>
    <t>CPS-096-2013</t>
  </si>
  <si>
    <t>EL VALOR TOTAL DEL PRESENTE CONTRATO ES POR LA SUMA DE CIENTO OCHENTA Y SEIS MILLONES DOSCIENTOS OCHENTA Y UN MIL PESOS M/CTE ($186.281.000) INCLUIDO IVA Y TODOS LOS IMPUESTOS Y COSTOS QUE GENERE LA EJECUCIÓN DEL CONTRATO.   FORMA DE PAGO: UN PRIMER PAGO DEL 10% AL PRIMER MES DE EJECUCIÓN PREVIA PRESENTACIÓN DE CRONOGRAMA,  PLAN DE TRABAJO, CONFORMACIÓN DEL COMITÉ TÉCNICO, INFORME GENERAL DE EJECUCIÓN DEL CONTRATO DEBIDAMENTE APROBADOS POR EL INTERVENTOR, SIEMPRE Y CUANDO DEMUESTRE UNA EJECUCIÓN PRESUPUESTAL MÍNIMA DEL 10%. UN SEGUNDO PAGO DE 40% DE LOS RECURSOS AL CUARTO MES DE EJECUCIÓN PREVIA PRESENTACIÓN DE  INFORME DE EJECUCIÓN APROBADO POR EL INTERVENTOR, CON LOS CORRESPONDIENTES SOPORTES DEL DESARROLLO DE LAS ACTIVIDADES TALES COMO:  PRESENTACIONES PÚBLICAS DEL PROYECTO, DIVULGACIÓN Y CONVOCATORIA ASÍ COMO LA ASESORÍA E INSCRIPCIÓN DE LAS INICIATIVAS A APOYAR, SELECCIÓN DE LAS MISMAS, DIAGNÓSTICOS DE CADA ORGANIZACIÓN, PLAN DE FORTALECIMIENTO Y LOS AJUSTES A LOS PROYECTOS PRESENTADOS, EQUIVALENTES A UN 50% DE LA EJECUCIÓN. SIEMPRE Y CUANDO DEMUESTRE UNA EJECUCIÓN MÍNIMA DEL 50%. UN TERCER PAGO CORRESPONDIENTE AL 30% DE LOS RECURSOS AL 6 MES DE EJECUCIÓN APROBADO POR EL INTERVENTOR, SIEMPRE Y CUANDO SE HAYA EJECUTADO MÍNIMO EL 80% DEL PRESUPUESTO Y ACTIVIDADES DEL CONTRATO, CON SOPORTES DE LA ENTREGA DE LOS RECURSOS, EL SEGUIMIENTO ADELANTADO A CADA PROYECTO Y LA REALIZACIÓN DE LAS ASAMBLEAS INTERSECTORIALES.  UN CUARTO PAGO CORRESPONDIENTE AL 20% DE LOS RECURSOS CON POSTERIORIDAD A LA TERMINACIÓN DEL CONTRATO, PREVIA PRESENTACIÓN DE INFORME FINAL DE EJECUCIÓN, CON SOPORTES DEL CIERRE DEL PROYECTO Y LA EVALUACIÓN DE IMPACTO DEL MISMO, DEBIDAMENTE APROBADOS POR EL INTERVENTOR Y LIQUIDACIÓN DEL CONTRATO, DEMOSTRANDO LA EJECUCIÓN DEL 100% DEL PRESUPUESTO Y DE LAS ACTIVIDADES. NOTA: PARA LA AUTORIZACIÓN DE CADA PAGO, SE DEBE ANEXAR AL INFORME  CON LOS SOPORTES DE EJECUCIÓN DE LAS ACTIVIDADES OBJETO DEL CONTRATO, LA FACTURA CORRESPONDIENTE CON EL LLENO DE LOS REQUISITOS LEGALES Y ACREDITAR EL PAGO AL SISTEMA DE SEGURIDAD SOCIAL INTEGRAL EN SALUD Y PENSIONES,  RIESGOS LABORALES Y PARAFISCALES. TODOS LOS PAGOS ESTÁN SUJETOS A LA PROGRAMACIÓN DEL PAC.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</si>
  <si>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CORPORACION FUTURO DE COLOMBIA - CORFUTURO</t>
  </si>
  <si>
    <t>PROYECTO.3.3.1.14.03.24.1177. REALIZAR A PRECIOS UNITARIOS FIJOS SIN FORMULA DE REAJUSTE ,LAS OBRAS DE ADECUACION Y MANTENIMIENTO DE SALONES COMUNALES DE  LA LOCALIDAD DE SANTA FE.</t>
  </si>
  <si>
    <t>COP-152-2013</t>
  </si>
  <si>
    <t>EL VALOR TOTAL DEL CONTRATO ES  LA SUMA DE CIENTO SESENTA Y CINCO MILLONES DE PESOS M/CTE.  ($165.000.000,00) INCLUIDO IMPUESTOS, TASAS DE CARÁCTER NACIONAL, DEPARTAMENTAL, MUNICIPAL Y DISTRITAL LEGALES VIGENTES AL MOMENTO DE LA APERTURA Y DEMÁS COSTOS DIRECTOS O INDIRECTOS QUE LA EJECUCIÓN DEL CONTRATO CONLLEVE, CON CARGO AL CERTIFICADO DE DISPONIBILIDAD NO. 795 DEL 05 DE NOVIEMBRE DE  2013 RUBRO: NO. 3.3.1.14.03.24.1177,  LOS CUALES SERÁN CANCELADOS DE LA SIGUIENTE MANERA:  UN PRIMER PAGO EQUIVALENTE AL 40% DEL VALOR DEL CONTRATO EN CALIDAD DE ANTICIPO, CON POSTERIORIDAD  A LA PRESENTACIÓN DEL PLAN DE MANEJO, CRONOGRAMA DE PROGRAMACIÓN DE OBRA DEBIDAMENTE APROBADO POR EL INTERVENTOR Y SUPERVISOR DESIGNADO POR PARTE DE LA ENTIDAD, HOJAS DE VIDA DEL RECURSO HUMANO REQUERIDO DEBIDAMENTE APROBADAS POR EL INTERVENTOR, APERTURA DE LA CUENTA  DONDE DEBEN CONSIGNARSE LOS RECURSOS, PRESENTACIÓN DE FACTURA O DOCUMENTO EQUIVALENTE Y AUTORIZACIÓN DE GIRO EXPEDIDA POR EL INTERVENTOR. EL CINCUENTA POR CIENTO (50%) DEL VALOR DEL CONTRATO, SE CANCELARA  DE CONFORMIDAD AL  PORCENTAJE DE EJECUCIÓN QUE SE ENCUENTRA DEBIDAMENTE SOPORTADO POR CADA MES, EL DIEZ POR CIENTO (10%) SE CANCELARA JUNTO CON POSTERIORIDAD A LA FINALIZACIÓN DEL OBJETO CONTRACTUAL, PREVIA SUSCRIPCIÓN DEL ACTA DE LIQUIDACIÓN DEL CONTRATO Y PRESENTACIÓN DE LOS SIGUIENTES DOCUMENTOS: INFORME DE ACTIVIDADES DEBIDAMENTE FIRMADO POR EL INTERVENTOR  DE CONTRATO, Y EL CONTRATISTA, EL INFORME DEBE ESTAR DEBIDAMENTE SOPORTADO, FACTURA O DOCUMENTO EQUIVALENTE, CERTIFICADO DE CUMPLIMIENTO O ACTA DE RECIBO A SATISFACCIÓN EXPEDIDO POR EL INTERVENTOR  DEL CONTRATO,  COPIA DE LA PLANILLA DE PAGO DE LOS APORTES AL RÉGIMEN DE SEGURIDAD SOCIAL, PARA EL PERIODO COBRADO, EN PROPORCIÓN AL VALOR MENSUAL DEL CONTRATO, CUANDO SE TRATE DE PERSONAS NATURALES, CERTIFICACIÓN SUSCRITA POR EL REPRESENTANTE LEGAL O REVISOR FISCAL, QUE ACREDITE EL CUMPLIMIENTO DEL PAGO DE APORTES AL SISTEMA DE SEGURIDAD SOCIAL INTEGRAL, PARAFISCALES, ICBF, SENA Y CAJAS DE COMPENSACIÓN FAMILIAR DE LOS ÚLTIMOS SEIS (6) MESES, DE CONFORMIDAD CON EL ARTÍCULO 50 DE LA LEY 789 DE 2002 O AQUELLA QUE LO MODIFIQUE, ADICIONE O COMPLEMENTE. PARAGRAFO PRIMERO: LA CANCELACIÓN DEL VALOR DEL CONTRATO, POR PARTE DEL FONDO  AL CONTRATISTA SE HARÁ MEDIANTE EL SISTEMA AUTOMÁTICO DE PAGOS, REALIZANDO CONSIGNACIONES EN LA CUENTA DE AHORROS O CORRIENTE QUE DESIGNE EL CONTRATISTA. PARÁGRAFO SEGUNDO: LOS PAGOS QUE EFECTUÉ EL FONDO ,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</si>
  <si>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CONSORCIO OBRAS CIVILES L.I.</t>
  </si>
  <si>
    <t>PROYECTO. 3.3.1.14.03.24.1177. INTERVENTORIA TECNICA,FINANCIERA , ADMINISTRATIVA Y AMBIENTAL DEL CONTRATO QUE RESULTE DEL PRPCESO DE SELECCION ABREVIADA DE MENOR CUANTIA .</t>
  </si>
  <si>
    <t>CIN-156-2013</t>
  </si>
  <si>
    <t>HECTOR MILCIADES GUERRA MONCALEANO</t>
  </si>
  <si>
    <t>PROYECTO. 3.3.1.14.03.24.1177. DOTAR SEIS (6)  SALONES COMUNALES CON ELEMENTOS,MATERIALES Y MOBILIARIO PARA EL DESARROLLO DE LA COMUNIDAD A TRAVES DE LA PARTICIPACION E INTEGRACION SOCIAL.</t>
  </si>
  <si>
    <t>SELECCIÓN ABREVIADA SUBASTA INVERSA</t>
  </si>
  <si>
    <t>45 dias</t>
  </si>
  <si>
    <t>CSU-173-2013</t>
  </si>
  <si>
    <t>EL FONDO DE DESARROLLO LOCAL SE OBLIGA A PAGAR EL VALOR DEL CONTRATO DENTRO DEL MES SIGUIENTE  A LA ENTREGA Y RECIBO A SATISFACCIÓN DE LA TOTALIDAD DE LOS BIENES EN EL ALMACÉN DEL FONDO DE DESARROLLO,  PARA LO CUAL EL CONTRATISTA DEBERÁ ALLEGAR DE MANERA OPORTUNA: 1. ACTA DE INGRESO AL ALMACÉN DEL FONDO DE DESARROLLO LOCAL DEBIDAMENTE SUSCRITA POR EL PROFESIONAL RESPONSABLE DE ALMACÉN E INVENTARIO DEL FDL. 2. PRESENTACIÓN DE LA FACTURA O DOCUMENTO EQUIVALENTE CON EL CUMPLIMIENTO DE LOS DEBIDOS REQUISITOS LEGALES, DE FORMA QUE RELACIONE ÚNICAMENTE LOS BIENES ENTREGADOS Y CERTIFICADOS EN EL ACTA DE INGRESO AL ALMACÉN, DE ACUERDO A LOS PRECIOS PRESENTADOS EN LA PROPUESTA ECONÓMICA Y CON LA DISCRIMINACIÓN DEL IMPUESTO AL VALOR AGREGADO Y CON LOS DESCUENTOS A QUE HAYA LUGAR DE ACUERDO AL ESTATUTO TRIBUTARIO NACIONAL. 3. CERTIFICACIÓN SUSCRITA POR EL REPRESENTANTE LEGAL O REVISOR FISCAL, SEGÚN SEA EL CASO, EN LA  QUE ACREDITE EL CUMPLIMIENTO DEL PAGO REALIZADO POR CONCEPTO DE APORTES AL SISTEMA DE SEGURIDAD SOCIAL INTEGRAL (SALUD, PENSIÓN Y A.R.L) Y PARAFISCALES, CORRESPONDIENTE A LOS ÚLTIMOS SEIS (6) MESES, DE CONFORMIDAD CON EL ARTÍCULO 50 DE LA LEY 789 DE 2002 O AQUELLA QUE LO MODIFIQUE, ADICIONE O SUSTITUYA, CUANDO SE TRATE DE PERSONAS JURÍDICAS. NO OBSTANTE LO ANTERIOR, LOS PAGOS ESTARÁN SUJETOS A LA DISPONIBILIDAD DEL PAC. EL CÁLCULO DE IMPUESTOS Y LA RESPECTIVA RETENCIÓN SOBRE LOS PAGOS, SE HARÁ DE CONFORMIDAD CON LAS DISPOSICIONES LEGALES QUE REGULAN LA MATERIA. EL FONDO, SÓLO ADQUIERE OBLIGACIONES CON EL PROPONENTE FAVORECIDO EN EL PRESENTE PROCESO DE SELECCIÓN, Y BAJO NINGÚN MOTIVO O CIRCUNSTANCIA EFECTUARÁ PAGOS A TERCEROS. LOS PAGOS SERÁN REALIZADOS POR EL FONDO, EN PESOS COLOMBIANOS, A TRAVÉS DE LA CONSIGNACIÓN EN LA CUENTA CORRIENTE O DE AHORROS QUE INDIQUE EL PROPONENTE SELECCIONADO; ABIERTA EN UNA DE LAS 21 ENTIDADES FINANCIERAS AFILIADAS AL SISTEMA AUTOMÁTICO DE PAGOS, PREVIOS LOS DESCUENTOS DE LEY</t>
  </si>
  <si>
    <t>PROYECTO 3.3.1.14.03.24.1177 DOTAR SEIS (6) SALONES COMUNALES CON ELEMENTOS, MATERIALES Y MOBILIARIO PARA EL DESARROLLO DE LA COMUNIDAD A TRAVES DE LA PARTICIPACION E INTEGRACION SOCIAL</t>
  </si>
  <si>
    <t>PROYECTO.3.3.1.14.03.24.1177. FORTALECIMIENTO A ORGANIZACIONES SOCIALES , COMPONENTE DOTACION DE SALONES COMUNALES.</t>
  </si>
  <si>
    <t>PROYECTO.3.3.1.14.03.27.1167. AUNAR ESFUERZOS PARA DESARROLLAR LA CAMPAÑA QUE PERMITA SENSIBILIZAR Y PREVENIR A LA CIUDADANIA DE LA LOCALIDAD DE SANTA FE, RSEPECTO AL HURTO DE CELULARES</t>
  </si>
  <si>
    <t>3 MESES</t>
  </si>
  <si>
    <t>CAS-062-2013</t>
  </si>
  <si>
    <t>EL VALOR DE LOS APORTES DEL FONDO SE DESEMBOLSARÁ DE LA SIGUIENTE MANERA: 1) UN PRIMER DESEMBOLSO DEL 40% DEL VALOR DEL APORTE DEL FONDO, AL PRIMER MES DE EJECUCIÓN, PREVIA ENTREGA DEL PLAN DE TRABAJO QUE CONTENGA ENTRE OTROS ASPECTOS, CRONOGRAMAS DE ACTIVIDADES, METODOLOGÍAS Y ESTRATEGIAS, HOJAS DE VIDA, ETC, INFORME DE AVANCE TÉCNICO, ADMINISTRATIVO Y FINANCIERO DEBIDAMENTE SOPORTADO DE ACUERDO CON EL PORCENTAJE DE EJECUCIÓN, CERTIFICACIÓN SUSCRITA POR EL REPRESENTANTE LEGAL O REVISOR FISCAL, QUE ACREDITE EL CUMPLIMIENTO DEL PAGO DE APORTES AL SISTEMA DE SEGURIDAD SOCIAL INTEGRAL DE LOS ÚLTIMOS SEIS (6) MESES, DE CONFORMIDAD CON EL ARTÍCULO 50 DE LA LEY 789 DE 2002 O AQUELLA QUE LO MODIFIQUE, ADICIONE O SUSTITUYA, FACTURA O DOCUMENTO EQUIVALENTE, CERTIFICACIÓN DE CUMPLIMIENTO EXPEDIDA POR EL INTERVENTOR DEL CONVENIO AVALANDO EL RESPECTIVO PAGO Y EL CUMPLIMIENTO DE LAS OBLIGACIONES. 2) UN SEGUNDO DESEMBOLSO DEL 40% DEL VALOR DEL APORTE DEL FONDO, AL SEGUNDO MES DE EJECUCIÓN, PREVIA ENTREGA DEL INFORME DE AVANCE TÉCNICO, ADMINISTRATIVO Y FINANCIERO DEBIDAMENTE SOPORTADO DE ACUERDO CON EL PORCENTAJE DE EJECUCIÓN, CERTIFICACIÓN DEBIDAMENTE FIRMADA POR EL REPRESENTANTE LEGAL O REVISOR FISCAL, QUE ACREDITE EL CUMPLIMIENTO DEL PAGO DE APORTES AL SISTEMA DE SEGURIDAD SOCIAL INTEGRAL DE LOS ÚLTIMOS SEIS (6) MESES, DE CONFORMIDAD CON EL ARTÍCULO 50 DE LA LEY 789 DE 2002 O AQUELLA QUE LO MODIFIQUE, ADICIONE O SUSTITUYA, FACTURA O DOCUMENTO EQUIVALENTE, Y CERTIFICACIÓN DE CUMPLIMIENTO EXPEDIDA POR EL INTERVENTOR DEL CONVENIO AVALANDO EL RESPECTIVO PAGO Y EL CUMPLIMIENTO DE LAS OBLIGACIONES. 3) UN TERCER Y ÚLTIMO DESEMBOLSO DEL 20% DEL VALOR DEL APORTE DEL FONDO, AL FINALIZAR EL PLAZO DEL CONVENIO, PREVIA ENTREGA DEL INFORME DE AVANCE TÉCNICO, ADMINISTRATIVO Y FINANCIERO DEBIDAMENTE SOPORTADO DE ACUERDO CON EL PORCENTAJE DEL 100% DE EJECUCIÓN, CERTIFICACIÓN SUSCRITA POR EL REPRESENTANTE LEGAL O REVISOR FISCAL, QUE ACREDITE EL CUMPLIMIENTO DEL PAGO DE APORTES AL SISTEMA DE SEGURIDAD SOCIAL INTEGRAL DE LOS ÚLTIMOS SEIS (6) MESES, DE CONFORMIDAD CON EL ARTÍCULO 50 DE LA LEY 789 DE 2002 O AQUELLA QUE LO MODIFIQUE, ADICIONE O SUSTITUYA, FACTURA O CUENTA DE COBRO, CERTIFICACIÓN DE CUMPLIMIENTO EXPEDIDA POR EL INTERVENTOR DEL CONVENIO AVALANDO EL RESPECTIVO PAGO Y EL CUMPLIMIENTO DE LAS OBLIGACIONES. PARAGRAFO PRIMERO: LA CONTRAPARTIDA PRESENTADA POR LA CORPORACION DEBE ESTAR DEBIDAMENTE SOPORTADA EN LOS INFORMES DE ACTIVIDADES RESPECTIVOS. EN CASO DE NO SER SOPORTADA EL FONDO PODRÁ DESCONTAR LOS VALORES DE LOS SALDOS PENDIENTES. PARAGRAFO SEGUNDO: EL ÚLTIMO PAGO QUEDARÁ SUJETO A LA SUSCRIPCIÓN DEL ACTA DE LIQUIDACIÓN DEL CONVENIO</t>
  </si>
  <si>
    <t>CORPORACION COMUNICAR</t>
  </si>
  <si>
    <t>EL CRP 717 de 2013 es remplazado con los CRP 424 y 485 de 2014</t>
  </si>
  <si>
    <t>PROYECTO. 3.3.1.14.03.27.1167.REALIZAR INTERVENTORIA TECNICA,ADMINISTRATIVA ,FINANCIERA,CONTABLE , SOCIAL Y AMBIENTAL AL CONVENIO DE ASOCIACION  62 DE 2013 , RESPECTO AL HURTO DE CELULARES.</t>
  </si>
  <si>
    <t>CIN-088-2013</t>
  </si>
  <si>
    <t>EL VALOR DEL CONTRATO SE PAGARÁ EN TRES MENSUALIDADES VENCIDAS DE DOS MILLONES DE PESOS M/CTE ($2.000.000,00), PREVIA ENTREGA DE LOS SIGUIENTES DOCUMENTOS: A. INFORME DE ACTIVIDADES DEBIDAMENTE FIRMADO POR EL SUPERVISOR DE CONTRATO, EL APOYO A LA SUPERVISIÓN (SI APLICA) Y EL CONTRATISTA. B. FACTURA O DOCUMENTO EQUIVALENTE. C. COPIA DEL PAGO DE LOS APORTES AL SISTEMA DE SEGURIDAD SOCIAL INTEGRAL Y PARAFISCALES, PARA EL PERIODO EJECUTADO. D. CERTIFICACIÓN SUSCRITA POR EL REPRESENTANTE LEGAL O REVISOR FISCAL QUE ACREDITE EL CUMPLIMIENTO DEL PAGO DE APORTES AL SISTEMA DE SEGURIDAD SOCIAL INTEGRAL, PARAFISCALES, ICBF, SENA Y CAJAS DE COMPENSACIÓN FAMILIAR DE LOS ÚLTIMOS SEIS (6) MESES, DE CONFORMIDAD CON EL ARTÍCULO 50 DE LA LEY 789 DE 2002 O AQUELLA QUE LO MODIFIQUE, ADICIONE O COMPLEMENTE, CUANDO SE TRATE DE PERSONAS JURÍDICAS. E. CERTIFICADO DE CUMPLIMIENTO EXPEDIDO POR EL SUPERVISOR DEL CONTRATO. EL ÚLTIMO PAGO SERA CANCELADO, UNA VEZ PRESENTADO EL INFORME FINAL Y SE SUSCRIBA EL ACTA DE LIQUIDACION DEL CONTRATO OBJETO DE LA INTERVENTORIA.</t>
  </si>
  <si>
    <t>IBETH LILIANA DE LA OSSA LAMBRAÑO</t>
  </si>
  <si>
    <t>PROYECTO . 3.3.1.14.03.27.1167. INTERVENTORIA TECNICA,ADMINISTRATIVA ,FINANCIERA,CONTABLE,SOCIAL Y AMBIENTAL AL PROYECTO 1167."APOYO A BARRAS FUTBOLERAS DE LA LOCALIDAD."</t>
  </si>
  <si>
    <t>CIN-135-2013</t>
  </si>
  <si>
    <t>EL VALOR TOTAL DEL CONTRATO SERÁ LA SUMA DE UN MILLON OCHOCIENTOS MIL PESOS ($1.800.000.OO). SE CANCELARÁ ASÍ: DOS MENSUALIDADES VENCIDAS DE NOVECIENTOS MIL PESOS ($900.000.OO), LA CUAL INCLUYE TODOS LOS IMPUESTOS, TASAS Y CONTRIBUCIONES A QUE TENGA LUGAR, PREVIA PROGRAMACIÓN DEL PAC Y ENTREGA DE LOS SIGUIENTES DOCUMENTOS: INFORME DE ACTIVIDADES DEBIDAMENTE FIRMADO POR EL SUPERVISOR DE CONTRATO, EL APOYO A LA SUPERVISIÓN (SI APLICA) Y EL CONTRATISTA. CUENTA DE COBRO. COPIA DEL PAGO DE LOS APORTES AL SISTEMA DE SEGURIDAD SOCIAL Y PARAFISCALES, PARA EL PERIODO COBRADO. 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 LA SECRETARÍA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LA SECRETARÍA,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</si>
  <si>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CAROLINA  SARASTY MANOTAS</t>
  </si>
  <si>
    <t>Ejecución</t>
  </si>
  <si>
    <t>PROYECTO. 3.3.1.14.03.27.1167. CAPACITAR A 60 JOVENES Y ADULTOS DE LA LOCALIDAD , QUE PERTENEZCAN A BARRAS FUTBOLERAS ,EN TEMAS DE FUTBOL , TECNICAS DE GRAFITI, MUSICA INSTRUMNENTAL Y ELEBORACION DE ELEMENTOS CON MATERIAL RECICLABLE.</t>
  </si>
  <si>
    <t>CPS-131-2013</t>
  </si>
  <si>
    <t>EL VALOR DEL CONTRATO SE CANCELARA DE LA SIGUIENTE FORMA: 1. EL OCHENTA (80%)  POR CIENTO DEL VALOR DEL CONTRATO DE FORMA MENSUAL. EL CONTRATISTA DEBERÁ DEMOSTRAR EL PORCENTAJE DE  EJECUCIÓN DEL CONTRATO Y ESE SERÁ EL VALOR A CANCELAR EN EL MES.  2. EL VEINTE (20%) POR CIENTO DEL VALOR DEL CONTRATO JUNTO CON EL ACTA DE LIQUIDACIÓN DEL CONTRATO, EL CONTRATISTA DEBERÁ SOPORTAR LA EJECUCIÓN DEL CONTRATO.  PREVIA PRESENTACIÓN DE LOS SIGUIENTES DOCUMENTOS: INFORME DE ACTIVIDADES DEBIDAMENTE FIRMADO POR EL INTERVENTOR DE CONTRATO, Y EL CONTRATISTA, EL INFORME DEBE ESTAR DEBIDAMENTE SOPORTADO. FACTURA O DOCUMENTO EQUIVALENTE (DEPENDIENDO DEL RÉGIMEN A QUIEN PERTENEZCA). CERTIFICADO DE CUMPLIMIENTO O ACTA DE RECIBO A SATISFACCIÓN EXPEDIDO POR EL INTERVENTOR DEL CONTRATO. ACTA DE INGRESO DE LOS BIENES AL ALMACÉN.(CUANDO APLIQUE). COPIA DE LA PLANILLA DE PAGO DE LOS APORTES AL RÉGIMEN DE SEGURIDAD SOCIAL, PARA EL PERIODO COBRADO, EN PROPORCIÓN AL VALOR MENSUAL DEL CONTRATO, CUANDO SE TRATE DE PERSONAS NATURALES. CERTIFICACIÓN SUSCRITA POR EL REPRESENTANTE LEGAL O REVISOR FISCAL, QUE ACREDITE EL CUMPLIMIENTO DEL PAGO DE APORTES AL SISTEMA DE SEGURIDAD SOCIAL INTEGRAL, PARAFISCALES, ICBF, SENA Y CAJAS DE COMPENSACIÓN FAMILIAR (EN LOS CASOS EN QUE APLIQUE) DE LOS ÚLTIMOS SEIS (6) MESES, DE CONFORMIDAD CON EL ARTÍCULO 50 DE LA LEY 789 DE 2002 O AQUELLA QUE LO MODIFIQUE, ADICIONE O COMPLEMENTE, CUANDO SE TRATE DE PERSONAS JURÍDICAS. COPIA DEL RIT, RUT Y RESOLUCIÓN DEL APLICACIÓN (CUANDO APLIQUE). CERTIFICACIÓN BANCARIA.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</si>
  <si>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PROYECTO.3.3.1.14.03.30.1175. AUNAR ESFUERZOS TECNICOS,ADMINISTRATIVOS Y FINANCIEROS CON EL FIN DE FORTALECER LOS COPACOS  SANTA FE , A TRAVES DE ACTIVIDADES QUE LOS VISIBILICEN Y AMPLIAR LA BASE DE DATOS  DE LOS INTEGRANTES DEL MECANISMO DE PARTICIPACION.</t>
  </si>
  <si>
    <t>CIA-095-2013</t>
  </si>
  <si>
    <t>EL FONDO EFECTUARÁ LOS DESEMBOLSOS CORRESPONDIENTES A SU APORTE DE LA SIGUIENTE MANERA: ANTICIPO: EL FONDO ENTREGARÁ AL HOSPITAL A TITULO DE ANTICIPO EL 20% DEL VALOR DE SUS APORTES. PARAGRAFO PRIMERO: REGLAS DE MANEJO DEL ANTICIPO: 1) APERTURA DE CUENTA: EL HOSPITAL DEBERÁ APERTURAR UNA CUENTA BANCARIA SEPARADA, A NOMBRE DEL CONVENIO SUSCRITO. LOS RENDIMIENTOS QUE LLEGAREN A PRODUCIR LOS RECURSOS ASÍ ENTREGADOS, PERTENECERÁN A LA TESORERÍA DISTRITAL. 2) PLAN DE INVERSIÓN DEL ANTICIPO: EL HOSPITAL DEBE PRESENTAR EL PLAN DE INVERSIÓN DEL ANTICIPO, EL CUAL DEBE ESTAR DEBIDAMENTE APROBADO POR EL INTERVENTOR Y/O SUPERVISOR DEL CONVENIO, QUIEN DEBERÁ HACERLE EL SEGUIMIENTO RESPECTIVO. 3) AMORTIZACION DEL ANTICIPO: EL ANTICIPO SE AMORTIZARÁ EN LOS CINCO (5) PAGOS RESTANTES. LOS SOPORTES TÉCNICOS Y FINANCIEROS DEL ANTICIPO SE DEBERÁN PRESENTAR CON LOS RESPECTIVOS INFORMES DE ACTIVIDADES. PARAGRAFO SEGUNDO: EN CASO DE INCUMPLIMIENTO DEL HOSPITAL EN EL MANEJO Y DESTINACIÓN DEL ANTICIPO, DE ACUERDO CON LAS CERTIFICACIONES DE CUMPLIMIENTO DE LA SUPERVISIÓN, LA ENTIDAD DARÁ APLICACIÓN A LOS PROCESOS ESTABLECIDOS PARA LA IMPOSICIÓN DE MULTAS Y/O DECLARATORIA DE INCUMPLIMIENTO, HACIENDO EFECTIVAS LAS GARANTÍAS APORTADAS. PAGOS PARCIALES Y PAGO FINAL: EL 80% DEL VALOR DE LOS APORTES DEL FONDO SE CANCELARÁ EN CUATRO (4) PAGOS MENSUALES IGUALES Y UN PAGO FINAL AL TERMINAR EL PLAZO DE EJECUCIÓN DEL CONVENIO, PREVIO DESCUENTO DEL VALOR ENTREGADO A TITULO DE ANTICIPO. PARRAGRAFO PRIMERO: PARA CADA UNO DE LOS PAGOS EL EJECUTOR DEBERÁ PRESENTAR, INFORME DE AVANCE DE EJECUCIÓN, CERTIFICACIÓN DE DE PAGO DE LOS APORTES AL SISTEMA DE SEGURIDAD SOCIAL Y PARAFISCALES, FACTURA O CUENTA DE COBRO Y CERTIFICACIÓN DE RECIBO A SATISFACCIÓN EXPEDIDA POR EL INTERVENTOR Y/O SUPERVISOR DELEGADO POR LA ALCALDÍA LOCAL. PARAGRAFO SEGUNDO: PARA EL ÚLTIMO PAGO SE EXIGIRÁ COPIA DEL RECIBO DE CAJA EMITIDO POR LA ENTIDAD, CON EL CUAL SE GARANTIZA QUE EL HOSPITAL REALIZÓ LA DEVOLUCIÓN DE LOS RENDIMIENTOS GENERADOS POR EL ANTICIPO Y SE VERIFICARÁ QUE SE HAYA AMORTIZADO LA TOTALIDAD DEL ANTICIPO, ASÍ COMO EL INFORME FINAL DE EJECUCIÓN Y LA SUSCRIPCIÓN DEL ACTA DE LIQUIDACIÓN</t>
  </si>
  <si>
    <t>CONTRATOS DE PESTACION DE SERVICIOS PROFESIONALES Y TECNICOS 2013</t>
  </si>
  <si>
    <t>Mensual</t>
  </si>
  <si>
    <t>PROYECTO. 3.3.1.14.03.31.1171. CONTRATAR LAS REPARACIONES LOCATIVAS ,MANTENIMIENTO CORRECTIVO Y PREVENTIVO DE LOS EDIFICIOS DONDE FUNCIONAN LAS SEDES DE LA ALCALDIA LOCAL DE SANTA FE.</t>
  </si>
  <si>
    <t>COP-177-2013</t>
  </si>
  <si>
    <t>EL VALOR DEL CONTRATO SE PAGARÁ ASÍ: 1. UN PRIMER PAGO EQUIVALENTE AL 40% DEL VALOR DEL CONTRATO EN CALIDAD DE ANTICIPO, CON POSTERIORIDAD A LA PRESENTACIÓN DEL PLAN DE MANEJO, CRONOGRAMA DE PROGRAMACIÓN DE OBRA DEBIDAMENTE APROBADO POR EL INTERVENTOR Y SUPERVISOR DESIGNADO POR PARTE DE LA ENTIDAD, PRESENTACIÓN DE FACTURA O DOCUMENTO EQUIVALENTE, SEGÚN EL CASO, PRESENTACIÓN DEL CONTRATO DE FIDUCIA AL FONDO DE DESARROLLO Y AUTORIZACIÓN DE GIRO DEL INTERVENTOR. 2) EL SALDO SE CANCELARÁ  CONTRA ACTAS DE OBRA CONFORME A LO EJECUTADO, PREVIA PRESENTACIÓN DE INFORME DE EJECUCIÓN DEBIDAMENTE APROBADO POR EL INTERVENTOR.  DEL VALOR DE CADA ACTA DEBERÁ DESCONTARSE EL 40% COMO AMORTIZACIÓN DEL ANTICIPO Y UN 10% COMO GARANTÍA DE CALIDAD DE LA OBRA, EL CUAL SE DEVOLVERÁ AL CONTRATISTA UNA VEZ SEA LIQUIDADO EL CONTRATO.  EL IVA Y RETENCIÓN EN LA FUENTE A LOS PAGOS O ABONOS EN CUENTA, SE HARÁN DE ACUERDO CON LAS DISPOSICIONES LEGALES QUE REGULAN LA MATERIA. CONFORME A LO SEÑALADO EN EL ARTÍCULO 91 DEL DECRETO 734 DE 2012 EL CONTRATISTA DEBERÁ CONSTITUIR UNA FIDUCIA O UN PATRIMONIO AUTÓNOMO IRREVOCABLE PARA EL MANEJO DE LOS RECURSOS QUE RECIBA A TÍTULO DE ANTICIPO, CON EL FIN DE GARANTIZAR QUE DICHOS RECURSOS SE APLIQUEN EXCLUSIVAMENTE A LA EJECUCIÓN DEL CONTRATO CORRESPONDIENTE. EL COSTO DE LA COMISIÓN FIDUCIARIA SERÁ CUBIERTO DIRECTAMENTE POR EL CONTRATISTA.  LA INFORMACIÓN FINANCIERA Y CONTABLE DE LA FIDUCIA PODRÁ SER CONSULTADA POR LOS ORGANISMOS DE VIGILANCIA Y CONTROL FISCAL.  EL CONTRATO DE FIDUCIA DEBERÁ SER PRESENTADO POR EL CONTRATISTA AL ÁREA JURÍDICA DEL FONDO DE DESARROLLO PARA SU REVISIÓN.  LOS RENDIMIENTOS FINANCIEROS QUE GENEREN LOS RECURSOS CONSIGNADOS EN LA FIDUCIA, DEBERÁN SER DEVUELTOS AL FONDO DE DESARROLLO LOCAL DE SANTA FE, UNA VEZ SE LIQUIDE EL CONTRATO DE FIDUCIA, MEDIANTE CONSIGNACIÓN EN LA TESORERÍA DE HACIENDA DISTRITAL, REQUISITO FUNDAMENTAL PARA LIQUIDAR EL CONTRATO. PAGO PLAN DE GESTION SOCIAL Y AMBIENTAL: EL VALOR DE LA GESTIÓN AMBIENTAL Y SOCIAL DEBE SER CONSIDERADO POR EL PROPONENTE EN EL PORCENTAJE DE AIU, CON EL CUAL SE DARÁ CUMPLIMIENTO A CADA UNO DE LOS ASPECTOS AMBIENTALES DEFINIDOS EN EL PRESENTE CAPÍTULO.  LOS IMPUESTOS Y RETENCIONES QUE SURJAN DEL PRESENTE CONTRATO, CORREN POR CUENTA DEL CONTRATISTA, PARA CUYOS EFECTOS EL FONDO HARÁ LAS RETENCIONES DEL CASO Y CUMPLIRÁ LAS OBLIGACIONES FISCALES QUE ORDENE LA LEY.  NO OBSTANTE LO ANTERIOR, TODOS LOS PAGOS ESTARÁN SUJETOS A DISPONIBILIDAD DEL PAC.   LOS PAGOS SERÁN CANCELADOS POR MEDIO DE LA TESORERÍA DISTRITAL, EN PESOS COLOMBIANOS, A TRAVÉS DE LA CONSIGNACIÓN EN LA CUENTA CORRIENTE O DE AHORROS QUE EL CONTRATISTA SEÑALE, EN UNA DE LAS ENTIDADES FINANCIERAS AFILIADAS AL SISTEMA AUTOMÁTICO DE PAGOS, PREVIOS LOS DESCUENTOS DE LEY. EN CASO QUE EL OFERENTE FAVORECIDO SEA UN CONSORCIO O UNIÓN TEMPORAL, PARA EFECTOS DEL PAGO, ÉSTE DEBERÁ INFORMAR EL NÚMERO DEL NIT, A NOMBRE DEL CONSORCIO O UNIÓN TEMPORAL, ASÍ COMO EFECTUAR LA FACTURACIÓN EN FORMATO APROBADO POR LA DIAN A NOMBRE DEL RESPECTIVO CONSORCIO O UNIÓN TEMPORAL. EL FONDO SÓLO ADQUIERE OBLIGACIONES CON EL PROPONENTE FAVORECIDO EN EL PROCESO DE SELECCIÓN Y BAJO NINGÚN MOTIVO O CIRCUNSTANCIA ACEPTARÁ PAGOS A TERCEROS.  SI LA FACTURA NO HA SIDO CORRECTAMENTE ELABORADA O NO SE ACOMPAÑA DE LOS DOCUMENTOS REQUERIDOS PARA EL PAGO, EL TÉRMINO PARA ESTE EFECTO SÓLO EMPEZARÁ A CONTARSE DESDE LA FECHA EN QUE SE PRESENTEN EN DEBIDA FORMA O SE HAYA APORTADO EL ÚLTIMO DE LOS DOCUMENTOS EXIGIDOS EN ESTE PLIEGO DE CONDICIONES. LOS RETARDOS QUE SE PRESENTEN POR ESTE CONCEPTO SERÁ RESPONSABILIDAD DEL CONTRATISTA Y ÉSTE NO TENDRÁ POR ELLO DERECHO AL PAGO DE INTERESES O COMPENSACIÓN DE NINGUNA NATURALEZA</t>
  </si>
  <si>
    <t>CONSORCIO CIVING FORERO</t>
  </si>
  <si>
    <t>PROYECTO.3.3.1.14.03.31.1171. ADQUISICION DE EQUIPOS DE TECNOLOGIA Y MOBILIARIO PARA EL FONDO DE DESARROLLO LOCAL DE SANTA FE.</t>
  </si>
  <si>
    <t>CSU-151-2013</t>
  </si>
  <si>
    <t>EL FONDO DE DESARROLLO LOCAL SE OBLIGA A PAGAR EL VALOR DEL CONTRATO DENTRO DEL MES SIGUIENTE  A LA ENTREGA Y RECIBO A SATISFACCIÓN DE LA TOTALIDAD DE LOS BIENES EN EL ALMACÉN DEL FONDO DE DESARROLLO,  PARA LO CUAL EL CONTRATISTA DEBERÁ ALLEGAR DE MANERA OPORTUNA: 1. ACTA DE INGRESO AL ALMACÉN DEL FONDO DE DESARROLLO LOCAL DEBIDAMENTE SUSCRITA POR EL PROFESIONAL RESPONSABLE DE ALMACÉN E INVENTARIO DEL FDLSF.  2. PRESENTACIÓN DE LA FACTURA O DOCUMENTO EQUIVALENTE CON EL CUMPLIMIENTO DE LOS DEBIDOS REQUISITOS LEGALES, DE FORMA QUE RELACIONE ÚNICAMENTE LOS BIENES ENTREGADOS Y CERTIFICADOS EN EL ACTA DE INGRESO AL ALMACÉN, DE ACUERDO A LOS PRECIOS PRESENTADOS EN LA PROPUESTA ECONÓMICA Y CON LA DISCRIMINACIÓN DEL IMPUESTO AL VALOR AGREGADO Y CON LOS DESCUENTOS A QUE HAYA LUGAR DE ACUERDO AL ESTATUTO TRIBUTARIO NACIONAL. 3. CERTIFICACIÓN SUSCRITA POR EL REPRESENTANTE LEGAL O REVISOR FISCAL, SEGÚN SEA EL CASO, EN LA  QUE ACREDITE EL CUMPLIMIENTO DEL PAGO REALIZADO POR CONCEPTO DE APORTES AL SISTEMA DE SEGURIDAD SOCIAL INTEGRAL (SALUD, PENSIÓN Y A.R.L) Y PARAFISCALES, CORRESPONDIENTE A LOS ÚLTIMOS SEIS (6) MESES, DE CONFORMIDAD CON EL ARTÍCULO 50 DE LA LEY 789 DE 2002 O AQUELLA QUE LO MODIFIQUE, ADICIONE O SUSTITUYA, CUANDO SE TRATE DE PERSONAS JURÍDICAS. 4. EL FONDO DE DESARROLLO LOCAL DE SANTA FE CANCELARÁ UNA VEZ FIRMADA EL ACTA DE LIQUIDACIÓN.  NOTA: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</si>
  <si>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 3.3.1.14.03.31.1171 . INTERVENTORIA , CREAR UN NUEVO MEDIO DE COMUNICACION INSTITUCIONAL DIGITAL AUDIOVISUAL, PARA LOS GRUPOS POBLACIONALES DE LA LOCALIDAD.</t>
  </si>
  <si>
    <t>CIN-172-2013</t>
  </si>
  <si>
    <t>EL VALOR DEL PRESENTE CONTRATO SERÁ POR LA SUMA DE CINCO MILLONES PESOS (5.000.000) MCTE.,.EL VALOR DEL CONTRATO SE PAGARÁ ASÍ:  CINCO MENSUALIDADES VENCIDAS DE UN MILLON DE PESOS  M/CTE ($1.000.000.OO),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</si>
  <si>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PROYECTO.3.3.1.14.03.31.1171. INTERVENTORIA PARA REPARACIONES LOCATIVAS ,MANTENIMIENTO PREVENTIVO Y CORRECTIVO DE LOS EDIFICIOS DONDE FUNCIONAN LAS SEDES DE LA ALCALDIA LOCAL DE SANTA FE.</t>
  </si>
  <si>
    <t>CIN-174-2013</t>
  </si>
  <si>
    <t>EL VALOR DEL PRESENTE CONTRATO SERÁ POR LA SUMA DE ONCE MILLONES DE PESOS (11.000.000) MCTE.,.EL VALOR DEL CONTRATO SE PAGARÁ ASÍ:  DOS MENSUALIDADES VENCIDAS CINCO MILLONES QUINIENTOS MIL  PESOS  M/CTE ($5.500.000),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</si>
  <si>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JORGE HERNAN SANCHEZ PINEDA</t>
  </si>
  <si>
    <t>PROYECTO.3.3.1.14.03.31.1171. ADICION AL CONTRATO 049 DE 2013. FORTALECIMIENTO PUNTO FOCAL DE MUJER Y GENERO, EN ELMARCO DEL PLAN DE IGUALDAD DE OPORTUNIDAD DE GENERO.</t>
  </si>
  <si>
    <t>SULMA MARCELA BAQUERO ALEGRE</t>
  </si>
  <si>
    <t>PROYECTO.3.3.1.14.03.31.1171. INTERVENTORIA PARA EL CONTRATO FORTALECIMIENTO DE MEDIOS NALTERNATIVOS.</t>
  </si>
  <si>
    <t>CIN-169-2013</t>
  </si>
  <si>
    <t>EL VALOR DEL PRESENTE CONTRATO SERÁ POR LA SUMA DE TRES MILLONES DE  PESOS (3.000.000) MCTE.,.EL VALOR DEL CONTRATO SE PAGARÁ ASÍ:  TRES MENSUALIDADES VENCIDAS DE UN MILLON DE PESOS  M/CTE ($1.000.000.OO), LA CUAL INCLUYE TODOS LOS IMPUESTOS, TASAS Y CONTRIBUCIONES A QUE TENGA LUGAR, PREVIA PROGRAMACIÓN DEL PAC  Y ENTREGA DE LOS SIGUIENTES DOCUMENTOS: -INFORME DE ACTIVIDADES DEBIDAMENTE FIRMADO POR EL SUPERVISOR DE CONTRATO, EL APOYO A LA SUPERVISIÓN (SI APLICA) Y EL CONTRATISTA.-CUENTA DE COBRO. -COPIA DEL PAGO DE LOS APORTES AL SISTEMA DE SEGURIDAD SOCIAL Y PARAFISCALES, PARA EL PERIODO COBRADO.-CERTIFICADO DE CUMPLIMIENTO EXPEDIDO POR EL SUPERVISOR DEL CONTRATO. -EL ÚLTIMO PAGO SE REALIZARÁN PREVIA ENTREGA DEL INFORME FINAL DEL INTERVENTOR, EL INFORME FINAL DEL EJECUTOR, SUSCRIPCIÓN DEL ACTA DE LIQUIDACIÓN, ACTA DE TERMINACIÓN Y CERTIFICACIÓN DE CUMPLIMIENTO EXPEDIDA POR EL SUPERVISOR DE LA ALCALDÍA LOCAL.PARAGRAFO PRIMERO: LA CANCELACIÓN DEL VALOR DEL CONTRATO, POR PARTE DEL FONDO AL CONTRATISTA SE HARÁ MEDIANTE EL SISTEMA AUTOMÁTICO DE PAGOS, REALIZANDO CONSIGNACIONES EN LA CUENTA QUE POSEA EL MISMO EN UNA ENTIDAD FINANCIERA, DE ACUERDO A LA INFORMACIÓN SUMINISTRADA POR ÉSTA, EN EL MOMENTO DE SUSCRIPCIÓN DEL PRESENTE DOCUMENTO. PARÁGRAFO SEGUNDO: LOS PAGOS QUE EFECTUÉ EL FONDO, EN VIRTUD DEL PRESENTE CONTRATO ESTARÁN SUJETOS A LA PROGRAMACIÓN DE RECURSOS DEL PROGRAMA ANUAL DE CAJA - PAC  Y LOS RECURSOS DISPONIBLES EN TESORERÍA. PARAGRAFO TERCERO: (SÓLO APLICA PARA RÉGIMEN COMÚN) DE CONFORMIDAD CON EL NUMERAL 7° PARÁGRAFO 1° DEL ARTÍCULO 499 DEL ESTATUTO TRIBUTARIO, PARA LA CELEBRACIÓN DE CONTRATOS DE VENTA DE BIENES O DE PRESTACIÓN DE SERVICIOS GRAVADOS POR CUANTÍA INDIVIDUAL Y SUPERIOR A 3300 UVT, EL RESPONSABLE DEL RÉGIMEN SIMPLIFICADO DEBERÁ INSCRIBIRSE PREVIAMENTE EN EL RÉGIMEN COMÚN.  POR LO ANTERIOR LOS CONTRATISTAS QUE PARA EL PRESENTE AÑO SUPEREN EL MONTO ESTABLECIDO O QUIENES YA ESTUVIEREN INSCRITOS EN EL RÉGIMEN COMÚN, DEBERÁN PRESENTAR FACTURA DE VENTA, CON LOS REQUISITOS DEL ARTÍCULO 617 DEL ESTATUTO TRIBUTARIO, INCLUYENDO EL IMPUESTO AL VALOR AGREGADO (IVA), PARA CADA PAGO</t>
  </si>
  <si>
    <t>PAGO HONORARIOS EDILES 2013</t>
  </si>
  <si>
    <t>PROYECTO. 3.3.1.14.03.32.1173. SUMINISTRO E INSTALACION DE EQUIPOS HARDWARE Y ELEMENTOS SOFWARE , PARA DOTAR DE ACCESO INALAMBRICO A INTERNET VIA WIFI , EN LA ZONA ESPECIFICA PARQUE DE LOS  PERIODISTAS QUE PERMITA EL ACESO A INTERNET DE LA CIUDADANIA , EN FORMA GRATUITA.</t>
  </si>
  <si>
    <t>24 meses</t>
  </si>
  <si>
    <t>CPS-121-2013</t>
  </si>
  <si>
    <t>EL FONDO DE DESARROLLO LOCAL DE SANTA FE, CANCELARÁ EL VALOR DEL CONTRATO  MENSUALMENTE PREVIO EL CUMPLIMIENTO DE LOS SIGUIENTES REQUISITOS: ORIGINAL DE LA FACTURA, CERTIFICACIÓN DEL PAGO DE APORTES A SALUD Y PENSIÓN Y  PARAFISCALES DEL PERÍODO A FACTURAR, INFORME DE ACTIVIDADES DEL PERIODO A FACTURAR, DEBIDAMENTE APROBADO POR EL  INTERVENTOR. PARAGRAFO: LOS PAGOS ESTARÁN SUBORDINADOS A LAS APROPIACIONES QUE DEL MISMO SE HAGAN CON CARGO AL PRESUPUESTO, MEDIANTE TRANSFERENCIA REALIZADA POR  LA TESORERÍA DISTRITAL, EN LA CUENTA CORRIENTE O DE AHORROS QUE EL  CONTRATISTA SEÑALE PARA TAL FIN. EL FONDO SÓLO ADQUIERE OBLIGACIONES CON EL PROPONENTE FAVORECIDO EN EL PROCESO DE SELECCIÓN Y BAJO NINGÚN MOTIVO O CIRCUNSTANCIA ACEPTARÁ PAGOS A TERCEROS. SI LA FACTURA NO HA SIDO CORRECTAMENTE ELABORADA O NO SE ACOMPAÑA DE LOS DOCUMENTOS REQUERIDOS PARA EL PAGO, EL TÉRMINO PARA ESTE EFECTO SÓLO EMPEZARÁ A CONTARSE DESDE LA FECHA EN QUE SE PRESENTEN EN DEBIDA FORMA O SE HAYA APORTADO EL ÚLTIMO DE LOS DOCUMENTOS EXIGIDOS EN ESTE PLIEGO DE CONDICIONES. LOS RETARDOS QUE SE PRESENTEN POR ESTE CONCEPTO SERÁ RESPONSABILIDAD DEL CONTRATISTA Y ÉSTE NO TENDRÁ POR ELLO DERECHO AL PAGO DE INTERESES O COMPENSACIÓN DE NINGUNA NATURALEZA</t>
  </si>
  <si>
    <t>MELTEC COMUNICACIONES S A</t>
  </si>
  <si>
    <t>PROYECTO. 3.3.1.14.03.32.1173. ADICION CPS-121 DE 2013.</t>
  </si>
  <si>
    <t>CPS-121-2013-ADPRO1</t>
  </si>
  <si>
    <t>PROGRAMACIÓN FINANCIERA (BASADOS EN CDP) 2014</t>
  </si>
  <si>
    <t>PROGRAMACIÓN FINANCIERA (BASADOS EN CDP) 2015</t>
  </si>
  <si>
    <t>Temas prioritarios</t>
  </si>
  <si>
    <t>Total 2014</t>
  </si>
  <si>
    <t>ADQUISICION DE EQUIPOS, MATERIALES Y ELEMENTOS PARA DOTAR LAS INSTITUCIONES DISTRITALES PARA LA ATENCION DE PRIMERA INFANCIA DE CONFORMIDAD CON LAS CANTIDADES Y ESPECIFICACIONES TECNICAS CONTENIDAS EN LA FICHA TECNICA Y EN LOS ESTUDIOS PREVIOS.</t>
  </si>
  <si>
    <t>113 - 2014</t>
  </si>
  <si>
    <t>DIDACTICOS PINOCHO S A</t>
  </si>
  <si>
    <t>114 - 2014</t>
  </si>
  <si>
    <t>GRUPO INDUSTRIAL ZINGAL S A S</t>
  </si>
  <si>
    <t>CONTRATAR LA EJECUCION DEL PROYECTO QUE TIENE COMO OBJETO " DESARROLLAR ACCIONES QUE PERMITAN POTENCIALIZAR EL DESARROLLO DE LAS NIÑAS Y NIÑOS EN SU PRIMERA INFANCIA , A LA VEZ QUE SE CUALIFICAN LAS CAPACIDADES DE SUS CUIDADORES , FORTALECIENDO SU ROL EDUCATIVO , MEJORANDO LAS PRACTICAS DE CUIDADO.</t>
  </si>
  <si>
    <t>7 MESES</t>
  </si>
  <si>
    <t>CAS-088-2014</t>
  </si>
  <si>
    <t xml:space="preserve">Mensual contra ejecución </t>
  </si>
  <si>
    <t>FUNDACION SAN GABRIEL ARCANGEL DE FE</t>
  </si>
  <si>
    <t>CONTRATAR LA INTERVENTORIA PARA EL CONTRATO EJECUCION DEL PROYECTO QUE TIENE COMO OBJETO  " DESARROLLAR ACCIONES QUE PERMITAN POTENCIAR EL DESARROLLO DE LOS NIÑOS Y NIÑAS EN SU PRIMERA INFANCIA, A LA VEZ QUE SE CUALIFICAN LAS CAPACIDADES SUS CUIDADORES, FORTALECIENDO SU ROL EDUCATIVO MEJORANDO LAS PRACTICAS DE CUIDADO.SEGUN OFICIO CON NUMERO DE RADICADO 2014.032.0010573 DE FECHA NOVIEMBRE 7 DE 2014.</t>
  </si>
  <si>
    <t>136 - 2014</t>
  </si>
  <si>
    <t>JOSE MANUEL JULIO JULIO</t>
  </si>
  <si>
    <t>AUNAR ESFUERZOS TÉCNICOS ADMINISTRATIVOS Y FINANCIEROS PARA REALIZAR ACTIVIDADES DE ESTIMULACIÓN COGNITIVA Y SENSORIAL A NIÑOS CON EDADES ENTRE TRES Y CINCO AÑOS, DE ACUERDO CON LO ESTABLECIDO EN EL ANEXO TÉCNICO" DE ACUERDO A SOLICITUD EFECTUADA BAJO EL NUMERO DE RADICACION 2014-032-0012743 DE FECHA DICIEMBRE 18 DE 2014, FIRMADA POR EL ALCALDE LOCAL.</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</si>
  <si>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 DE ACUERDO A SOLICITUD EFECTUADA BAJO EL NUMERO DE RADICACION 2014-032-0012983 DE FECHA DICIEMBRE 23 DE 2014, FIRMADA POR EL ALCALDE LOCAL</t>
  </si>
  <si>
    <t>PROYECTO. 3.3.1.14.01.02.1149. AUNAR ESFUERZOS TECNICOS,ADMINISTRATIVOS, FINANCIEROS CON EL FIN DE EJECUTAR EL PROYECTO 1149. APOYO EN PROGRAMAS DE SALUD ORAL PARA ADULTOS.</t>
  </si>
  <si>
    <t xml:space="preserve">CONTRATACIÓN DIRECTA </t>
  </si>
  <si>
    <t xml:space="preserve">MESNUAL CONTRA EJECUCIÓN </t>
  </si>
  <si>
    <t>EJECUCIÓN</t>
  </si>
  <si>
    <t>PROYECTO. 3.3.1.14.01.02.1149 . REALIZAR INTERVENTORIA TECNICA,ADMINISTRATIVA ,FINANCIERA,CONTABLE Y AMBIENTAL AL COMPONENTE DESARROLLAR ACTIVIDADES QUE CONTRIBUYAN A MEJORAR LAS CONDICIONES DE SALUD DE LOS HABITANTES DE LA LOCALIDAD.</t>
  </si>
  <si>
    <t>MINIMA CUANTIA</t>
  </si>
  <si>
    <t xml:space="preserve">MENSUAL </t>
  </si>
  <si>
    <t>JOHN ALVARO BUITRAGO RAMIREZ</t>
  </si>
  <si>
    <t>PROYECTO. 3.3.1.14.01.02.1149. REALIZAR LA INTERVENTORIA  TECNICA , ADMINISTRATIVA Y FINANCIERA AL CONVENIO 104 DE 2013 , TRATAMIENTOS COMPLETOS DE ORTODONCIA.</t>
  </si>
  <si>
    <t xml:space="preserve">SELECCIÓN ABREVIADA </t>
  </si>
  <si>
    <t>14 MESES</t>
  </si>
  <si>
    <t> 900508145</t>
  </si>
  <si>
    <t>PROYECTO. 3.3.1.14.01.02.1149. REALIZAR LA INTERVENTORIA TECNICA , ADMINISTRATIVA Y FINANCIERA AL CONVENIO 104 DE 2013 . IMPLEMENTACION DE TRATAMIENTOS DE ORTODONCIA.</t>
  </si>
  <si>
    <t>PROYECTO. 3.3.1.14.01.02.1149. ADICIONAR EL CONVENIO INTERADMIMNISTRATIVO 60 DE 2013 , MEJORANDO LAS CONDICIONES DE VIVIENDA Y SALUBRIDAD A TRAVES DE PROGRAMAS DE PREVENCION Y CONTROL DE VECTORES PLAGA Y ROEDORES EN ESTABLECIMIENTOS DE LA LOCALIDAD DE SANTA FE.</t>
  </si>
  <si>
    <t>CONTRATACIÓN DIRECTA</t>
  </si>
  <si>
    <t>6 MESES</t>
  </si>
  <si>
    <t xml:space="preserve">POR INICIAR </t>
  </si>
  <si>
    <t>PROYECTO. 3.3.1.14.01.02.1149. AUNAR ESFUERZOS TECNICOS, ADMINISTRATIVOS Y FINANCIEROS A FIN DE EJECUTAR EL PROYECTO . 1149 , COMPONENTE MEJORAR LAS CONDICIONES DE SALUD DE LOS HABITANTES DE LA LOCALIDAD.</t>
  </si>
  <si>
    <t>CINCO PAGOS DEL 20% C/U.</t>
  </si>
  <si>
    <t>PROYECTO. 3.3.1.14.01.02.1149. AUNAR ESFUERZOS TECNICOS, ADMINISTRATIVOS Y FINANCIEROS A FIN DE EJECUTAR EL PROYECTO . 1149 :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</si>
  <si>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13 MESES</t>
  </si>
  <si>
    <t xml:space="preserve">Diez pagos del 10%. </t>
  </si>
  <si>
    <t xml:space="preserve">Indeterminado </t>
  </si>
  <si>
    <t>PROYECTO.3.3.1.14.01.02.1149. REALIZAR INTERVENTORIA TECNICA ,ADMINISTRATIVA , FINANCIERA.CONTABLE  Y AMBIENTAL AL CONVENIO INTERADMINISTRATIVO ,COMPONENTE RUTA SALUDABLE.</t>
  </si>
  <si>
    <t>REALIZAR INTERVENTORIA TECNICA , ADMINISTRATIVA,FINANCIERA,CONTABLE SOCIAL Y AMBIENTAL AL CONVENIO INTERADMINISTRATIVO 60 DE2013 , FIRMADO ENTRE EL FDL DE SANTA FE Y EL HOSPITAL CENTRO ORIENTE. CUYO OBJETO ES AUNAR ESFUERZOS TECNICOS ADMINISTRATIVOS Y FINANCIEROS CON EL FIN DE DESARROLLAR ACCIONES TENDIENTES A MEJORAR LAS CONDICINES DE VIVIENDA Y SALUBRIDAD DE LOS HABITANTES DE LA LOCALIDAD TERCERA  A TRAVES DE PROGRAMAS DE PREVENCION E INTERVENCIN EN EL CONTROL DE PLAGA Y ROEDORES Y MEJORAR LAS CONDICIONES DE PREPARACION Y EXPENDIO DE ALIMENTOS EN LOS ESTABLECIMIENTOS COMERCIALES DE LA LOCALIDAD EN EL MARCO DEL PROYECTO No 1149 DENOMINADO SANTA FE  CON SALUD PARA TODAS Y TODOS</t>
  </si>
  <si>
    <t>PROYECTO. 3.3.1.14.01.02.1149. AUNAR ESFUERZOS TECNICOS,ADMINISTRATIVOS Y FINANCIEROS A FIN DE FORTALECER LOS COPACOS SANTA FE A TRAVES DE ACTIVIDADES QUE LOS VISIBILICEN Y PERMITAN AMPLIAR LA BASE DE DATOS DE LOS INTEGRANTES DEL MECANISMO DE PARTICIPACION DE ACUERDO A SOLICITUD RADICADA BAJO EL NUMERO 2014-032-0011423 DE FECHA 27-11-2014 FIRMADA POR EL ALCALDE LOCAL.</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</si>
  <si>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 DE ACUERDO A SOLICITUD EFECTUADA BAJO EL NUMERO DE RADICACION 2014-032-0013203 DE FECHA DICIEMBRE 29 DE 2014, FIRMADA POR EL ALCALDE LOCAL.</t>
  </si>
  <si>
    <t>LORENA  MENDEZ VALLEJO</t>
  </si>
  <si>
    <t>PROYECTO. 3.3.1.14.01.02.1149 . AUNAR ESFUERZOS TECNICOS ,ADMINISTRATIVOS,FINANCIEROS A FIN DE FORTALECER EL BANCO DE AYUDAS TECNICAS ,SANTA FE CON SALUD PARA TODAS Y TODOS.</t>
  </si>
  <si>
    <t>PROYECTO. 3.3.1.14.01.02.1149. REALIZAR LA INTERVENTORIA TECNICA,ADMINISTRATIVA,FINANCIERA CONTABLE Y AMBIENTAL , PARA FORTALECER EL BANCO DE AYUDAS TECNICAS, SANTA FE CON SALUD PARA TODAS Y TODOS.</t>
  </si>
  <si>
    <t>EL CONTRATO QUE SE PRETENDE CELEBRAR TENDRA POR OBJETO " EL CONTRATISTA SE COMPROMETE CON EL FONDO DE DESARROLLO LOCAL DE SANTA FE A REALIZAR UN PROGRAMA DE VALIDACION  DE GRADO ONCE (11) A JOVENES EN EXTRA EDAD ESCOLAR Y POBLACION ADULTA DE LA LOCALIDAD DE SANTA FE EN HORARIOS FLEXIBLES SEGUN CONTRATO DE PRESTACION DE SERVICIOS NUMERO 133 DE 2014 SUSCRITO ENTRE EL FDL SF Y FUNDACION PROYECTOS EDUCATIVOS SOCIALES FUNPES NIT 900.413.743</t>
  </si>
  <si>
    <t>EL CONTRATISTA SE OBLIGA CON EL FONDO DE DESARROLLO A REALIZAR LA INTERVENTORIA TECNICA ADMINISTRATIVA FINANCIERA CONTABLE SOCIAL Y AMBIENTAL DEL CONTRATO QUE RESULTE DEL PROCESO DE MINIMA CUANTIA DE CONFORMIDAD CON LAS CONDICIONES  SEÑALADAS EN LOS ESTUDIOS PREVIOS Y LA PRESENTE INVITACION, DOCUMENTOS QUE FORMAN PARTE INTEGRAL DEL PROCESO. DE ACUERDO A SOLICITUD EFECTUADA BAJO RADICADO NUMERO 2014-032-0011593 DE FECHA 28-11-2014, FIRMADA POR EL ALCALDE LOCAL.</t>
  </si>
  <si>
    <t>DANIEL EDUARDO LOPEZ FERRER</t>
  </si>
  <si>
    <t>EL CONTRATO QUE SE PRETENDE CELEBRAR, TENDRA POR OBJETO "EL CONTRATISTA SE COMPROMETE CON EL FONDO DE DESARROLLO LOCAL DE SANTA FE, A REALIZAR UN PROGRAMA DE VALIDACION DE LOS CICLOS I,II,III,IV, Y MEDIA I Y II A JOVENES EN EDAD EXTRAESCOLAR Y POBLACIOIN ADULTA DE LA LOCALIDAD DE SANTA FE EN HORARIOS FLEXIBLES". DE ACUERDO A SOLICITUD RADICADA BAJO EL NUMERO 2014-032-0011573 DE FECHA 28-11-2014 FIRMADA POR EL ALCALDE LOCAL.</t>
  </si>
  <si>
    <t>REALIZAR LA INTERVENTORIA TECNICA, ADMINISTRATIVA, FINANCIERA, CONTABLE, SOCIAL Y AMBIENTAL DEL CONTRATO QUE RESULTE DEL PROCESO DE LICITACION PUBLICA FDLSF-LP 062 - 2014 DE CONFORMIDAD CON LAS CONDICIONES SEÑALADAS EN LOS  ESTUDIOS PREVIOS Y LA PRESENTE INVITACION, DOCUMENTOS QUE FORMAN PARTE INTEGRAL DEL PROCESO.DE ACUERDO A SOLICITUD RADICADA BAJO EL NUMERO 2014-032-0011603 DE FECHA 28-11-2014 FIRMADA POR EL ALCALDE LOCAL.</t>
  </si>
  <si>
    <t>DAGOBERTO  MEJIA SANDOVAL</t>
  </si>
  <si>
    <t>PROYECTO. 3.3.1.14.01.03.1150. DESARROLLAR UN PROCESO DE CAPACITACION TEORICO PRACTICA EN LAS NUEVE(9) INSTITUCIONES EDUCATIVAS DISTRITALES - IED DE LA LOCALIDAD DE SANTA FE , PARA FORTALECER EL APRENDIZAJE DE LA COMUNICACION  DE LOS ESTUDIANTES.</t>
  </si>
  <si>
    <t>ADQUISICIÓN DE EQUIPOS, MATERIALES Y ELEMENTOS PARA DOTAR LAS EMISORAS DE LOS 9 IEDS DE LA LOCALIDAD DE SANTA FE, DE CONFORMIDAD CON LAS CANTIDADES Y ESPECIFICACIONES TÉCNICAS CONTENIDAS EN LA FICHA TÉCNICA Y EN LOS ESTUDIOS PREVIOS DE ACUERDO A SOLICITUD EFECTUADA BAJO EL NUMERO DE RADICACION 2014-032-0012993 DE FECHA DICIEMBRE 23 DE 2014, FIRMADA POR EL ALCALDE LOCAL.</t>
  </si>
  <si>
    <t>SIMELC ELECTROMECANICA SAS</t>
  </si>
  <si>
    <t>PRESTAR LOS SERVICIOS PARA EL APOYO LOGISTICO AL FORO EDUCATIVO INTERLOCAL ENTRE LA LOCALIDAD DE SANTA FE Y LA LOCALIDAD DE CANDELARIA 2014 "EDUCACION DE CALIDAD: EDUCACION INTEGRAL CAMINO HACIA LA NO SEGREGACION Y LA EQUIDAD" DENTRO DEL MARCO DEL PROYECTO No 1150 EDUCACION PARA TODAS Y TODOS</t>
  </si>
  <si>
    <t>RESOLUCION MOTIVADA POR LA CUAL SE RECONOCE Y ORDENA EL PAGO DE UNA OBLIGACION POR PAGAR, CON CARGO A LA VIGENCIA 2014 A FAVOR DE LA EMPRESA DE TELECOMUNICACIONES DE BOGOTA S.A. - ETB - ESP DENTRO DEL CONVENIO DE COOPERACION NUMERO 106 DE 2002, LA CUAL FUE FENECIDA EN LA VIGENCIA FISCAL 2013, SEGUN RESOLUCION NUMERO 00407 DE FECHA DIC 1 DE 2014.</t>
  </si>
  <si>
    <t>CONVENIO DE COOPERACION</t>
  </si>
  <si>
    <t>EMPRESA DE TELECOMUNICACIONES DE BOGOTA SA ESP</t>
  </si>
  <si>
    <t>RECONOCER Y ORDENAR EL PAGO DE LA OBLIGACION POR PAGAR DEL CONTRATO DE INTERVENTORIA 055 DE 2011 ACORDE AL ACTA DE LIQUIDACION  A FAVOR DE FERNANDO OSORIO DIMATE CCD 79.432.829  DE ACUERDO A LA RESOLUCION 00433 DE FECHA  DICIEMBRE 24 DE 2014, FIRMADA POR EL ALCALDE LOCAL</t>
  </si>
  <si>
    <t>RESOLUCION</t>
  </si>
  <si>
    <t>FERNANDO  OSORIO DIMATE</t>
  </si>
  <si>
    <t>PROYECTO. 3.3.1.14.01.05.1157. CONTRIBUIR AL DESARROLLO Y FORTALECIMIENTO DE LAS CAPACIDADES Y POTENCIALIDADES RELACIONADAS CON LA PARTICIPACION CON INCIDENCIAS EN EL CUIDADO Y LAS REDES SOCIALES ,FAMILIARES DE LAS PERSONAS MAYORES Y GRUPOS POBLACIONALES DE LA LOCALIDAD DE SANTA FE.VALOR SUBSIDIOS.</t>
  </si>
  <si>
    <t>12-SDIS</t>
  </si>
  <si>
    <t>18 MESES</t>
  </si>
  <si>
    <t>001-2014</t>
  </si>
  <si>
    <t xml:space="preserve">MESNUAL </t>
  </si>
  <si>
    <t xml:space="preserve">En ejecución </t>
  </si>
  <si>
    <t>PRESTAR LOS SERVICIOS PROFESIONALES PARA APOYAR AL GRUPO DE GESTION ADMINISTRATIVA Y FINANCIERA EN LA VERIFICACION DE CONDICIONES, SEGUIMIENTO A TRESCIENTOS (300) BENEFICIARIOS DEL PROYECTO, DONDE SE ATIENDEN UN TOTAL  DE NOVECIENTOS BENEFICARIOS  (900) PERSONAS MAYORES EN TOTAL Y APOYE LA EJECUCION DEL PROYECTO 1157 SANTA FE REDUCE LA DISCRIMINACION Y LA SEGREGACIÓN SOCIAL COMPONENTE ENTREGA DE SUBSIDIO TIPO C. FOCALIZADORA 2.</t>
  </si>
  <si>
    <t>9 MESES</t>
  </si>
  <si>
    <t>MARCELA  VELASQUEZ SAENZ</t>
  </si>
  <si>
    <t>PRESTAR LOS SERVICIOS PROFESIONALES PARA APOYAR AL GRUPO DE GESTION ADMINISTRATIVA Y FINANCIERA EN LA VERIFICACION DE CONDICIONES, SEGUIMIENTO A TRESCIENTOS (300) BENEFICIARIOS DEL PROYECTO, DONDE SE ATIENDEN UN TOTAL  DE NOVECIENTOS BENEFICARIOS  (900) PERSONAS MAYORES EN TOTAL Y APOYE LA EJECUCION DEL PROYECTO 1157 SANTA FE REDUCE LA DISCRIMINACION Y LA SEGREGACIÓN SOCIAL COMPONENTE ENTREGA DE SUBSIDIO TIPO C. FOCALIZADORA 1.</t>
  </si>
  <si>
    <t>PRESTAR LOS SERVICIOS PROFESIONALES PARA APOYAR AL GRUPO DE GESTION ADMINISTRATIVA Y FINANCIERA EN LA VERIFICACION DE CONDICIONES, SEGUIMIENTO A TRESCIENTOS (300) BENEFICIARIOS DEL PROYECTO, DONDE SE ATIENDEN UN TOTAL  DE NOVECIENTOS BENEFICARIOS  (900) PERSONAS MAYORES EN TOTAL Y APOYE LA EJECUCION DEL PROYECTO 1157 SANTA FE REDUCE LA DISCRIMINACION Y LA SEGREGACIÓN SOCIAL COMPONENTE ENTREGA DE SUBSIDIO TIPO C. FOCALIZADORA 3.</t>
  </si>
  <si>
    <t>NATHALIA INES CRUZ SIERRA</t>
  </si>
  <si>
    <t>APOYAR EN EL SEGUIMIENTO DE LOS NOVECIENTOS  BENEFICIARIOS (900) DEL PROYECTO 1157, SANTA FE REDUCE LA DISCRIMINACION Y LA SEGREGACIÓN SOCIAL COMPONENTE:  ENTREGA DE SUBSIDIO TIPO C. APOYO  DE FOCALIZACION</t>
  </si>
  <si>
    <t xml:space="preserve">MARIA ALEJANDRA CELEITA </t>
  </si>
  <si>
    <t>CONTRIBUIR AL DESARROLLO Y FORTALECIMIENTO DE LAS CAPACIDADES Y POTENCIALIDADES RELACIONADAS CON LA PARTICIPACION CON INCIDENCIA EN EL CUIDADO Y LAS REDES SOCIALES, FAMILIARES DE LAS PERSONAS MAYORES Y GRUPOS POBLACIONALES DE LA LOCALIDAD DE SANTA FE, EN SITUACION DE DISCRIMINACION Y SEGREGACION SOCIOECONOMICA, EXCLUSION, SENSIBILIZACION Y VISIBILIZACION, AL IGUAL QUE MEJORAR SUS CONDICIONES MATERIALES DE EXISTENCIA, QUE PERMITAN LA AMPLIACION DE OPORTUNIDADES CON AUTONOMIA, INDEPENDENCIA Y DIGNIDAD. (VALOR SUBSIDIOS INCREMENTO COBERTURA 2015). DE ACUERDO A SOLICITUD CON NUMERO DE RADICACION 2014-032-0012123  DE FECHA 04-12-2014 FIRMADA POR EL ALCALDE LOCAL.</t>
  </si>
  <si>
    <t>410 de 2014</t>
  </si>
  <si>
    <t>CONTRIBUIR AL DESARROLLO Y FORTALECIMIENTO DE LAS CAPACIDADES Y POTENCIALIDADES RELACIONADAS CON LA PARTICIPACION CON INCIDENCIA EN EL CUIDADO Y LAS REDES SOCIALES, FAMILIARES DE LAS PERSONAS MAYORES Y GRUPOS POBLACIONALES DE LA LOCALIDAD DE SANTA FE, EN SITUACION DE DISCRIMINACION Y SEGREGACION SOCIOECONOMICA, EXCLUSION, SENSIBILIZACION Y VISIBILIZACION, AL IGUAL QUE MEJORAR SUS CONDICIONES MATERIALES DE EXISTENCIA, QUE PERMITAN LA AMPLIACION DE OPORTUNIDADES CON AUTONOMIA, INDEPENDENCIA Y DIGNIDAD. (VALOR COSTOS OPERATIVOS). DE ACUERDO A SOLICITUD CON NUMERO DE RADICACION 2014-032-0012133 DE FECHA 04-12-2014 FIRMADA POR EL ALCALDE LOCAL.</t>
  </si>
  <si>
    <t>411 de 2014</t>
  </si>
  <si>
    <t>RESOLUCION MOTIVADA POR LA CUAL SE RECONOCE Y ORDENA EL PAGO DE UNA OBLIGACION POR PAGAR, CON CARGO A LA VIGENCIA 2014 A FAVOR DE LA FUNDACION FORO CIVICO ESCUELA DE DEMOCRACIA , DERECHOS HUMANOS Y PARTICIPACION CIUDADANA. DENTRO DEL CONTRATO DE PRESTACION DE SERVICIOS NUMERO 010 DE 2013. SEGUN RESOLUCION MOTIVADA NUMERO 000406 DEL 01-12-2014.</t>
  </si>
  <si>
    <t>RESOLUCION POR LA CUAL SE RECONOCE Y ORDENA EL PAGO DE UNA OBLIGACION POR PAGAR, CON CARGO A LA VIGENCIA FISCAL  2014 LA CUAL FUE FENECIDA EN LA VIGENCIA FISCAL 2013  A FAVOR DE LA EMPRESA A.R. TRIPLE A CORREDORES DE BOLSA S.A. EN EL CONTRATO DE MANDATO 2712 DE 2007. SEGUN RESOLUCION NUMERO 000414 DE FECHA DIC 5 DE 2014.</t>
  </si>
  <si>
    <t>CONTRATO DE MANDATO</t>
  </si>
  <si>
    <t>A.R. TRIPLEA S.A.S.</t>
  </si>
  <si>
    <t>RESOLUCION POR LA CUAL SE RECONOCE Y ORDENA EL PAGO DE UNA OBLIGACION POR PAGAR, CON CARGO A LA VIGENCIA FISCAL  2014 LA CUAL FUE FENECIDA EN LA VIGENCIA FISCAL 2013  A FAVOR DE LA EMPRESA A.R. TRIPLE A CORREDORES DE BOLSA S.A. EN EL CONTRATO DE MANDATO 2781 DE 2008.SEGUN RESOLUCION NUMERO 000414 DE FECHA DIC 5 DE 2014.</t>
  </si>
  <si>
    <t>ADICIONAR, APOYAR EN EL SEGUIMIENTO DE LOS NOVECIENTOS BENEFICIARIOS (900)  DEL PROYECTO 1157 SANTA FE REDUCE LA DISCRIMINACIÓN Y LA SEGREGACIÓN SOCIAL COMPONENTE: ENTREGA DE SUBSIDIO TIPO C. APOYO DE FOCALIZACION  DE ACUERDO A SOLICITUD EFECTUADA BAJO EL NUMERO DE RADICACION 2014.032.00-12913 DE FECHA DICIEMBRE 23 DE 2014, FIRMADA POR EL ALCALDE LOCAL.</t>
  </si>
  <si>
    <t>MARIA ALEJANDRA CELEITA ROMERO</t>
  </si>
  <si>
    <t>PRESTAR LOS SERVICIOS PROFESIONALES PARA APOYAR AL GRUPO DE GESTIÓN ADMINISTRATIVA Y FINANCIERA EN LA VERIFICACIÓN DE CONDICIONES, SEGUIMIENTO A TRESCIENTOS (300) BENEFICIARIOS DEL PROYECTO, DONDE SE ATIENDEN UN TOTAL DE NOVECIENTOS BENEFICIARIOS (900) PERSONAS MAYORES EN TOTAL Y APOYE LA EJECUCIÓN DEL PROYECTO 1157 SANTA FE REDUCE LA DISCRIMINACIÓN Y LA SEGREGACIÓN SOCIAL COMPONENTE: ENTREGA DE SUBSIDIO TIPO C DE ACUERDO A SOLICITUD EFECTUADA BAJO EL NUMERO DE RADICACION 2014-032-0012923 DE FECHA DICIEMBRE 23  DE 2014, FIRMADA POR EL ALCALDE LOCAL .</t>
  </si>
  <si>
    <t>PRESTAR LOS SERVICIOS PROFESIONALES PARA APOYAR AL GRUPO DE GESTIÓN ADMINISTRATIVA Y FINANCIERA EN LA VERIFICACIÓN DE CONDICIONES, SEGUIMIENTO A TRESCIENTOS (300) BENEFICIARIOS DEL PROYECTO, DONDE SE ATIENDEN UN TOTAL DE NOVECIENTOS BENEFICIARIOS (900) PERSONAS MAYORES EN TOTAL Y APOYE LA EJECUCIÓN DEL PROYECTO 1157 SANTA FE REDUCE LA DISCRIMINACIÓN Y LA SEGREGACIÓN SOCIAL COMPONENTE: ENTREGA DE SUBSIDIO TIPO C DE ACUERDO A SOLICITUD EFECTUADA BAJO EL NUMERO DE RADICACION 2014-032-0012893 DE FECHA DICIEMBRE 23 DE 2014, FIRMADA POR EL ALCALDE LOCAL.</t>
  </si>
  <si>
    <t>ADICIONAR, PRESTAR LOS SERVICIOS PROFESIONALES PARA APOYAR AL GRUPO DE GESTIÓN ADMINISTRATIVA Y FINANCIERA EN LA VERIFICACIÓN DE CONDICIONES, SEGUIMIENTO A TRESCIENTOS (300) BENEFICIARIOS DEL PROYECTO, DONDE SE ATIENDEN UN TOTAL DE NOVECIENTOS BENEFICIARIOS (900) PERSONAS MAYORES EN TOTAL Y APOYE LA EJECUCIÓN DEL PROYECTO 1157 SANTA FE REDUCE LA DISCRIMINACIÓN Y LA SEGREGACIÓN SOCIAL COMPONENTE: ENTREGA DE SUBSIDIO TIPO C.  FOCALIZADORA 1 DE ACUERDO A SOLICITUD EFECTUADA BAJO EL NUMERO DE RADICACION 2014-032-0012903 DE FECHA DICIEMBRE 23 DE 2014, FIRMADA POR EL ALCALDE LOCAL.</t>
  </si>
  <si>
    <t>PROYECTO. 3.3.1.14.01.05.1157. EJECUTAR EL PROYECTO 1157,POLITICA PUBLICA DESARROLLADA EN LAS INSTITUCIONES EDUCATIVAS DE LA LOCALIDAD DE SANTA FE.</t>
  </si>
  <si>
    <t>8 MESES</t>
  </si>
  <si>
    <t>CPS-92/2014</t>
  </si>
  <si>
    <r>
      <t>830.106.121-0</t>
    </r>
    <r>
      <rPr>
        <u/>
        <sz val="11"/>
        <color indexed="12"/>
        <rFont val="Arial"/>
        <family val="2"/>
      </rPr>
      <t xml:space="preserve">              </t>
    </r>
    <r>
      <rPr>
        <sz val="11"/>
        <color indexed="59"/>
        <rFont val="Arial"/>
        <family val="2"/>
      </rPr>
      <t xml:space="preserve"> </t>
    </r>
  </si>
  <si>
    <t xml:space="preserve">PARA INICIAR </t>
  </si>
  <si>
    <t>PROYECTO. 3.3.1.14.01.05.1157. CONTRATAR LA PRESTACION DE SERVICIOS PARA EJECUTAR EL RECONOCIMIENTO Y APOYO A LAS DINAMICAS SOCIOCULTURALES ,ECONOMICAS Y ORGANIZATIVAS  PARTICULARES DE LOS AFRODESCENDIENTES.</t>
  </si>
  <si>
    <t xml:space="preserve">Selñección Abreviada Menor cuantia </t>
  </si>
  <si>
    <t>013-2014</t>
  </si>
  <si>
    <t xml:space="preserve">MESNUAL - CONTRA EJECUCIÓN. </t>
  </si>
  <si>
    <t xml:space="preserve">Terminado </t>
  </si>
  <si>
    <t>PROYECTO. 3.3.1.14.01.05.1157. REALIZAR INTERVENTORIA TECNICA , ADMINISTRATIVA,FINANCIERA,CONTABLE , SOCIAL Y AMBIENTAL DEL CPS-013 DE 2014 . SUSCRITO CON FUNDIDERC.</t>
  </si>
  <si>
    <t xml:space="preserve">Selección Abreviada mínima Cuantia </t>
  </si>
  <si>
    <t>CIN-19-2014</t>
  </si>
  <si>
    <t>PROYECTO. 3.3.1.14.01.05.1157.INTERVENTORIA ,TECNICA,ADMINISTRATIVA,FINANCIERA ,CONTABLE ,SOCIAL Y AMBIENTAL AL PROYECTO 1157. VINCULANDO 1250 PERSONAS DE LA  LOCALIDAD A TRAVES DE PROCESOS DE PREVENCION DE LA DISCRIMINACION Y EXCLUSION.</t>
  </si>
  <si>
    <t xml:space="preserve">SELECCIÓN ABREVIADA MPINIMA CUANTIA </t>
  </si>
  <si>
    <t>16-05-2014</t>
  </si>
  <si>
    <t>CIN-15-2014</t>
  </si>
  <si>
    <t>LIDA CONSTANZA CUBILLOS HERNANDEZ</t>
  </si>
  <si>
    <t xml:space="preserve">EN EJECUCIÓN </t>
  </si>
  <si>
    <t>REALIZAR LA INTERVENTORIA TECNICA ADMINISTRATIVA, FINANCIERA, CONTABLE, SOCIAL Y AMBIENTAL DEL CONTRATO DE PRESTACION DE SERVICIOS NO 092 DEL 2014, SUSCRITO CON LA FUNDACION DESARROLLO INTEGRAL RECREACION CULTURA "FUNDIDERC" SEGUN CONTRATO DE INTERVENTORIA NUMERO 129 DE 2014.</t>
  </si>
  <si>
    <t>129 de 2014</t>
  </si>
  <si>
    <t>CARLOS FERNANDO LEMUS CASTRO</t>
  </si>
  <si>
    <t>PROYECTO. 3.3.1.14.01.05.1157. ADICIONAR LA INTERVENTORIA TECNICA , ADMINISTRATIVA ,FINANCIERA,CONTABLE ,SOCIAL Y AMBIENTAL AL PROYECTO 1157 . SANTA FE REDUCE LA DISCRIMINACION Y LA SEGREGACION SOCIAL.</t>
  </si>
  <si>
    <t>Contrato de prestación de servicios DE APOYO A LA GESTION</t>
  </si>
  <si>
    <t>CPS-112/2014</t>
  </si>
  <si>
    <t xml:space="preserve">mesnual </t>
  </si>
  <si>
    <t>AUNAR ESFUERZOS TECNICOS, ADMINISTRATIVOS Y FINANCIEROS PARA DESARROLLAR ACCIONES DE ATENCIÓN TERAPEUTICA, PREVENCION Y RECONSTRUCCION SOCIAL A FAMILIAS VICTIMAS DE CONFLICTOS JUVENILES Y VIOLENCIA POR DISCRIMINACION O QUE SE ENCUENTREN EN RIESGO FRENTE A ESTE TIPO DE VIOLENCIAS EN LA  LOCALIDAD DE SANTA FE SEGUN CONVENIO DE ASOCIACION 125 DE 2014.</t>
  </si>
  <si>
    <t>125 de 2014</t>
  </si>
  <si>
    <t>REALIZAR INTERVENTORIA TECNICA ADMINISTRATIVA FINANCIERA CONTABLE SOCIAL Y AMBIENTAL DEL PROYECTO NO  1157 SANTA FE REDUCE LA DISCRIMINACION Y LA SEGREGACION SOCIAL PARA ESTABLECER TRANSFORMACIONES EN TERMINOS DE DESARROLLAR ACCIONES DE ATENCION TERAPEUTICA PREVENCION Y RECONSTRUCCION SOCIAL A FAMILIAS VICTIMAS DE VIOLENCIA POR DISCRIMINACION O QUE SE ENCUENTREN EN RIESGO FRENTE A ESTE TIPO DE VIOLENCIAS EN LA LOCALIDAD DE SANTA FE, PARA CONTRIBUIR AL RESTABLECIMIENTO DE SUS DERECHOS VIGENCIA 2014 SEGUN OFICIO NUMERO 2014-032-0010253 DE FECHA NOVIEMBRE 4 DE 2014.</t>
  </si>
  <si>
    <t>131 de 2014</t>
  </si>
  <si>
    <t>JUAN MANUEL PEREZ FONSECA</t>
  </si>
  <si>
    <t>PROYECTO. 3.3.1.14.01.08.1161. INTERVENTORIA TECNICA,ADMIMNISTRATIVA,CONTABLE ,SOCIAL,AMBIENTAL Y FINANCIERA AL CONTRATO QUE SE DERIVE DEL PROYECTO 1161, CORREDORES CULTURALES.</t>
  </si>
  <si>
    <t>EL CONTRATISTA SE OBLIGA A PRESTAR LOS SERVICIOS PARA LA IMPLEMENTACION DEL CORREDOR CULTURAL DE LA LOCALIDAD DENTRO DEL MARCO DEL PROYECTO No 1161 PROGRAMAS CULTURALES PARA TODOS Y TODA</t>
  </si>
  <si>
    <t>FUNDACION CAMINO VERDE ONG SOCIAL CULTURAL Y AMBIENTAL - FUNDCAVE</t>
  </si>
  <si>
    <t>REALIZAR LA INTERVENTORIA TECNICA ADMINISTRATIVA Y FINANCIERA AL CONTRATO DE PRESTACION DE SERVICIOS QUE SE DERIVE DEL PROYECTO No 1161 PROGRAMAS CULTURALES PARA TODOS Y TODAS COMPONENTE CORREDORES CULTURALES, DE CONFORMIDAD CON LOS ESTUDIOS PREVIOS Y EL PLIEGO DE CONDICIONES, DOCUMENTO QUE FORMAN PARTE INTEGRAL DEL PROCESO</t>
  </si>
  <si>
    <t>PROYECTO. 3.3.1.14.01.08.1161. AUNAR ESFUERZOS TECNICOS,ADMINISTRATIVOS,FINANCIEROS Y HUMANOS PARA LA ARTICULACION DE LA OFERTA CULTURAL Y TURISTICA DE LA LOCALIDAD DE SANTA FE. A TRAVES DE LA FORMULACION E IMPLEMENTACION DE RECORRIDOS GUIADOS Y SUS CORREDORES CULTURALES NATURALES, SEGUN SOLICITUD EFECTUADA BAJO EL NUMERO DE RADICACION 2014-032-0011783 DE FECHA 02-12-2014, FIRMADA POR EL ALCALDE LOCAL .</t>
  </si>
  <si>
    <t>148 de 2014</t>
  </si>
  <si>
    <t>ASOCIACION DE GUIAS DE TURISMO PROFESIONALES DE BOGOTA REGION</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</si>
  <si>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 DE ACUERDO A SOLICITUD EFECTUADA BAJO EL NUMERO DE RADICACION 2014-032-0013153 DE FECHA 29-12-2014, FIRMADA POR EL ALCALDE LOCAL.</t>
  </si>
  <si>
    <t>168 de 2014</t>
  </si>
  <si>
    <t>adición al CPS 051 de 2013</t>
  </si>
  <si>
    <t>PROYECTO. 3.3.1.14.01.08.1161, INTERVENTORIA TECNICA,ADMINISTRATIVA Y FINANCIERA AL CPS-QUE DERIVE DEL PROYECTO 1161 , COMPONENTE "EVENTOS LOCALES HIP-HOP -DIVERSIDAD.</t>
  </si>
  <si>
    <t>3. CULTURA</t>
  </si>
  <si>
    <t>CIN-164-2012</t>
  </si>
  <si>
    <t>PROYECTO. 3.3.1.14.01.08.1161. REALIZAR LA INTERVENTORIA TECNICA ,ADMINISTRATIVA Y FINANCIERA AL CONVENIO DE ASOCIACION QUE SE DERIVE DEL PROYECTO 1165. COMPONENTE "EVENTOS CULTURALES Y ARTISTICOS - FESTIVAL DE LA CHICHA,EL MAIZ LA VIDA Y LA DICHA 2013".</t>
  </si>
  <si>
    <t>PROYECTO. 3.3.1.14.01.08.1161. EJECUCION DE LA FIESTA DE BOGOTA, PROGRAMAS CULTURALES PARA TODAS Y TODOS.</t>
  </si>
  <si>
    <t>ADICIÓN REALIZAR LA INTERVENTORIA TECNICA ADMINISTRATIVA Y FINANCIERA AL CONTRATO DE PRESTACION DE SERVICIOS QUE SE DERIVE DEL PROYECTO No 1161 "PROGRAMAS CULTURALES PARA TODOS Y TODAS COMPONENTE EVENTOS LOCALES (CELEBRACION DE DIA DISCAPACIDAD, FESTIVAL DE LA ALEGRIA Y DIA COMUNAL), DE CONFORMIDAD CON LOS ESTUDIOS PREVIOS Y EL PLIEGO DE CONDICIONES DOCUMENTOS QUE FORMAN PARTE INTEGRAL DEL PROCESO</t>
  </si>
  <si>
    <t>PROYECTO. 3.3.1.14.01.08.1161. INTERVENTORIA TECNICA,ADMINISTRATIVA,CONTABLE,SOCIAL,AMBIENTAL Y FINANCIERA AL CONTRATO QUE SE DERIVE DEL PROYECTO 1161. CELEBRACIONES DIA DE LA DISCAPACIDAD ,FESTIVAL DE LA ALEGRIA Y DIA COMUNAL.</t>
  </si>
  <si>
    <t>13-05-2014</t>
  </si>
  <si>
    <t>28-02-2014</t>
  </si>
  <si>
    <t>CIN-008-2014</t>
  </si>
  <si>
    <t>MARCELA VELASQUEZ SAENZ</t>
  </si>
  <si>
    <t>REALIZAR LA INTERVENTORIA TECNICA ADMINISTRATIVA Y FINANCIERA AL CONTRATO DE PRESTACION DE SERVICIOS QUE SE DERIVE DEL PROYECTO No 1161 "PROGRAMAS CULTURALES PARA TODOS Y TODAS"  COMPONENTE " EVENTOS LOCALES  (CELEBRACION DE  AFROCOLOMBIANIDAD, ADULTOMAYOR Y CAMPESINO ) DE CONFORMIDAD CON LOS ESTUDIOS PREVIOS Y EL PLIEGO DE CONDICIONES DOCUMENTOS QUE FORMAN PARTE INTEGRAL DEL PROCESO.</t>
  </si>
  <si>
    <t>171 de 2014</t>
  </si>
  <si>
    <t>EL CONTRATISTA SE OBLIGA PARA CON EL FONDO DE DESARROLLO LOCAL A PRESTAR SUS SERVICIOS PARA LA EJECUCION DE EVENTOS CULTURALES LOCALES EN EL MARCO DEL PROYECTO 1161 PROGRAMAS CULTURALES PARA TODOS Y TODAS DE CONFORMIDAD CON LOS ESTUDIOS PREVIOS Y EL PLIEGO DE CONDICIONES DOCUMENTOS QUE FORMAN PARTE INTEGRAL DEL PROCESO</t>
  </si>
  <si>
    <t>107 de 2014</t>
  </si>
  <si>
    <t>PROYECTO. 3.3.1.14.01.08.1161. REALIZACION DEL FESTIVAL DE LA CHICHA ,EL MAIZ,LA DICHA Y LA VIDA ,PROGRAMAS CULTURALES PARA TODAS Y TODOS.</t>
  </si>
  <si>
    <t>106 de 2014</t>
  </si>
  <si>
    <t>REALIZAR LA INTERVENTORIA TECNICA ADMNISTRATIVA FINANCIERA, CONTABLE SOCIAL Y AMBIENTAL AL CONTRATO DE PRESTACION DE SERVICIOS No 106-2014 CUYO OBJETO ES: EL CONTRATISTA SE OBLIGA A PRESTAR LOS SERVICIOS PARA LA REALIZACION DEL FESTIVAL DE LA CHICHA, EL MAIZ, LAVIDA Y LA DICHA QUE PERMITA RESCATAR Y FORTALECER LA CULTURA POPULAR. EN EL MARCO DEL PROYECTO No 1161  PROGRAMAS CULTURALES PARA TODAS Y TODOS</t>
  </si>
  <si>
    <t>120 de 2014</t>
  </si>
  <si>
    <t>AUNAR ESFUERZOS TECNICOS, ADMINISTRATIVOS Y FINANCIEROS CON EL FIN DE CONMEMORAR EL FESTIVAL DE INTEGRACION Y DIA COMUNAL SEGUN SOLICITUD CON NUMERO DE RADICADO 2014-032-0010943 DE FECHA 19-11-2014 FIRMADA POR EL ALCALDE LOCAL.</t>
  </si>
  <si>
    <t>84 de 2014</t>
  </si>
  <si>
    <t>EL CONTRATISTA SE OBLIGA CON EL FONDO DE DESARROLLO LOCAL DE SANTA FE A REALIZAR LA INTERVENTORIA TECNICA, ADMINISTRATIVA, FINANCIERA, CONTABLE, SOCIAL Y AMBIENTAL AL CONVENIO DE ASOCIACION NO. 84 DE 2014, CUYO OBJETO ES "AUNAR ESFUERZOS TECNICOS, ADMINISTRATIVOS, FINANCIEROS Y HUMANOS CON EL FIN DE CONMEMORAR EL FESTIVAL DE INTEGRACION Y DIA COMUNAL". DE ACUERDO A LOS LINEAMIENTOS Y PARAMETROS ESTABLECIDOS EN LOS ESTUIDIOS PREVIOS, LA PROPUESTA PRESENTADA POR EL CONTRATISTA, LOS CUALES FORMAN PARTE INTEGRAL DEL CONTRATO, SEGUN SOLICITUD EFECTUADA CON FECHA 03-12-2014 CON RADICADO NUMERO 2014.032.00-11973 FIRMADA POR EL ALCALDE LOCAL.</t>
  </si>
  <si>
    <t>145 de 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</si>
  <si>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 SEGUN SOLICITUD EFECTUADA BAJO EL NUMERO DE RADICACION 2014-032-0011993 DE FECHA DICIEMBRE 3 DE 2014, FIRMADA POR EL ALCALDE LOCAL.</t>
  </si>
  <si>
    <t>150 de 2014</t>
  </si>
  <si>
    <t>IVAN OVALLE FUNDACION PARA LA DANZA</t>
  </si>
  <si>
    <t>AUNAR ESFUERZOS TÉCNICOS ADMINISTRATIVOS Y FINANCIEROS PARA  LA REALIZACIÓN DEL EVENTO ¿FIESTA NAVIDEÑA LOCAL 2014¿, CON PARTICIPACIÓN ACTIVA DE LA COMUNIDAD QUE PERMITA LA INTEGRACIÓN Y COMUNICACIÓN ENTRE LOS DISTINTOS GRUPOS POBLACIONALES,  DE ACUERDO A SOLICITUD EFECTUADA BAJO EL NUMERO DE RADICACION 201403200-12-333 DE FECHA 10-12-2014, FIRMADA POR EL ALCALDE LOCAL .</t>
  </si>
  <si>
    <t>153 de 2014</t>
  </si>
  <si>
    <t>CONTRATAR LA REALIZACIÓN DE LA CELEBRACIÓN DÍA DEL CAMPESINO DE LA LOCALIDAD DE SANTA FE CON LA LOGÍSTICA, MONTAJE Y SUMINISTRO DE RECURSOS HUMANOS Y MATERIALES DE CONFORMIDAD CON  LA  FORMULACIÓN  DEL  PROYECTO  1161 DE  2013  COMPONENTE EVENTOS  CULTURALES  Y ARTÍSTICOS". DE ACUERDO A SOLICITUD EFECTUADA BAJO EL NUMERO DE RADICACION 2014.032.0012673 DE FECHA DICIEMBRE 17 DE 2014, FIRMADA POR EL ALCALDE LOCAL.</t>
  </si>
  <si>
    <t>160 de 2014</t>
  </si>
  <si>
    <t>CORPORACION AGROINDUSTRIAL A ESCALA HUAMANA CORHUMANA</t>
  </si>
  <si>
    <t>CONTRATAR LA REALIZACION DEL FESTIVAL DE HIP ¿ HOP DE LA LOCALIDAD CON LA LOGISTICA, MONTAJE Y SUMINISTRO DE RECURSOS HUMANOS Y MATERIALES DE CONFORMIDAD CON LA FORMULACION DEL PROYECTO 1161 DE 2013, COMPONENTE ¿EVENTOS CULTURALES Y ARTIISTICOS¿ Y LA REALIZACION, ACOMPAÑAMIENTO Y FORMACION.  DE ACUERDO A SOLICITUD EFECTUADA BAJO EL NUMERO DE RADICACION 2014-032-0012703 DE FECHA DICIEMBRE 17 DE 2014, FIRMADA POR EL ALCALDE LOCAL.</t>
  </si>
  <si>
    <t>163 de 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</si>
  <si>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 DE ACUERDO A SOLICITUD EFECTUADA CON FECHA 16-12-2014 CON RADICADO NUMERO 2014.032.0012623 FIRMADA POR EL ALCALDE LOCAL.</t>
  </si>
  <si>
    <t>159 de 2014</t>
  </si>
  <si>
    <t>REALIZAR LA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COMPONENTE ¿EVENTOS CULTURALES  Y ARTÍSTICOS.  SEGUN SOLICITUD EFECTUADA BAJO EL NUMERO DE RADICACION 2014-032-00-13163 DE FECHA DICIEMBRE 29 DE 2014, FIRMADA POR EL ALCALDE LOCAL.</t>
  </si>
  <si>
    <t>177 de 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</si>
  <si>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 DE ACUERDO A LA SOLICITUD EFECTUADA BAJO EL NUMERO DE RADICACION 2014-032-0013183 DE FECHA DICIEMBRE 29 DE 2014, FIRMADA POR EL ALCALDE LOCAL.</t>
  </si>
  <si>
    <t>178 de 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</si>
  <si>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 DE ACUERDO A SOLICITUD EFECTUADA BAJO EL NUMERO DE RADICACION 2014-032-0013213 DE FECHA DICIEMBRE 29 DE 2014, FIRMADA POR EL ALCALDE LOCAL.</t>
  </si>
  <si>
    <t>180 de 2014</t>
  </si>
  <si>
    <t>ADICION 001 AL CIN-145-2014:     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 DE ACUERDO A SOLICITUD EFECTUADA BAJO EL NUMERO DE RADICADO 2014-032-0013-393 DE FECHA DICIEMBRE 31 DE 2014, FIRMADA POR EL ALCALDE LOCAL.</t>
  </si>
  <si>
    <t>ADICION 001 CONVENIO DE ASOCIACIÓN 084 DE 2014:   AUNAR ESFUERZOS TÉCNICOS, ADMINISTRATIVOS, FINANCIEROS Y HUMANOS  CON EL FIN DE CONMEMORAR EL FESTIVAL DE INTEGRACIÓN Y DÍA COMUNAL, DE ACUERDO A SOLICITUD EFECTUAD BAJO EL NUMERO DE RADICACION 2014-032-0013-373 DE FECHA DICIEMBRE 31 DE 2014, FIRMADA POR EL ALCALDE LOCAL.</t>
  </si>
  <si>
    <t>PROYECTO. 3.3.1.14.01.08.1163. PRESTAR LOS SERVICIOS A LA EJECUCION DEL PROYECTO 1163. COMPONENTE , ACONDICIONAMIENTO FISICO PARA EL ADULTO MAYOR.</t>
  </si>
  <si>
    <t>05-05-2014</t>
  </si>
  <si>
    <t>PROYECTO . 3.3.1.14.01.08.1163. INTERVENTORIA TECNICA,ADMINISTRATIVA ,FINANCIERA , CONTABLE,SOCIAL Y AMBIENTAL DEL CPS-12-2014.</t>
  </si>
  <si>
    <t>28-05-2014</t>
  </si>
  <si>
    <t>LUIS HERNANDO GUARIN GAMBOA</t>
  </si>
  <si>
    <t>PRESTAR LOS SERVICIOS A LA EJECICION DEL PROYECTO 1163 EN SU COMPONENTE " ACONDICIONAMIENTO FISICO PARA EL ADULTO MAYOR"</t>
  </si>
  <si>
    <t>FOMENTAR LA PRACTICA DE ACTIVIDADES RECREODEPORTIVAS NO TRADICIONALES EN 500 NIÑOS, JOVENES, ADULTOS  Y ADULTOS MAYORES DE LA LOCALIDAD DE SANTA FE, ENMARCADO EN EL PROYECTO NO 1163 DEL 2014 COMPONENTE ECOAVENTURA 2014 SEGUN CONVENIO DE ASOCIACION 127 DE 2014.</t>
  </si>
  <si>
    <t>REALIZAR LA INTERVENTORIA TECNICA ADMNISTRATIVA FINANCIERA, CONTABLE SOCIAL Y AMBIENTAL AL CONVENIO DE ASOCIACION QUE SE DERIVE DEL PROYECTO 1163 EJERCICIO DE LAS LIBERTADES CULTURALES Y DEPORTIVAS. COMPONENTE " ESCUELAS DE FORMACIN DEPORTIVA" SEGUN OFICIO NUMERO 2014-032-0010503 DE FECHA NOVIEMBRE 7 DE 2014.</t>
  </si>
  <si>
    <t>AUNAR ESFUERZOS TECNICOS ADMINISTRATIVOS Y FINANCIEROS PARA EJECUTAR LAS ACTIVIDADES PLANTEADAS EN EL PROYECTO 1163 SANTA FE MAS ACTIVA Y DINAMIC, COMPONENTE: ESCUELAS DE FORMACION DEPORTIVA SEGUN OFICIO CON RADICADO NUMERO 2014-032-0010493 DE FECHA NOVIEMBRE 7 DE 2014.</t>
  </si>
  <si>
    <t>REALIZAR LA INTERVENTORIA TECNICA, ADMINISTRATIVA Y FINANCIERA AL CONVENIO DE ASOCIACION QUE SE DERIVE DEL PROYECTO 1163 "EJERCICIO DE LAS LIBERTADES CULTURALES Y DEPORTIVAS". COMPONENTE: ECOAVENTURA 2014. DE ACUERDO A SOLICITUD EFECTUADA BAJO EL NUMERO DE RADICADO 2014.032.00.11623 DE FECHA 28-11-2014, FIRMADA POR EL ALCALDE LOCAL.</t>
  </si>
  <si>
    <t>DOLORES  BALDRICH ROJAS</t>
  </si>
  <si>
    <t>AUNAR ESFUERZOS TECNICOS, ADMINISTRATIVOS, FINANCIEROS, AMBIENTALES Y SOCIALES CON LA FINALIDAD DE GENERAR UN ADECUADO APROVECHAMIENTO DEL TIEMPO LIBRE EN LOS NIÑOS Y NIÑAS DE LA LOCALIDAD QUE LOS COMPROMETA EN LA FORMACION DE VALORES Y HABITOS DE APROVECHAMIENTO SANO Y CONSTRUCTIVO DEL TIEMPO LIBRE, DE ACUERDO A SOLICITUD RADICADA BAJO EL NUMERO 2014-032-0012153  DE FECHA 05-12-2014, FIRMADA POR EL ALCALDE LOCAL.</t>
  </si>
  <si>
    <t>REALIZAR LA INTERVENTORÍA TÉCNICA, ADMINISTRATIVA Y FINANCIERA, CONTABLE, SOCIAL Y AMBIENTAL AL CONVENIO DE ASOCIACIÓN QUE SE DERIVE DEL PROYECTO 1163 EJERCICIO DE LAS LIBERTADES CULTURALES Y DEPORTIVAS. COMPONENTE ¿VACACIONES RECREATIVAS¿. SEGUN SOLICITUD EFECTUADA BAJO EL NUMERO DE RADICACION 2014-032-00-12563 DE FECHA 15-12-2014, FIRMADA POR  EL ALCALDE LOCAL.</t>
  </si>
  <si>
    <t>GLORIA JOHANNA PULIDO RUBIO</t>
  </si>
  <si>
    <t>PROYECTO. 3.3.1.14.01.08.1161. REALIZAR INTERVENTORIA TECNICA , ADMINISTRATIVA ,FINANCIERA ,CONTABLE SOCIAL Y AMBIENTAL AL CONVENIO RESULTANTE PARA EJECUTAR EL PROYECTO 1161. FORMACION INTEGRAL CON EL OBJETO DE DAR CONTINUIDAD Y FORTALECER LA ORQUESTA FILARMONICA JUVENIL DE LA LOCALIDAD.</t>
  </si>
  <si>
    <t xml:space="preserve">Una mensualidades vencidas de DOS MILLONES DE PESOS  M/CTE ($2.000.000,00), La cual incluye todos los impuestos, tasas y contribuciones a que tenga lugar, previa entrega de los siguientes documentos: </t>
  </si>
  <si>
    <t>terminado</t>
  </si>
  <si>
    <t>PROYECTO. 3.3.1.14.01.08.1161.REALIZAR INTERVENTORIA TECNICA , ADMINISTRATIVA Y FINANCIERA ,CONTABLE,SOCIAL Y AMBIENTAL AL CONVENIO RESULTANTE DEL PROYECTO 1161 . FORMACION MUSICAL ,INSTRUMENTAL , PRACTICVA ORQUESTAL Y/O CORAL DE LA LOCALIDAD DE SANTA FE ,PARA DAR CONTINUIDAD Y FORTALECER LA ORQUESTA FILARMONICA JUVENIL .</t>
  </si>
  <si>
    <t>PROYECTO. 3.3.1.14.01.08.1161. AUNAR ESFUERZOS TECNICOS ,ADMINISTRATIVOS,FINANCIEROS Y HUMANOS PARA BRINDAR A LAS NIÑAS , NIÑOS Y JOVENES DE LA LOCALIDAD ESCOLARIZADOS Y DESESCOLARIZADOS ENTRE LOS SIETE Y VEINTE AÑOS DE EDAD QUE HAYAN PARTICIPADO EN FORMACION MUSICAL ,PARA DAR CONTINUIDAD Y FORTALECER LA ORQUESTA FILARMONICA JUVENIL DE LA LOCALIDAD.</t>
  </si>
  <si>
    <t>Forma de pago: El valor del contrato se cancelara de la siguiente forma: 1. El ochenta (80%) por ciento del valor del contrato de forma mensual y porcentual acorde a las actividades desarrolladas y soportadas técnica y financieramente durante el mes de ejecución y ese será el valor a cancelar en el mes. 2. El veinte (20%) por ciento del valor del contrato junto con el acta de liquidación del contrato, el contratista deberá soportar la ejecución del contrato. Previa presentación de los siguientes documentos:</t>
  </si>
  <si>
    <t xml:space="preserve">800 078 560-0               </t>
  </si>
  <si>
    <t xml:space="preserve">EN Ejecución </t>
  </si>
  <si>
    <t>PROYECTO. 3.3.1.14.01.08.1161.AUNHAR ESFUERZOS TECNICOS,ADMINISTRATIVOS,FINANCIEROS Y HUMANOS PARA BRINDAR FORMACION MUSICAL CON EL OBJETO DE DAR CONTINUIDAD Y BFORTALECER LA ORQUESTA FILARMONICA JUVENIL DE LA LOCALIDAD.</t>
  </si>
  <si>
    <t>5 mESES</t>
  </si>
  <si>
    <t>CAS-103-2014</t>
  </si>
  <si>
    <t>EL CONTRATISTA SE OBLIGA CON EL FONDO DE DESARROLLO A REALIZAR LA INTERVENTORIA TECNICA ADMINISTRTAIVA FINANCIERA CONTABLE SOCIAL Y AMBIENTAL DEL CONVENIO DE ASOCIACION No 103 DEL 2014 CELEBRADO ENTRE EL FONDO DE DESARROLLO LOCAL DE SANTA FE Y LA COOPERATIVA COOFILARMONICA EL CUAL EJECUTARA EL PROYECTO No 1161 CULTURA PARA TODAS Y TODOS EN SU COMPONENTE FORMACION MUSICAL ORQUESTA FILARMONICA DE SANTA FE DE CONFORMIDAD CON LAS CONDICIONES SEÑALADAS EN LOS ESTUDIOS PREVIOS Y LA PRESENTE INVITACON, DOCUMENTOS QUE FORMAN PARTE INTEGRAL DEL PROCESO.</t>
  </si>
  <si>
    <t>111 de 2014</t>
  </si>
  <si>
    <t>ADICION Y PRORROGA AL CONTRATO DE PRESTACION DE SERVICIOS NUMERO 178 DE 2013, CUYO OBJETO ES: EJECUTAR ACTIVIDADES ENCAMINADAS A LA RECUPERACION DE LOS ESPACIOS DEL AGUA EN EL TERRITORIO QUE ADMINISTRATIVAMENTE CORRESPONDE A LA LOCALIDAD DE SANTA FÉ, MEDIANTE ACCIONES DE MEJORAMIENTO INTEGRAL PARA APORTAR AL CUMPLIMIENTO DE LAS METAS DEL PLAN DE DESARROILLO LOCAL SANTA FE CENTRO DE TODOS Y TODAS Y EN PARTICULAR LAS DEL PROYECTO "SANTA FE SE ORDENA ALREDEDOR DEL AGUA" EN SU COMPONENTE DE "RECUPERACION DE RIOS Y QUEBRADAS"  DE ACUERDO A SOLICITUD EFECTUADA BAJO EL NUMERO DE RADICACION 2014-032-00-11683 DE FECHA 28-11-2014, FIRMADA POR EL ALCALDE LOCAL</t>
  </si>
  <si>
    <t>Adición al CPS 146 de 2013</t>
  </si>
  <si>
    <t>PRESTAR EL SERVICIO DE RECUPERACION, REHABILITACION Y RESTAURACION DE LA ESTRUCTURA ECOLÓGICA PRINCIPAL Y DE LOS ESPACIOS DE AGUA EN AL VEREDA DEL VERJÓN DE LA LOCALIDAD DE SA NTA FE</t>
  </si>
  <si>
    <t>CPS 89/2014</t>
  </si>
  <si>
    <t>PROYECTO.3.3.1.14.02.17.1165. REALIZAR INTERVENTORIA TECNICA,ADMINISTRATIVA,FINANCIERA,CONTABLE,SOCIAL Y AMBIENTAL AL PROYECTO 1165. MEDIANTE ASISTENCIA TECNICA ,ARMONIZADA CON EL DESARROLLO SOSTENIBLE.</t>
  </si>
  <si>
    <t>CIN-007-2014</t>
  </si>
  <si>
    <t>GUSTAVO ADOLFO RESTREPO YEPES</t>
  </si>
  <si>
    <t>PROYECTO. 3.3.1.14.02.19.1168. CUMPLIMIENTO DE LA SENTENCIA PROFERIDA POR EL CONSEJO DE ESTADO ,EN EL PROCESO DE ACCION DE NULIDAD Y RESTABLECIMINETO DEL DERECHO 25000-23-26-000-1998-1360-01.A FAVOR DEL SEÑOR HORACIO MENDOZA MARTINEZ.OFICIO SECRETARIA DE GOBIERNO - OFICIMNA ASESORA JURIDICA.</t>
  </si>
  <si>
    <t>HORACIO FRANCISCO MENDOZA MARTINEZ</t>
  </si>
  <si>
    <t>PROYECTO. 3.3.1.14.02.19.1168. PRESTAR LOS SERVICIOS PARA EJECUTAR EL PROYECTO . 1168 , COMPONENTE " INTERVENTORIA TECNICA , ADMINISTRATIVA ,JURIDICA,ADMINISTRATIVA , CONTABLE Y AMBIENTAL AL CONTRATO QUE RESULTE DE LA LICITACION DE OBRA PUBLICA Nop. 001 DE 2014 , DIAGNOSTICO,DISEÑO,MANTENIMIENTO Y REHABILITACION DE LA MALLA VIAL Y ANDENES EN LA LOCALIDAD DE SANTA FE.</t>
  </si>
  <si>
    <t>CIN-100/2014</t>
  </si>
  <si>
    <t>CODIPRO INGENIERIA Y ARQUITECTURA LTDA CONSTRUCCIONES DISEÑOS Y PROYECTOS S</t>
  </si>
  <si>
    <t>PROYECTO. 3.3.1.14.02.19.1168. PRESTAR LOS SERVICIOS PARA EJECUTAR EL PROYECTO 1168 , COMPONENTE " SELECCIONAR AL CONTRATISTA QUE REALICE A PRECIOS UNITARIOS FIJOS SIN FORMULA DE RAJUSTE ,EL DIAGNOSTICO,DISEÑO,MANTENIMIENTO Y REHABILITACION DE LA MALLA VIAL Y ANDENES EN LA LOCALIDAD DE SANTA FE.</t>
  </si>
  <si>
    <t>COP-99/2014</t>
  </si>
  <si>
    <t>UNION TEMPORAL MALLA VIAL Y ANDENES 2014</t>
  </si>
  <si>
    <t>3 meses 15 dias</t>
  </si>
  <si>
    <t>PROYECTO. 3.3.1.14.02.19.1168 . PRESTAR LOS SERVICIOS PARA EJECUTAR EL PROYECTO. 1168 ,COMPONENTE " SELECCIONAR AL CONTRATISTA QUE REALICE A PRECIOS UNITARIOS FIJOS SIN FORMULA DE JUICIO DE REAJUSTE , EL DISEÑO Y LAS OBRAS DE CONSTRUCCION ,ADECUACION Y MANTENIMIENTO DE PARQUES DE LA LOCALIDAD DE SANTA FE.</t>
  </si>
  <si>
    <t>Contrato de Obra PUBLICA</t>
  </si>
  <si>
    <t>COP-98/2014</t>
  </si>
  <si>
    <t>CONSTRUCCIONES MASTER &amp; CIA. LTDA.</t>
  </si>
  <si>
    <t>ADICION Y PRORROGA NUMERO 01 AL CONTRATO DE OBRA PUBLICA NUMERO 098 DE 2014, SUSCRITO ENTRE EL FONDO DE DESARROLLO LOCAL DE SANTA FE Y CONSTRUCCIONES MASTER  &amp; CIA LTDA.</t>
  </si>
  <si>
    <t>CONSTRUCCIONES MASTER &amp; CIA. LTDA</t>
  </si>
  <si>
    <t>PROYECTO. 3.3.1 14. 02.19.1168. PRESTAR LOS SERVICIOS PARA EJECUTAR EL PROYECTO 1168 , COMPONENTE " INTERVENTORIA TECNICA , ADMINISTRATIVA ,JURIDICA ,  FINANCIERA , CONTABLE Y AMBIENTAL AL CONTRATO QUE RESULTE DE LA LICITACIO DE OBRA PUBLICA No. 002DE 2014 , DISEÑO Y OBRAS DE CONSTRUCCION ,ADECUACION . MANTENIMIENTO DE PARQUES DE LA LOCALIDAD DE SANTA FE.</t>
  </si>
  <si>
    <t>CIN-102/2014</t>
  </si>
  <si>
    <t>EL CONTRATISTA SE OBLIGA CON EL FSL DE SANTA FE A PRESTAR LOS SERVICIOS PARA EJECUTAR EL PROYECTO NO 1168 DENOMINADO " MEJORAMIENTO Y RECUPERACION DEL ESPACIO PUBLICO LOCAL" EN EL SUBCOMPONENTE EL FDL DE SANTA FE ESTA INTERESADO EN SELECCIONAR AL CONTRATISTA QUE REALICE A PRECIOS UNITARIOS FIJOS SIN FORMULA DE REAJUSTE EL DISEÑO Y LAS OBRAS NECESARIAS PARA LA ADECUACION, CONSTRUCCION Y MANTENIMIENTO DE ESCALERAS SENDEROS PEATONALES Y MUROS UBICADOS EN LA LOCALIDAD DE SANTA FE. SEGUN CONTRATO DE OBRA NUMERO 130 DE 2014.</t>
  </si>
  <si>
    <t>130 de 2014</t>
  </si>
  <si>
    <t>ASMI CONSTRUCTORES SAS</t>
  </si>
  <si>
    <t>EL CONTRATISTA SE OBLIGA CON EL FONDO DE DESARROLLO LOCAL DE SANTA  FE  A PRESTAR LOS SERVICIOS PARA EJECUTAR EL PROYECTO NO 1168 DENOMINADO " MEJORAMIENTO Y RECUPERACION DEL ESPACIO PUBLICO LOCAL" EN EL SUBCOMPONENTE  EL FONDO DE DESARROLLO LOCAL DE SANTA FE ESTA INTERESADO EN SELECCIONAR AL CONTRATISTA QUE REALICE A PRECIOS UNITARIOS FIJOS SIN FORMULA DE REAJUSTE EL DISEÑO Y LAS OBRAS NECESARIAS PARA LA ADECUACION, CONSTRUCCION Y MANTENIMIENTO DE ESCALERAS, SENDEROS PEATONALES Y MUROS UBICADOS EN LA LOCALIDAD DE SANTA FE SEGUN CONTRATO DE OBRA 130 DE 2014.</t>
  </si>
  <si>
    <t>REALIZAR LA INTERVENTORIA TECNICA, ADMINISTRATIVA, FINANCIERA Y AMBIENTAL AL CONTRATO QUE RESULTE DEL PROCESO LICITATORIO NO. FDLSF 003 DE 2014 CUYO OBJETO ES "EL FONDO DE DESARROLLO LOCAL DE SANTA FE REQUIERE SELECCIONAR EL CONTRATISTA QUE REALIZARA A PRECIOS UNITARIOS FIJOS SIN FORMULA DE REAJUSTE, EL DISEÑO,  Y LAS OBRAS NECESARIAS PARA LA ADECUACION, CONSTRUCCIÓN Y MANTENIMIENTO DE ESCALERAS, SENDEROS PEATONALES Y MUROS DE CONTENCION,  UBICADOS EN LA LOCALIDAD DE SANTA FE EN BOGOTA D.C., DE CONFORMIDAD CON LA DESCRIPCION, ESPECIFICACIONES Y DEMAS CONDICIONES ESTABLECIDAS EN LOS ESTUDIOS  PREVIOS, PLIEGO DE CONDICIONES, LOS APENDICES, ANEXOS Y LAS CONSIGNADAS EN EL ANEXO TECNICO GENERAL, DOCUMENTOS QUE HACEN PARTE INTEGRAL DEL PRESENTE PROCESO DE ACUERDO A SOLICITUD EFECTUADA BAJO EL NUMERO DE RADICACION 2014-032-0011583 DE FECHA 28-11-2014, FIRMADA POR EL ALCALDE LOCAL.</t>
  </si>
  <si>
    <t>144 de 2014</t>
  </si>
  <si>
    <t>ARENAS DE LA HOZ CONSULTORES S A S</t>
  </si>
  <si>
    <t>ADICION Y PRORROGA 01 AL CONVENIO INTERADMINISTRATIVO Npo 63DE 2013 SUSCRITO ENTRE EL FONDO DE DESARROLLO LOCAL DE SANTA FE Y LA CAJA DE VIVIENDA POPULAR</t>
  </si>
  <si>
    <t>AUNAR ESFUERZOS HUMANOS, ADMINISTRATIVOS, TÉCNICOS Y FINANCIEROS, PARA REALIZAR PROCESOS DE CAPACITACIÓN PARA LA GESTIÓN DE RIESGOS EN LA LOCALIDAD DE SANTA FE, SEGUN SOLICITUD RADICADA BAJO EL NUMERO 2014-032-001-2693 DE FECHA DICIEMBRE 17 DE 2014, FIRMADA  POR EL ALCALDE LOCAL.,</t>
  </si>
  <si>
    <t>162 de 2014</t>
  </si>
  <si>
    <t>FUNDACION TECNOLOGICA COLOMBO GERMANA</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</si>
  <si>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 DE ACUERDO A SOLICITUD EFECTUADA BAJO EL NUMERO DE RADICACION 2014-032-0012853 DE FECHA DICIEMBRE 23 DE 2014, FIRMADA POR EL ALCALDE LOCAL.</t>
  </si>
  <si>
    <t>167 de 2014</t>
  </si>
  <si>
    <t>FORTALECER  AL CONSEJO LOCAL DE GESTION DEL RIESGO Y CAMBIO CLIMATICO DE LA ALCALDIA LOCAL DE SANTA FE  CON EQUIPOS Y ELEMENTOS PARA MEJORAR SU CAPACIDAD OPERATIVA Y DE RESPUESTA ANTE CUALQUIER SITUACION DE EMERGENCIA QUE SE PUEDA PRESENTAR, DE ACUERDO AL PLIEGO, ESPECIFICACIONES Y CANTIDADES DETALLADAS DEL ANEXO TECNICO, DE ACUERDO A SOLICITUD EFECTUADA BAJO EL NUMERO DE RADICACION 2014-032-00-12383 DE FECHA DICIEMBRE 10 DE 2014, FIRMADA POR EL ALCALDE LOCAL.</t>
  </si>
  <si>
    <t>Compraventa</t>
  </si>
  <si>
    <t>122 de 2014</t>
  </si>
  <si>
    <t>INGENIERIA CONTRA INCENDIO Y SEGURIDAD INDUSTRIAL INCOLDEXT LTDA</t>
  </si>
  <si>
    <t>FORTALECER EL CONSEJO LOCAL DE GESTON DEL RIESGO Y CAMBIO CLIMATICO DE LA ALCALDIA LOCAL DE SANTA FE CON EQUIPOS Y ELEMENTOS PARA MEJORAR SU CAPACIDAD OPERATIVA Y DE RESPUESTA ANTE CUALQUIER SITIUACION DE EMERGENCIA QUE SE PUEDA PRESENTAR DE ACUERDO AL PLIEGO, ESPECIFICACIONES Y CANTIDADES DETALLADAS DEL ANEXO TECNICO. SEGUN CONTRATO DE COMPRAVENTA NUMERO 122 DE 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</si>
  <si>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 DE ACUERDO A SOLICITUD EFECTUADA BAJO EL NUMERO DE RADICACION  2014-032-0012813 DE FECHA 22-12-2014, FIRMADA POR EL ALCALDE LOCAL.</t>
  </si>
  <si>
    <t>165 de 2014</t>
  </si>
  <si>
    <t>REALIZAR LA INTERVENTORÍA TÉCNICA, ADMINISTRATIVA Y FINANCIERA AL CONTRATO DE PRESTACIÓN DE SERVICIOS QUE SE DERIVE DEL PROYECTO  NO. 1172 SANTA FE BASURA CERO, DE CONFORMIDAD CON LOS ESTUDIOS PREVIOS Y EL PLIEGO DE CONDICIONES, DOCUMENTOS QUE FORMAN PARTE INTEGRAL DEL PROCESO. SEGUN SOLICITUD EFECTUADA BAJO EL NUMERO DE RADICACION 2014-032-0012843 DE FECHA DICIEMBRE 23 DE 2014, FIRMADA POR EL ALCALDE LOCAL.</t>
  </si>
  <si>
    <t>166 de 2014</t>
  </si>
  <si>
    <t>AUNAR ESFUERZOS TÉCNICOS, ADMINISTRATIVOS Y FINANCIEROS PARA EL DESARROLLO DEL EJERCICIO DE PRESUPUESTOS PARTICIPATIVOS Y LA FORMACIÓN DE LOS Y LAS CIUDADANAS DE LA LOCALIDAD DE SANTA FE, DENTRO DEL MARCO DEL PROYECTO 1177 ¿ LA PARTICIPACIÓN EN EL CENTRO DE TODAS Y TODOS SEGUN SOLICITUD EFECTUADA BAJO EL NUMERO DE RADICADO 2014-032-001-2613 DE FECHA DICIEMBRE 16 DE 2014, FIRMDA POR EL ALCALDE LOCAL.</t>
  </si>
  <si>
    <t>158 de 2014</t>
  </si>
  <si>
    <t>REALIZAR LA INTERVENTORIA TECNICA ADMINISTRATIVA FINANCIERA CONTABLE Y AMBIENTAL AL CONTRATO DE PRESTACION DE SERVICIOS 096/13 SUSCRITO CON LA CORPORACION FUTURO DE COLOMBIA - CORFUTURO, DE CONFORMIDAD CON LAS CONDICIONES ESTABLECIDAS EN LOS ESTUDIOS PREVIOS LA INVITACION Y LA PROPUESTA</t>
  </si>
  <si>
    <t>CONTRATO DE INTERVENTORIA</t>
  </si>
  <si>
    <t>CIN 120/2014</t>
  </si>
  <si>
    <t xml:space="preserve">terminado </t>
  </si>
  <si>
    <t>EL CONTRATISTA SE OBLIGA CON EL FONDO DE DESARROLLO LOCAL DE SANTA FE A PRESTAR LOS SERVICIOS  DE APOYO LOGISTICO, MEDIANTE EQUIPOS, ELEMENTOS, RECURSO HUMANO Y DEMAS REQUERIDO POR LA ENTIDAD, PARA LLEVAR A CABO EL EVENTO DE RENDICION DE CUENTAS DE LA ALCALDIA LOCAL DE SANTA FE DE ACUERDO A SOLICITUD RADICADA BAJO EL NUMERO 2014-032-00-13173 DE FECHA 29-12-2014 FIRMADA POR EL ALCALDE LOCAL.</t>
  </si>
  <si>
    <t>175 de 2014</t>
  </si>
  <si>
    <t>PRODUCCION DE EVENTOS 911 S.A.S</t>
  </si>
  <si>
    <t>PROYECTO. 3.3.1.14.03.24.1177. PRESTAR LOS SERVICIOS PARA EJECUTAR EL PROYECTO 1177 , SUBCOMPONENTE " REALIZAR A PRECIOS UNITARIOS FIJOS SIN FORMULA DE REAJUSTE LAS OBRAS DE ADECUACION Y MANTENIMIENTO DE LOS SALONES COMUNALES DE LA LOCALIDAD DE SANTA FE .</t>
  </si>
  <si>
    <t>19-05-2014</t>
  </si>
  <si>
    <t>COP-152-2012</t>
  </si>
  <si>
    <t>PROYECTO. 3.3.1.14.03.24.1177 , PRESTAR LOS SERVICIOS PARA EJECUTAR EL PROYECTO 1177 , SUBCOMPONENTE CELEBRAR EL CONTRATO DE INTERVENTORIA 174 DE 2013 , PARA EL CONTRATO DE OBRA 177 , CONTRATAR LAS REPARACIONES LOCATIVAS ,MANTENIMIENTO PREVENTIVO Y CORRECTIVO DE LOS EDIFICIOS DONDE FUNCIONAN LAS SEDES DE LA ALCALDIA LOCAL DE SANTA FE.</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</si>
  <si>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 DE ACUERDO A SOLICITUD EFECTUADA BAJO EL NUMERO DE RADICACION NUMERO 2014-032-0013113 DE FECHA DICIEMBRE 24 DE 2014, FIRMADA POR EL ALCALDE LOCAL.</t>
  </si>
  <si>
    <t>176 de 2014</t>
  </si>
  <si>
    <t>GUSTAVO  PALACIOS RUBIANO</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</si>
  <si>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 DE ACUERDO A SOLICITUD EFECTUADA BAJO EL NUMERO DE RADICACION 2014-032-0012863 DE FECHA DICIEMBRE 23 DE 2014, FIRMADA POR EL ALCALDE LOCAL</t>
  </si>
  <si>
    <t>169 de 2014</t>
  </si>
  <si>
    <t>DOTAR 6 SALONES COMUNALES CON ELEMENTOS, MATERIALES Y MOBILIARIO PARA EL DESARROLLO DE LA COMUNIDAD A TRAVÈS DE LA PARTICIPACIÓN E INTEGRACIÒN SOCIAL DE ACUERDO A SOLICITUD EFECTUADA BAJO EL NUMERO DE RADICACION 2014-032-0012993 DE FECHA DICIEMBRE 23 DE 2014, FIRMADA POR EL ALCALDE LOCAL.</t>
  </si>
  <si>
    <t>172 de 2014</t>
  </si>
  <si>
    <t>METALICAS LA INDUSTRIAL LTDA</t>
  </si>
  <si>
    <t>AUNAR ESFUERZOS TECNICOS, ADMINISTRATIVOS, FINANCIEROS Y HUMANOS CON EL FIN DE BRINDAR UN ESPACIO A LA POBLACION DE LA LOCALIDAD TERCERA PARA LA SENSIBILIZACION  Y FORMACION EN DERECHOS HUMANOS", LO CUAL LOGRARA QUE LA POBLACION SE CONCIENTICE Y APROPIE DE LAS NORMAS Y MECANISMOS DE PROTECCION Y PROMOCION DE LOS DERECHOS HUMANOS Y SE CONVIERTAN EN MULTIPLICADORES EN SU ENTORNO DE LOS CONCEPTOS ADQUIRIDOS DENTRO DEL MARCO DEL PROYECTO 1167  "SANTAFE HUMANA LIBRE DE DISCRIMINACION Y VIOLENCIAS", DE ACUERDO A SOLICITUD EFECTUADA BAJO EL NUMERO DE RADICACION 2014-032-0012323 DE FECHA 10-12-2014 FIRMADA POR EL ALCALDE LOCAL.</t>
  </si>
  <si>
    <t>152 de 2014</t>
  </si>
  <si>
    <t>REALIZAR LA INTERVENTORIA TECNICA, ADMINISTRATIVA, FINANCIERA, CONTABLE, SOCIAL, Y AMBIENTAL AL CONTRATO QUE RESULTE DEL PROYECTO 1167 "SANTA FE HUMANA LIBRE DE DISCRIMINACION Y VIOLENCIAS EN SU COMPONENTE "FORMACION EN DERECHOS HUMANOS" DE CONFORMIDAD CON LAS CONDICIONES SEÑALADAS EN LOS ESTUDIOS PREVIOS  Y LA PRESENTE INVITACION, DOCUMENTOS QUE FORMAN PARTE INTEGRAL DEL PROCESO, SEGUN SOLICITUD RADICADA BAJO EL NUMERO 2014-032-0012683 DE FECHA 17-12-2014, FIRMADA POR EL ALCALDE LOCAL.</t>
  </si>
  <si>
    <t>161 de 2014</t>
  </si>
  <si>
    <t>FELIPE ALBERTO PINEDA RUIZ</t>
  </si>
  <si>
    <t>ADQUISICIÓN, INSTALACIÓN Y PUESTA EN FUNCIONAMIENTO DE EQUIPOS DE CÓMPUTO PORTÁTILES Y PERIFÉRICOS PARA LA ALCALDÍA LOCAL DE SANTA FE DE ACUERDO A SOLICITUD EFECTUADA BAJO EL NUMERO DE RADICACION 2014-032-0012993 DE FECHA DICIEMBRE 23 DE 2014, FIRMADA POR EL ALCALDE LOCAL.</t>
  </si>
  <si>
    <t>173 de 2014</t>
  </si>
  <si>
    <t>COLOMBIANA DE SERVICIOS TECNOLOGICOS S A S Y PODRA UTILIZAR</t>
  </si>
  <si>
    <t>PROYECTO. 3.3.1.14.03.27.1167 . CONTRATAR LA PRESTACION DE SERVICIO CON EL FIN DE BRINDAR UN ESPACIO EN LAS INSTITUCIONES EDUCATIVAS DE LA LOCALIDAD  DE SANTA FE , QUE FAVOREZCA LA CONVIVENCIA SOCIAL EN LA COMUNIDAD ESCOLAR.</t>
  </si>
  <si>
    <t>25-06-2014</t>
  </si>
  <si>
    <t>4 MESES</t>
  </si>
  <si>
    <t>CPS-031-2014</t>
  </si>
  <si>
    <t>Forma de pago: El valor del contrato se cancelara de la siguiente forma: 1. El ochenta (80%) por ciento del valor del contrato de forma mensual y porcentual acorde a las actividades desarrolladas y soportadas durante el mes de ejecución y ese será el valor a cancelar en el mes. 2. El veinte (20%) por ciento del valor del contrato junto con el acta de liquidación del contrato, el contratista deberá soportar la ejecución del contrato. Previa presentación de los siguientes documentos:</t>
  </si>
  <si>
    <t xml:space="preserve">900320320 8 </t>
  </si>
  <si>
    <t>PROYECTO. 3.3.1.14.03.27.1167. REALIZAR INTERVENTORIA TECNICA,ADMINISTRATIVA , FINANCIERA,CONTABLE,SOCIAL Y AMBIENTAL AL CONTRATO DEL PROCESO SAMC-023-2014.</t>
  </si>
  <si>
    <t>CIN-050/2014</t>
  </si>
  <si>
    <t>El valor estimado del contrato que se derive del presente proceso de selección, es por la suma de Siete millones seiscientos mil pesos    la cual incluye todos los impuestos, tasas y contribuciones a que tenga lugar, pagaderos en cuatro mensualidades iguales vencidas dentro de los diez (10) días hábiles siguientes a la finalización del respectivo mes de ejecución del contrato, previa presentación de los siguientes documentos:</t>
  </si>
  <si>
    <t>EL CONTRATO QUE SE PRETENDE CELEBRAR TENDRA POR OBJETO PRESTAR SUS SERVICIOS PROFESIONALES EN LA ASESORIA DE OBRAS  DE LA ALCALDIA LOCAL DE SANTA FE  PARA EMITIR CONCEPTOS TECNICOS EN CADA UNA DE LAS CONSTRUCCIONES QUE SE ENCUENTRAN EN LA FRANJA DE ADECUACION Y EN LA ZONA DE RECUPERACION AMBIENTAL UBICADAS DENTRO DE LA RESERVA FORESTAL PROTECTORA,  CON EL FIN DE DAR CUMPLIMIENTO A LA RESOLUCION 223 DEL 20 DE JUNIO DE 2014 POR LA CUAL SE ADOPTA EL PAL DE ACCION PARA EL CUMPLIMIENTO DE LA SENTENCIA PROFERIDA DE ACCION POPULAR No 25000232500020050066203, PARA CUMPLIR CON LA RESPONSABILIDAD ASIGNADA A LA ALCALDIA LOCAL.</t>
  </si>
  <si>
    <t>CONTRATACION DIRECTA</t>
  </si>
  <si>
    <t>CPS-109/2014</t>
  </si>
  <si>
    <t>El Fondo cancelará el valor del contrato en mensualidades vencidas, de, los cuales se pagarán previa programación del PAC y la entrega de los siguientes documentos</t>
  </si>
  <si>
    <t>ERIKA FERNANDA BLANCO QUIMBAYO</t>
  </si>
  <si>
    <t>EL CONTRATO QUE SE PRETENDE CELEBRAR TENDRA POR OBJETO PRESTAR SUS SERVICIOS COMO AUXILIAR ADMINISTRATIVO PARA ELBORAR Y REGISTRAR LOS DOCUMENTOS SOBRE LAS ACTIVIDADES REALIZADAS POR EL ABOGADO DE APOYO Y EL ARQUITECTO DE LAS VISITAS REALIZADAS DE LAS CONSTRUCCIONES QUE SE ENCUENTRAN EN LA FRANJA DE ADECUACION Y EN AL ZONA DE RECUPERACION AMBIENTAL UBICADAS DENTRO DE LA RESERVA FORESTAL PROTECTORA, A FIN DE ELABORAR UN DIAGNOSTICO PARA LA IDENTIFICACION DE LAS CONSTRUCCIONES EXISTENTES CON EL FIN DE DAR CUMPLIMIENTO A LA RESOLUCION 223 DEL 20 DE JUNIO DE 2014 POR LA CUAL SE ADOPTA EL PAL DE ACCION PARA EL CUMPLIMIENTO DE LA SENTENCIA PROFERIDA DE ACCION POPULAR No 25000232500020050066203, PARA CUMPLIR CON LA RESPONSABILIDAD ASIGNADA A LA ALCALDIA LOCAL.</t>
  </si>
  <si>
    <t>CPS-108/2014</t>
  </si>
  <si>
    <t>MIGUEL AUGUSTO FLOREZ ORTIZ</t>
  </si>
  <si>
    <t>EL CONTRATO QUE SE PRETENDE CELEBRAR TENDRA POR OBJETO PRESTAR APOYO JURIDICO  Y ADMINISTRATIVO NECESARIO PARA  DAR CUMPLIMIENTO A LA RESOLUCION 223 DEL 20 DE JUNIO DE 2014 POR LA CUAL SE ADOPTA EL PLAN DE ACCION PARA EL CUMPLIMIENTO DE LA SENTENCIA PROFERIDA DE ACCION POPULAR No 5000232500020050066203, PARA CUMPLIR CON LA RESPONSABILIDAD ASIGNADA A LA ALCALDIA LOCAL.</t>
  </si>
  <si>
    <t>110 de 2014</t>
  </si>
  <si>
    <t>ORIANA  DIAZ SANCLEMENTE</t>
  </si>
  <si>
    <t>PRESTAR SUS SERVICIOS PROFESIONALES   EN LA ASESORÍA DE OBRAS DE LA ALCALDÍA LOCAL DE SANTA FE , PARA EMITIR CONCEPTO TÉCNICOS EN  CADA UNA DE LAS CONSTRUCCIONES  QUE SE ENCUENTRAN  EN LA FRANJA DE ADECUACIÓN  Y EN LA ZONA DE RECUPERACIÓN AMBIENTAL  UBICADAS DENTRO  DE LA RESERVA FORESTAL  PROTECTORA CON EL FIN DE DAR CUMPLIMIENTO A  LA RESOLUCIÓN 223 DEL 20 DE JUNIO DE 2014 POR LA CUAL SE ADOPTA EL PLAN DE  ACCIÓN PARA EL CUMPLIMIENTO DE LA SENTENCIA PROFERIDA DE ACCIÓN POPULAR NO. 25000232500020050066203, PARA CUMPLIR CON LA RESPONSABILIDAD ASIGNADA A LA ALCALDÍA LOCAL. DE ACUERDO A SOLICITUD EFECTUADA BAJO EL NUMERO DE RADICACION 2014-032-00-12263 DE FECHA 09-12-2014 FIRMADA POR EL ALCALDE LOCAL.</t>
  </si>
  <si>
    <t>PRESTAR SUS SERVICIOS PROFESIONALES   EN LA ASESORÍA DE OBRAS DE LA ALCALDÍA LOCAL DE SANTA FE , PARA EMITIR CONCEPTO TÉCNICOS EN  CADA UNA DE LAS CONSTRUCCIONES  QUE SE ENCUENTRAN  EN LA FRANJA DE ADECUACIÓN  Y EN LA ZONA DE RECUPERACIÓN AMBIENTAL  UBICADAS DENTRO  DE LA RESERVA FORESTAL  PROTECTORA¿ CON EL FIN DE DAR CUMPLIMIENTO A  LA RESOLUCIÓN 223 DEL 20 DE JUNIO DE 2014 POR LA CUAL SE ADOPTA EL PLAN DE  ACCIÓN PARA EL CUMPLIMIENTO DE LA SENTENCIA PROFERIDA DE ACCIÓN POPULAR NO. 25000232500020050066203, PARA CUMPLIR CON LA RESPONSABILIDAD ASIGNADA A LA ALCALDÍA LOCAL DE ACUERDO A SOLICITUD EFECTUADA BAJO EL NUMERO DE RADICACION 2014-032-0013-233 DE FECHA DICIEMBRE 29 DE 2014, FIRMADA POR EL ALCALDE LOCAL .</t>
  </si>
  <si>
    <t>ADICION AL CONTRATO DE PRESTACION DE SERVIICIOS  CPS NO 031 DE 2014 CELEBRADO ENTRE EL FDLSF Y LA CORPORACION INNOVA SEGUN OFICIO NUMERO 2014032.0010383 DE FECHA NOVIEMBRE 5 DE 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</si>
  <si>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LOCAL.DE ACUERDO A SOLICITUD EFECTUADA BAJO EL NUMERO DE RADICACION 2014032-.00-12263 DE FECHA 09-12-2014 FIRMADA POR EL ALCALDE LOCAL.</t>
  </si>
  <si>
    <t>198 de 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</si>
  <si>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 SEGUN SOLCIITUD EFECTUADA BAJO EL NUMERO DE RADICACION 2014-032-0012.263 DE FECHA 09-12-2014, FIRMADA POR EL ALCALDE LOCAL.</t>
  </si>
  <si>
    <t>109 de 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</si>
  <si>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LOCAL.DE ACUERDO A SOLICITUD EFECTUADA BAJO EL NUMERODE RADICACION 2014-132-00-13233 DE FECHA DICIEMBRE 29 DE 2014, FIRMADA POR EL ALCALDE LOCAL.</t>
  </si>
  <si>
    <t>108 de 2014</t>
  </si>
  <si>
    <t>RECONOCER Y ORDENAR EL PAGO DE LA OBLIGACION POR PAGAR DEL CONVENIO INTERADMINISTRATIVO 060 DE 2011 A FAVOR DE LA UNIVERSIDAD NACIONAL DE COLOMBIA NIT 899-999-063 DE ACUERDO A LA RESOLUCION 00432 DE FECHA  DICIEMBRE 24 DE 2014, FIRMADA POR EL ALCALDE LOCAL</t>
  </si>
  <si>
    <t>432 de 2014</t>
  </si>
  <si>
    <t>PROYECTO. 3.3.1.14.03.27.1167. FORTALECER A TREINTA JOVENES Y ADULTOS QUE PERTENEZCAN A BARRAS FUTBOLERAS , PARA LA COVIVENCIA CIUDADANA.</t>
  </si>
  <si>
    <t>124 de 2014</t>
  </si>
  <si>
    <t>REALIZAR LA INTERVENTORIA TECNICA, ADMINISTRATIVA, FINANCIERA, CONTABLE, SOCIAL Y AMBIENTAL AL CONTRATO DE PRESTACION DE SERVICIOS NUMERO 124 DE 2014 DE CONFORMIDAD CON LAS CONDICIONES SEÑALADAS EN LOS ESTUDIOS PREVIOS Y LA PRESENTE INVITACION, DOCUMENTOS QUE FORMAN PARTE INTEGRAL DEL PROCESO. SEGUN OFICIO NUMERO 2014-032-00-11633 DE FECHA 28 DE NOVIEMBRE DE 2014.</t>
  </si>
  <si>
    <t>142 de 2014</t>
  </si>
  <si>
    <t>AUNAR ESFUERZOS TECNICOS, ADMINISTRATIVOS, FINANCIEROS Y HUMANOS PARA EJECUTAR LAS ACTIVIDADES TENDIENTES A LA RECUPERACION DEL ESPACIO PUBLICO DE LA LOCALIDAD DE SANTAFE.SEGUN OFICIO RADICADO NUMERO 2014-032-0010923 DE FECHA NOVIEMBRE 19 DE 2014.</t>
  </si>
  <si>
    <t>96 de 2014</t>
  </si>
  <si>
    <t>ADICION 001 CONVENIO DE ASOCIACIÓN 096 DE 2014:  ¿AUNAR ESFUERZOS TÉCNICOS ADMINISTRATIVOS, FINANCIEROS Y HUMANOS PARA EJECUTAR LAS ACTIVIDADES TENDIENTES A LA RECUPERACIÓN DEL ESPACIO PÚBLICO DE LA LOCALIDAD DE SANTA FE¿ , DE ACUERDO A SOLICITUD EFECTUADA BAJO EL NUMERO DE RADICACION 2014-032-0013-353 DE FECHA DICIEMBRE 31 DE 2014, FIRMADA POR EL ALCALDE LOCAL.</t>
  </si>
  <si>
    <t>EL CONTRATISTA SE OBLIGA CON EL FONDO DE DESARROLLO A REALIZAR LA INTERVENTORIA TECNICA, ADMINISTRATIVA, FINANCIERA, CONTABLE, SOCIAL Y AMBIENTAL DEL CONVENIO DE ASOCIACION NO. 096 DE 2014 CELEBRADO ENTRE EL FONDO DE DESARROLLO LOCAL DE SANTA FE Y FUNDACION SAN GABRIEL ARCANGEL DE FE, EL CUAL EJECUTARA EL PROYECTO NO. 1167 "SANTA FE HUMANA LIBRE DE DISCRIMINACION Y VIOLENCIAS", COMPONENTE "RECUPERACION DE ESPACIO PUBLICO", DE CONFORMIDAD CON LAS CONDICIONES SEÑALADAS EN LOS ESTUDIOS PREVIOS Y LA INVITACION, DOCUMENTOS QUE FORMAN PARTE INTEGRAL DEL PROCESO DE ACUERDO A SOLICITUD RADICADA BAJO EL NUMERO 2014-032-00-11323 DE FECHA 26-11-14 FIRMADA POR EL ALCALDE LOCAL.</t>
  </si>
  <si>
    <t>143 de 2014</t>
  </si>
  <si>
    <t>WILLIAM GIOVANNY MORENO AVILA</t>
  </si>
  <si>
    <t>CONTRATOS DE PESTACION DE SERVICIOS PROFESIONALES Y TECNICOS 2014</t>
  </si>
  <si>
    <t>REALIZAR LA ADQUISICION DE CUATRO (4) CARPAS INSTITUCIONALES SEGUN LAS ESPECIFICACIONES TECNICAS DESCRITAS</t>
  </si>
  <si>
    <t xml:space="preserve">MINIMA CUANTÍA </t>
  </si>
  <si>
    <t>78/2014</t>
  </si>
  <si>
    <t>FINI SAS</t>
  </si>
  <si>
    <t>ADQUISICION EN LA MODALIDAD DE COMPRAVENTA DE DIEZ (10) CARTELERAS INSTITUCIONALES, DIEZ (10) RETABLOS INFORMATIVOS Y OCHENTA (80) AVISOS DE SEÑALIZACION DEBIDAMENTE INSTALADOS PARA LA ALCALDIA LOCAL DE SANTA FE.DE ACUERDO A SOLICITUD EFECTUADA BAJO EL NUMERO DE RADICACION 2014-032-0011313 DE FECHA 26-11-2014 FIRMADA POR EL ALCALDE LOCAL.</t>
  </si>
  <si>
    <t>CAMILO ANDRES ECHEVERRY PAEZ</t>
  </si>
  <si>
    <t>ADQUISICION DE UN VEHICULO PARA LA ALCALDIA LOCAL DE SANTA FE. LAS ACTIVIDADES ADMINISTRATIVAS PRESENTARAN UN AUMENTO CONSIDERABLE EN RELACION A LAS VISITAS TECNICAS QUE DEBERAN REALIZAR LOS PROFESIONALES DE LA ALCALDIA LOCAL DE SANTA FE. Y POR LO MISMO, LOS VEHICULOS RESULTARAN INSUFICIENTES. CABE RESALTAR QUE DURANTE LOS ULTIMOS AÑOS  ESTA ADMINISTRACION HA CONTADO CON LOS MISMOS VEHICULOS ADQUIRIDOS DESDE EL AÑO 2008, AUMENTANDO CONSIDERABLEMENTE EL RUBRO PRESUPUESTAL EN MANTENIMIENTOS NECESARIOS PARA EL BUEN FUNCIONAMIENTO. SOLICITUD EFECTUADA BAJO EL NUMERO  DE RADICACION 2014-032-0012653 DE FECHA DICIEMBRE 17 DE 2014, FIRMADA POR EL ALCALDE LOCAL.</t>
  </si>
  <si>
    <t>TOYONORTE LTDA</t>
  </si>
  <si>
    <t>ADQUISICIÓN, INSTALACIÓN Y PUESTA EN FUNCIONAMIENTO DE EQUIPOS DE CÓMPUTO PORTÁTILES Y PERIFÉRICOS PARA LA ALCALDÍA LOCAL DE SANTA FE. DE ACUERDO A SOLICITUD EFECTUADA BAJO EL NUMERO DE RADICACION 2014-032-0012993 DE FECHA DICIEMBRE 23 DE 2014, FIRMADA POR EL ALCALDE LOCAL.</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</si>
  <si>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 DE ACUERDO A SOLICITUD EFECTUADA BAJO EL NUMERO DE RADICACION 2014-032-0012883 DE FECHA DICIEMBRE 23 DE 2014, FIRMADA POR EL ALCALDE LOCAL.</t>
  </si>
  <si>
    <t>CONTRATO DE OBRA N° 181 DE 2014 CELEBRADO ENTRE EL FONDO DE DESARROLLO LOCAL DE SANTA FE Y CRD INGENIERÍA SAS DE ACUERDO A SOLICITUD EFECTUADA BAJO EL NUMERO DE RADICACION 2014-032-0013313 DE FECHA DICIEMBRE 30 DE 2014, FIRMADA POR EL ALCALDE LOCAL.</t>
  </si>
  <si>
    <t>CRD INGENIERIA S A S</t>
  </si>
  <si>
    <t>PAGO HONORARIOS EDILES 2014</t>
  </si>
  <si>
    <t>CONTRIBUIR AL DESARROLLO Y FORTALECIMIENTO DE LAS CAPACIDADES Y POTENCIALIDADES RELACIONADAS CON LA PARTICIPACIÓN CON INCIDENCIA, EN EL CUIDADO Y LAS REDES SOCIALES,  FAMILIARES DE LAS PERSONAS MAYORES Y GRUPOS POBLACIONALES DE LA LOCALIDAD DE SANTA FE, EN SITUACIÓN DE DISCRIMINACIÓN Y SEGREGACIÓN SOCIOECONÓMICA, EXCLUSIÓN, SENSIBILIZACIÓN Y VISIBILIZACIÓN.  AL IGUAL QUE MEJORAR SUS CONDICIONES MATERIALES DE EXISTENCIA, QUE PERMITAN LA AMPLIACIÓN DE OPORTUNIDADES CON AUTONOMÍA, INDEPENDENCIA Y DIGNIDAD, DE ACUERDO A SOLICITUD EFECTUADA BAJO EL NUMERO DE RADICACION 2015-032-0000-463 DE FECHA ENERO 19 DE 2015, FIRMADA POR EL ALCALDE LOCAL.</t>
  </si>
  <si>
    <t>CONVENIO DE ASOCIACION</t>
  </si>
  <si>
    <t>AUNAR ESFUERZOS HUMANOS, ADMINISTRATIVOS, TÉCNICOS Y FINANCIEROS, PARA REALIZAR EL PROYECTO 1163 DENOMINADO SANTA FE MÁS DINÁMICA Y MÁS ACTIVA EN SU COMPONENTE ¿ACONDICIONAMIENTO FÍSICO PARA EL ADULTO MAYOR¿, DE ACUERDO A SOLICITUD EFECTUADA BJO EL NUMERO DE RADICACION 2015032-000-2113 DE FECHA MARZO 3 DE 2015, FIRMADO POR EL ALCALDE LOCAL.</t>
  </si>
  <si>
    <t>ADICIÓN Y PRORROGA NO. 1 AL CONTRATO DE INTERVENTORÍA NO. 100-2014 ¿ SUSCRITO ENTRE EL FONDO DE DESARROLLO LOCAL DE SANTA FE Y CODIPRO INGENIERÍA Y ARQUITECTURA LTDA. CONSTRUCCIONES DISEÑOS Y PROYECTOS, EL CONTRATISTA SE OBLIGA CON EL FONDO DE DESARROLLO LOCAL DE SANTA FE A REALIZAR LA INTERVENTORÍA TÉCNICA, ADMINISTRATIVA, FINANCIERA Y AMBIENTAL, AL CONTRATO QUE  RESULTE DEL PROCESO LICITATORIO NO. FDLSF ¿ 001 DE 2014, CUYO OBJETO ES ¿EL DIAGNOSTICO, DISEÑO, MANTENIMIENTO Y REHABILITACIÓN DE LA MALLA VIAL Y ANDENES EN  LOCALIDAD DE SANTA FE, DE CONFORMIDAD  CON LA DESCRIPCIÓN, ESPECIFICACIONES TÉCNICAS Y DEMÁS CONDICIONES ESTABLECIDAS EN LOS ESTUDIOS PREVIOS, EL PLIEGO DE CONDICIONES Y ANEXOS,  DOCUMENTOS QUE HACEN PARTE INTEGRAL DEL PRESENTE PROCESO DE ACUERDO A SOLICITUD EFECTUADA BAJO EL NUMERO DE RADICACION 20150320000493 DE FECHA ENERO 19 DE 2015, FIRMADA POR EL ALCALDE LOCAL.</t>
  </si>
  <si>
    <t>MALLA VIAL LOCAL Y  ESPACIO PUBLICO</t>
  </si>
  <si>
    <t>ADICIÓN Y PRORROGA NO. 1 AL CONTRATO DE OBRA PÚBLICA NO. 099-2014 ¿SUSCRITO ENTRE EL FONDO DE DESARROLLO LOCAL DE SANTA FE Y UNIÓN TEMPORAL MALLA VIAL Y ANDENES 2014. EL CONTRATISTA SE OBLIGA CON EL FONDO DE DESARROLLO LOCAL DE SANTA FE A REALIZAR A PRECIOS UNITARIOS SIN FORMULA DE REAJUSTE, EL DIAGNOSTICO,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CONTRATO, SEGUN SOLICITUD EFECTUADA BAJO EL NUMERO DE RADICADO 2015.032.0000483 DE FECHA ENERO 19 DE 2015, FIRMADA POR EL ALCALDE LOCAL.</t>
  </si>
  <si>
    <t>CONTRATO DE OBRA PUBLICA</t>
  </si>
  <si>
    <t>ADICIÓN Y PRORROGA NO. 2 AL CONTRATO DE OBRA PÚBLICA NO. 098-2014 ¿SUSCRITO ENTRE EL FONDO DE DESARROLLO LOCAL DE SANTA FE Y CONSTRUCCIONES MASTER &amp; CIA LTDA . EL CONTRATISTA SE OBLIGA CON EL FONDO DE DESARROLLO LOCAL DE SANTA FE A REALIZAR A PRECIOS UNITARIOS FIJOS SIN FÓRMULA DE REAJUSTE, EL DISEÑO Y EJECUCIÓN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CONTRATO DE ACUERDO A SOLICITUD EFECTUADA BAJO EL NUMERO DE RADICACION 20150320000423 DE FECHA ENERO 19 DE 2015, FIRMADA POR EL ALCALDE LOCAL.</t>
  </si>
  <si>
    <t>Adición y prorroga No. 1 al Contrato de Interventoría  No. 144 - 2014 ¿suscrito entre el Fondo de Desarrollo Local de Santa Fe y ARENAS DE LA HOZ CONSTRUCTORES S.A.S, REALIZAR LA INTERVENTORÍA TÉCNICA, ADMINISTRATIVA, FINANCIERA Y AMBIENTAL, AL CONTRATO QUE RESULTE DEL PROCESO LICITATORIO NO. FDLSF-003-2014, CUYO OBJETO ES ¿ EL FONDO DE DESARROLLO LOCAL DE SANTA FE REQUIERE SELECCIONAR EL CONTRATISTA QUE REALIZARA A PRECIOS UNITARIOS FIJOS SIN FORMULA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 DE ACUERDO A SOLICITUD EFECTUADA BAJO EL NUMERO DE RADICACION 20150320000343 DE FECHA ENERO 15 DE 2015.</t>
  </si>
  <si>
    <t>ADICIÓN Y PRORROGA NO. 1 AL CONTRATO DE OBRA PÚBLICA NO. 130-2014 ¿SUSCRITO ENTRE EL FONDO DE DESARROLLO LOCAL DE SANTA FE Y ASMI CONSTRUCTORES SAS, EL CONTRATISTA SE OBLIGA CON EL FONDO DE DESARROLLO LOCAL DE SANTA FE A REALIZAR A PRECIOS UNITARIOS FIJOS SIN FÓRMULA DE REAJUSTE, EL DISEÑO Y LAS OBRAS NECESARIAS PARA LA ADECUACION, CONSTRUCCION Y MANTENIMIENTO DE ESCALERAS  SENDEROS PEATONALES Y MUROS DE CONTENCION, UBICADOS EN LA LOCALIDAD DE SANTA FE EN BOGOTÁ D.C, DE CONFORMIDAD CON LA DESCRIPCIÓN, ESPECIFICACIONES Y DEMÁS CONDICIONES ESTABLECIDAS EN EL ESTUDIO PREVIO, LOS ANEXOS, EL PLIEGO DE CONDICIONES Y ANEXO TÉCNICO GENERAL, DOCUMENTOS QUE HACEN PARTE INTEGRAL DEL PRESENTE CONTRATO, DE ACUERDO A SOLICITUD EFECTUADA BAJO EL NUMERO DE RADICACION 2015032-000-3053 DE FECHA MARZO 27 DE  2015.</t>
  </si>
  <si>
    <t>ADICIÓN Y PRORROGA NO. 1 AL CONTRATO DE OBRA PÚBLICA NO. 102-2014 ¿SUSCRITO ENTRE EL FONDO DE DESARROLLO LOCAL DE SANTA FE Y CODIPRO INGENIERÍA Y ARQUITECTURA LTDA. CONSTRUCCIONES DISEÑOS Y PROYECTOS, EL CONTRATISTA SE OBLIGA CON EL FONDO DE DESARROLLO LOCAL DE SANTA FE A REALIZAR LA INTERVENTORÍA TÉCNICA, ADMINISTRATIVA, FINANCIERA Y AMBIENTAL, AL CONTRATO QUE  RESULTE DEL PROCESO LICITATORIO NO. FDLSF ¿ 002 DE 2014 CUYO OBJETO ES ¿EL DISEÑO Y EJECUCIÓN  DE LAS OBRAS  DE  CONSTRUCCIÓN, ADECUACIÓN Y MANTENIMIENTO DE PARQUES DE LA LOCALIDAD DE LA LOCALIDAD DE SANTA FE, EN BOGOTÁ, D.C., DE ACUERDO CON LA DESCRIPCIÓN, ESPECIFICACIONES Y DEMÁS CONDICIONES ESTABLECIDAS EN LOS ESTUDIOS PREVIOS, LOS ANEXOS, EL PLIEGO DE CONDICIONES Y ANEXO TÉCNICO GENERAL,  DOCUMENTOS QUE HACEN PARTE INTEGRAL DEL PRESENTE PROCESO. DE ACUERDO A SOLICITUD EFECTUADA BAJO EL NUMERO DE RADICACION 20150320000453 DE FECHA ENERO 19 DE 2015, FIRMADA POR EL ALCALDE LOCAL.</t>
  </si>
  <si>
    <t>ADICIÓN 001 CSP-175-2014 ¿EL CONTRATISTA SE OBLIGA CON EL FONDO DE DESARROLLO LOCAL DE SANTA FE A PRESTAR LOS SERVICIOS DE APOYO LOGISTICO, MEDIANTE EQUIPOS, ELEMENTOS, RECURSO HUMANO Y DEMÁS REQUERIDO POR LA ENTIDAD,  PARA LLEVAR A CABO EL EVENTO DE RENDICIÓN DE CUENTAS DE LA ALCALDÍA LOCAL SANTA FE, DE ACUERDO A SOLICITUD EFECTUADA BAJO EL NUMERO DE RADICACION 2015-032-000-2983 DE FECHA MARZO 27 DE 2015, FIRMADA POR EL ALCALDE LOCAL.</t>
  </si>
  <si>
    <t>OTRAS INVERSIONES</t>
  </si>
  <si>
    <t>CONTRATO DE PRESTACION DE SERVICIOS</t>
  </si>
  <si>
    <t>FORTALECIMIENTO Y CAPACIDAD DE LA ADMINSTRACIÓN LOCAL
 (sin control Urbanístico)</t>
  </si>
  <si>
    <t>ADICIN Y PRORROGA 01 AL CONTRATO DE PRESTACIÓN DE SERVICIOS NO. 083 DE 2014.´SEGUN SOLICITUD 20150320002513 SOLICITUD CRP 20150320002533</t>
  </si>
  <si>
    <t>REBECA  GONZALEZ JAIMES</t>
  </si>
  <si>
    <t>PRESTAR  EL APOYO EN EL GRUPO DE GESTIÓN ADMINISTRATIVA Y FINANCIERA PARA ADELANTAR EL PROCESO DE CERTIFICACIÓN DE CALIDAD Y SERVIR DE REFERENTE DE CALIDAD DE LA ALCALDÍA LOCAL DE SANTA FE. DE ACUERDO A SOLICITUDES EFECTUADAS BAJO LOS NUMEROS DE RADICADO 2015032-000-2773 Y 2823 RESPECTIVAMENTE, FIRMADAS POR EL ALCALDE LOCAL.</t>
  </si>
  <si>
    <t>MANTENIMIENTO DE PARQUES VECINALES Y DE BOLSILLO</t>
  </si>
  <si>
    <t>3. D. ECONÓMICO</t>
  </si>
  <si>
    <t>BONOS TIPO C</t>
  </si>
  <si>
    <t>CUERPOS DE AGUA</t>
  </si>
  <si>
    <t xml:space="preserve"> MITIGACIÓN- GESTIÓN DEL RIESGO</t>
  </si>
  <si>
    <t>6. PLANEACIÓN</t>
  </si>
  <si>
    <t>PRIMERA INFANCIA Y DOTACIÓN JARDINES</t>
  </si>
  <si>
    <t>CONTROL URBANÍSTICO- DESCONGESTIÓN</t>
  </si>
  <si>
    <t>CASAS DE JUSTICIA</t>
  </si>
  <si>
    <t>FORMACIÓN, EVENTOS CULTURALES y CARNAVAL</t>
  </si>
  <si>
    <t>11. SECRETARÍA GENERAL</t>
  </si>
  <si>
    <t>Adición</t>
  </si>
  <si>
    <t>Prorroga</t>
  </si>
  <si>
    <t>Adición y Prorroga</t>
  </si>
  <si>
    <t>Convenio Marco</t>
  </si>
  <si>
    <t>Resolución</t>
  </si>
  <si>
    <t>Acta</t>
  </si>
  <si>
    <t>Aceptacion de oferta</t>
  </si>
  <si>
    <t>Arrendamiento y adquisición de inmuebles</t>
  </si>
  <si>
    <t>Contrato de seguros</t>
  </si>
  <si>
    <t>Promesa de compraventas (inmuebles)</t>
  </si>
  <si>
    <t>Anulado</t>
  </si>
  <si>
    <t>Liquidado</t>
  </si>
  <si>
    <t>Caducado</t>
  </si>
  <si>
    <t>Suspendido</t>
  </si>
  <si>
    <t>Declaratoria de incumplimiento</t>
  </si>
  <si>
    <t>Dotacion (restringida mobiliario)</t>
  </si>
  <si>
    <t>Servicios personales</t>
  </si>
  <si>
    <t>Gestión Documental</t>
  </si>
  <si>
    <t>Seguros de metrología (pesas y medidas)</t>
  </si>
  <si>
    <t>Implementación de  puntos wifi en la localidad.</t>
  </si>
  <si>
    <t>Demoliciones</t>
  </si>
  <si>
    <t>Sistemas de calidad y mejoramiento institucional(piga)</t>
  </si>
  <si>
    <t>Infraestructura Tecnologica (lo que no se cubre con SDH)</t>
  </si>
  <si>
    <t>Fallos judiciales</t>
  </si>
  <si>
    <t>Pagos ediles</t>
  </si>
  <si>
    <t>Adquisición de equipo de intervención vial (consulta con SDH)</t>
  </si>
  <si>
    <t>Recolección de escombros</t>
  </si>
  <si>
    <t>Compra de vehiculos</t>
  </si>
  <si>
    <t>Apoyo logistico para el fortalecimiento administrativo</t>
  </si>
  <si>
    <t>EJE</t>
  </si>
  <si>
    <t>PROGRAMA</t>
  </si>
  <si>
    <t>INDICADOR UNIFICADO</t>
  </si>
  <si>
    <t>CÓDIGO</t>
  </si>
  <si>
    <t>PRODUCTO</t>
  </si>
  <si>
    <t>SECTOR</t>
  </si>
  <si>
    <t>UNO</t>
  </si>
  <si>
    <t>Garantía del desarrollo integral de la infancia</t>
  </si>
  <si>
    <t>Equipamientos para la atención a la primera infancia adecuados</t>
  </si>
  <si>
    <t>Territorios saludables y red de salud para la vida desde la diversidad</t>
  </si>
  <si>
    <t>Focos intervenidos para el control de vectores y plagas</t>
  </si>
  <si>
    <t>Inspección, vigilancia y control(IVC) del sistema de salud</t>
  </si>
  <si>
    <t>Construcción de saberes. Educación inclusiva, diversa y de calidad para disfrutar y aprender.</t>
  </si>
  <si>
    <t>Construcción de saberes. Educación inclusiva, diversa y de calidad para disfrutar y aprender</t>
  </si>
  <si>
    <t>Número de bibliotecas locales y barriales dotadas para programas de promoción a la lectura</t>
  </si>
  <si>
    <t>Foros educativos realizados</t>
  </si>
  <si>
    <t>Personas beneficiadas con acciones de gestión para acceder a la educación superior</t>
  </si>
  <si>
    <t>Apoyo a la educación superior</t>
  </si>
  <si>
    <t>Número de cupos en programas de educación superior promovidos en las IED</t>
  </si>
  <si>
    <t>Bogotá Humana con igualdad de oportunidades y equidad de género para las mujeres</t>
  </si>
  <si>
    <t>Lucha contra distintos tipos de discriminación y violencias por condición, situación, identidad, diferencia, diversidad o etapa del ciclo vital</t>
  </si>
  <si>
    <t>Centros noche dotados</t>
  </si>
  <si>
    <t>Iniciativas juveniles apoyadas</t>
  </si>
  <si>
    <t>Bogotá, un territorio que defiende, protege y promueve los derechos humanos</t>
  </si>
  <si>
    <t>Personas vinculadas a procesos de promoción en derechos humanos</t>
  </si>
  <si>
    <t>Personas vínculadas a acciones de promoción de  rutas de acceso a la justicia formal</t>
  </si>
  <si>
    <t>Bogotá, un territorio que defiende, protege y promueve los Derechos Humanos</t>
  </si>
  <si>
    <t>Personas vinculadas a procesos de resolución alternativa de conflictos</t>
  </si>
  <si>
    <t>Ejercicio de las libertades culturales y deportivas</t>
  </si>
  <si>
    <t>Personas vinculadas a la oferta cultural</t>
  </si>
  <si>
    <t>Iniciativas culturales apoyadas</t>
  </si>
  <si>
    <t>Corredores cuturales, y/o turisticos diseñados y/o intervenidos</t>
  </si>
  <si>
    <t>Promoción turística y posicionamiento de la localidad como destino turístico</t>
  </si>
  <si>
    <t>Personas vinculadas a escuelas de formación deportiva</t>
  </si>
  <si>
    <t>Eventos de recreación y deporte realizados</t>
  </si>
  <si>
    <t>Iniciativas deportivas apoyadas</t>
  </si>
  <si>
    <t>Materiales y elementos para la práctica recreativa y deportiva  entregados</t>
  </si>
  <si>
    <t>Parques vecinales y/o de bolsillo intervenidos</t>
  </si>
  <si>
    <t>Parques y escenarios deportivos</t>
  </si>
  <si>
    <t>Parques vecinales construidos</t>
  </si>
  <si>
    <t>Parques de bolisllo construidos</t>
  </si>
  <si>
    <t>Ruralidad humana</t>
  </si>
  <si>
    <t>Metros lineales de acueducto y alcantarilladlo rural intervenidos</t>
  </si>
  <si>
    <t>Acueductos y alcantarillados</t>
  </si>
  <si>
    <t>Vivienda y hábitat humanos</t>
  </si>
  <si>
    <t>Personas beneficiadas con asesoría y acompañamiento en soluciones de vivienda y mejoramiento de barrios</t>
  </si>
  <si>
    <t>Regulación legalización de predios y apoyo a la vivienda</t>
  </si>
  <si>
    <t>DOS</t>
  </si>
  <si>
    <t>Corredores ambientales diseñados y/o intervenidos</t>
  </si>
  <si>
    <t>Recuperación, rehabilitación y restauración de la estructura ecológica principal y de los espacios del agua</t>
  </si>
  <si>
    <t>Organizaciones apoyadas para la protección del ambiente</t>
  </si>
  <si>
    <t>Personas vinculadas a procesos de sensibilización sobre contaminación atmosférica, visual  y auditiva.</t>
  </si>
  <si>
    <t>Número de  personas vinculadas  a los procesos de  fortalecimiento de los PRAES y PROCEDAS de la localidad.</t>
  </si>
  <si>
    <t>Sistema de información ambiental</t>
  </si>
  <si>
    <t>Movilidad Humana</t>
  </si>
  <si>
    <t>Km/carril de malla vial rural recuperados</t>
  </si>
  <si>
    <t>Km/carril de malla vial local construidos.</t>
  </si>
  <si>
    <t>Km/carril de malla vial rural construidos.</t>
  </si>
  <si>
    <t>m2 de espacio público  construidos.</t>
  </si>
  <si>
    <t>Dotaciones con elementos de mobiliario urbano realizadas</t>
  </si>
  <si>
    <t>Acciones realizadas para promover el uso de medios alternativos de movilidad</t>
  </si>
  <si>
    <t>Gestión integral de riesgos</t>
  </si>
  <si>
    <t>Porcentaje de obras para el manejo de riesgo realizadas frente a las solicitadas</t>
  </si>
  <si>
    <t>Basura Cero</t>
  </si>
  <si>
    <t>Iniciativas ambientales y de aprovechamiento de residuos  apoyadas</t>
  </si>
  <si>
    <t>Bogotá humana ambientalmente saludable</t>
  </si>
  <si>
    <t>Arboles sembrados</t>
  </si>
  <si>
    <t>Plantación y mantenimiento de arboles, jardines y especies vegetales</t>
  </si>
  <si>
    <t>Número de personas beneficiadas con campañas para el manejo y cuidado de animales</t>
  </si>
  <si>
    <t>TRES</t>
  </si>
  <si>
    <t>Bogotá Humana: Participa y Decide</t>
  </si>
  <si>
    <t>Personas vinculadas a procesos de promoción de la política de juventud</t>
  </si>
  <si>
    <t>Salones comunales construidos</t>
  </si>
  <si>
    <t>Medios comunitarios apoyados</t>
  </si>
  <si>
    <t>Bogotá decide y protege el derecho fundamental a la salud pública</t>
  </si>
  <si>
    <t>Personas vinculadas en exigibilidad de derecho a la salud</t>
  </si>
  <si>
    <t>Fortalecimiento de las capacidades de gestión y coordinación del nivel central y las localidades desde los territorios</t>
  </si>
  <si>
    <t>Porcentaje de solicitudes sobre inspeccción, vigilancia y control para la convivencia intervenidas frente a las solicitadas</t>
  </si>
  <si>
    <t>Territorios de vida y paz con prevención del delito</t>
  </si>
  <si>
    <t>Acciones realizadas para mejorar la seguridad</t>
  </si>
  <si>
    <t>Acciones realizadas para la rendición de cuentas</t>
  </si>
  <si>
    <t>Personas vinculadas a acciones para la prevención del consumo de SPA y otras sustancias</t>
  </si>
  <si>
    <t>Personas vinculadas a  campañas de apoyo para mejorar la convivencia frente a las infracciones de control urbanístico y legal funcionamiento de los establecimientos de comercio</t>
  </si>
  <si>
    <t>Infraestructura para la atención de servicio al ciudadano</t>
  </si>
  <si>
    <t>Equipamiento institucional intervenido para el desarrollo de una infraestructura institucional acorde a las necesidades de la Localidad</t>
  </si>
  <si>
    <t>Cod. Programa</t>
  </si>
  <si>
    <t>Cod. Meta Plan</t>
  </si>
  <si>
    <t>Meta Plan</t>
  </si>
  <si>
    <t>% Avance Meta Plan Consolidado (Contratado)</t>
  </si>
  <si>
    <t>Nivel de Avance (Contratado)</t>
  </si>
  <si>
    <t>Ponderador MPD en relación al Programa</t>
  </si>
  <si>
    <t>Avance MPD por Programa</t>
  </si>
  <si>
    <t>Avance por Programa</t>
  </si>
  <si>
    <t>Ponderación del programa respecto al Eje</t>
  </si>
  <si>
    <t>Avance por Programa respecto al Eje</t>
  </si>
  <si>
    <t>Avance por Eje</t>
  </si>
  <si>
    <t>Ponderador Eje</t>
  </si>
  <si>
    <t>Avance por Eje respecto al PDL</t>
  </si>
  <si>
    <t>Avance PDL (contratado)</t>
  </si>
  <si>
    <t>Cuenta de Nivel de Avance (Contratado)</t>
  </si>
  <si>
    <t>Alto</t>
  </si>
  <si>
    <t>Bajo</t>
  </si>
  <si>
    <t>Medio</t>
  </si>
  <si>
    <t>Total general</t>
  </si>
  <si>
    <t>% Avance Meta Plan Consolidado (Ejecución real)</t>
  </si>
  <si>
    <t>Nivel de Avance (Ejecución real)</t>
  </si>
  <si>
    <t>Avance PDL (Ejecucion real)</t>
  </si>
  <si>
    <t>Cuenta de Nivel de Avance (Ejecución real)</t>
  </si>
  <si>
    <t>Datos</t>
  </si>
  <si>
    <t>Suma de % AVANCE META PLAN CONSOLIDADO (contratado)</t>
  </si>
  <si>
    <t>Sector</t>
  </si>
  <si>
    <t>Indicador Agregado (PMR)</t>
  </si>
  <si>
    <t>Linea Base</t>
  </si>
  <si>
    <t>Magnitud a alcanzar durante la vigencia del PDL</t>
  </si>
  <si>
    <t>Programación Anual de la Meta Plan de Desarrollo Local</t>
  </si>
  <si>
    <t>EJECUCIÓN FÍSICA  (CONTRATADO)</t>
  </si>
  <si>
    <t>EJECUCIÓN FÍSICA REAL</t>
  </si>
  <si>
    <t>OBSERVACIONES</t>
  </si>
  <si>
    <t>Suma de Magnitud</t>
  </si>
  <si>
    <t>Suma de Linea Base (PMR)</t>
  </si>
  <si>
    <t>en programas con enfoque diferencial, mecanismos de protección, capacitación para la prevención de violencia contra las mujeres y visibilización de la política pública de la mujer y género</t>
  </si>
  <si>
    <t>SELECCIÓN ABREVIADA</t>
  </si>
  <si>
    <t xml:space="preserve">CONTRA EJECUCIÓN </t>
  </si>
  <si>
    <t xml:space="preserve">7 JARDINES </t>
  </si>
  <si>
    <t>POR INICIAR</t>
  </si>
  <si>
    <t>MESES</t>
  </si>
  <si>
    <t>CONTRA EJECUCIÓN</t>
  </si>
  <si>
    <t>12 MESES</t>
  </si>
  <si>
    <t>ADICION</t>
  </si>
  <si>
    <t>SELECCIÓN ABREVIDA</t>
  </si>
  <si>
    <t>CONTRA ENTREGA</t>
  </si>
  <si>
    <t>9 COLEGIOS</t>
  </si>
  <si>
    <t>contra ejecución</t>
  </si>
  <si>
    <t>2 corredores culturales</t>
  </si>
  <si>
    <t xml:space="preserve">en ejecución </t>
  </si>
  <si>
    <t>mensual</t>
  </si>
  <si>
    <t xml:space="preserve">MENOR CUANTIA </t>
  </si>
  <si>
    <t xml:space="preserve">FESTIVAL DIVERSIDAD </t>
  </si>
  <si>
    <t xml:space="preserve">FESTIVAL DE LA CHICA </t>
  </si>
  <si>
    <t>TERMINADO</t>
  </si>
  <si>
    <t>contratación directa</t>
  </si>
  <si>
    <t xml:space="preserve">FESTIVAL COMUNAL </t>
  </si>
  <si>
    <t xml:space="preserve">ejecución </t>
  </si>
  <si>
    <t xml:space="preserve">2 MESES </t>
  </si>
  <si>
    <t xml:space="preserve">TANGO VIA </t>
  </si>
  <si>
    <t>NAVIDAD</t>
  </si>
  <si>
    <t xml:space="preserve">FESTIVAL CAMPESINO </t>
  </si>
  <si>
    <t xml:space="preserve">FESTIVAL HIP HOP </t>
  </si>
  <si>
    <t xml:space="preserve">FESTIVAL ALEGRIA Y DISCAPACIDAD </t>
  </si>
  <si>
    <t xml:space="preserve">MINIMA CUANTIA </t>
  </si>
  <si>
    <t xml:space="preserve">PRESTACIÓN DE SERVICIOS </t>
  </si>
  <si>
    <t xml:space="preserve">EN EJECUCION </t>
  </si>
  <si>
    <r>
      <t>Forma de pago: El valor del contrato se cancelara de la siguiente forma: 1. El ochenta (80%) por ciento del valor del contrato de forma mensual y porcentual acorde a las actividades desarrolladas y soportadas técnica y financieramente durante el mes de ejecución y ese será el valor a cancelar en el mes. 2. El veinte (20%) por ciento del valor del contrato junto con el acta de liquidación del contrato, el contratista deberá soportar la ejecución del contrato. Previa presentación</t>
    </r>
    <r>
      <rPr>
        <b/>
        <sz val="11"/>
        <color indexed="59"/>
        <rFont val="Calibri"/>
        <family val="2"/>
      </rPr>
      <t xml:space="preserve"> </t>
    </r>
    <r>
      <rPr>
        <sz val="11"/>
        <color indexed="59"/>
        <rFont val="Calibri"/>
        <family val="2"/>
      </rPr>
      <t>de los siguientes documentos:</t>
    </r>
  </si>
  <si>
    <t>ADICION Y PRORROGA</t>
  </si>
  <si>
    <t xml:space="preserve">5 RIOS </t>
  </si>
  <si>
    <t>3 HECTAREAS</t>
  </si>
  <si>
    <t>CONCURSO DE MERITOS</t>
  </si>
  <si>
    <t>11 MESES</t>
  </si>
  <si>
    <t>LICITACIÓN PÚBLICA</t>
  </si>
  <si>
    <t>10 MESES</t>
  </si>
  <si>
    <t xml:space="preserve">REHABILITACION KM CARRIL </t>
  </si>
  <si>
    <t xml:space="preserve">MANTENIMIENTO </t>
  </si>
  <si>
    <t xml:space="preserve">ESPACIO PUBLICO </t>
  </si>
  <si>
    <t xml:space="preserve">CONCURSO DE MERITOS </t>
  </si>
  <si>
    <t xml:space="preserve">PORCENTAJE DE EJECUCIÓN </t>
  </si>
  <si>
    <t xml:space="preserve">FORMACIÓN </t>
  </si>
  <si>
    <t xml:space="preserve">42 DÍAS </t>
  </si>
  <si>
    <t xml:space="preserve">CONTRA ENTREGA </t>
  </si>
  <si>
    <t xml:space="preserve">DOTACIÓN </t>
  </si>
  <si>
    <t xml:space="preserve">42 DIAS </t>
  </si>
  <si>
    <t xml:space="preserve">100 PERSONAS </t>
  </si>
  <si>
    <t>5 MESES</t>
  </si>
  <si>
    <t>RENDICIÓN DE CUENTA</t>
  </si>
  <si>
    <t xml:space="preserve">ADECUACIÓN </t>
  </si>
  <si>
    <t xml:space="preserve">mínima cuantía </t>
  </si>
  <si>
    <t xml:space="preserve">subasta </t>
  </si>
  <si>
    <t xml:space="preserve">contra entrega </t>
  </si>
  <si>
    <t xml:space="preserve">dotación salones </t>
  </si>
  <si>
    <t xml:space="preserve">12 MESES </t>
  </si>
  <si>
    <t xml:space="preserve"> 80,165,026</t>
  </si>
  <si>
    <t>SUBASTA</t>
  </si>
  <si>
    <t xml:space="preserve">15 DÍAS </t>
  </si>
  <si>
    <t>83359289-7</t>
  </si>
  <si>
    <t xml:space="preserve">1,023,881,209 </t>
  </si>
  <si>
    <t>900,369,752,1</t>
  </si>
  <si>
    <t>MENUSAL</t>
  </si>
  <si>
    <t xml:space="preserve">20 DÍAS </t>
  </si>
  <si>
    <t>Tienda virtual del estado Colombiano</t>
  </si>
  <si>
    <t xml:space="preserve">60 DÍAS </t>
  </si>
  <si>
    <t xml:space="preserve">MÍNIMA CUANTÍA </t>
  </si>
  <si>
    <t>AUNAR ESFUERZOS TÉCNICOS ADMINISTRATIVOS Y FINANCIEROS PARA PRESTAR EL SERVICIO DE RECUPERACIÓN, REHABILITACIÓN Y RESTAURACIÓN DE LA ESTRUCTURA ECOLÓGICA PRINCIPAL Y DE LOS ESPACIOS DE AGUA EN LA VEREDA EL VERJÓN DE LA LOCALIDAD DE SANTA FE, DE CONFORMIDAD CON LOS ESTUDIOS PREVIOS, DOCUMENTO QUE FORMA PARTE INTEGRAL DEL CONVENIO, DE ACUERDO A MEMORANDO RADICADO BAJO EL NUMERO 2015032-000-2483 DE FECHA MARZO 13 DE 2015, FIRMADO POR EL ALCALDE LOCAL.</t>
  </si>
  <si>
    <t>EN EJECUCION</t>
  </si>
  <si>
    <r>
      <t>Balance de gestión consolidado</t>
    </r>
    <r>
      <rPr>
        <sz val="14"/>
        <color indexed="43"/>
        <rFont val="Arial Rounded MT Bold"/>
        <family val="2"/>
      </rPr>
      <t xml:space="preserve">
</t>
    </r>
    <r>
      <rPr>
        <sz val="14"/>
        <color indexed="9"/>
        <rFont val="Arial Rounded MT Bold"/>
        <family val="2"/>
      </rPr>
      <t>A partir de los indicadores del Acuerdo 067 de 2002</t>
    </r>
  </si>
  <si>
    <t>Capítulo VII. Movilidad</t>
  </si>
  <si>
    <t>Compromisos</t>
  </si>
  <si>
    <t>Giros</t>
  </si>
  <si>
    <t>Cód. Eje</t>
  </si>
  <si>
    <t>Cód. Programa</t>
  </si>
  <si>
    <t>Meta PDL</t>
  </si>
  <si>
    <t>Proyecto</t>
  </si>
  <si>
    <t>Tipo de meta</t>
  </si>
  <si>
    <t>% avance meta plan (Contratado)</t>
  </si>
  <si>
    <t>% avance meta plan (Entregado)</t>
  </si>
  <si>
    <t>FUENTE: MUSI 2013-2016</t>
  </si>
  <si>
    <t>Suma de Ejecucion fisica ACUMULADA</t>
  </si>
  <si>
    <t>Suma de Ejecucion fisica real ACUMULADA</t>
  </si>
  <si>
    <t>Suma de % AVANCE META PLAN CONSOLIDADO (ejecución real)</t>
  </si>
  <si>
    <t>Suma de Total2</t>
  </si>
  <si>
    <t xml:space="preserve"> +El tipo de meta hace relación a la manera como se programa o anualiza su indicador a lo largo del periodo de vigencia del Plan de Desarrollo Local.  Para una meta tipo  Suma  se programa un valor por cada una de las vigencias que al sumarlas sea igual a la magnitud total programad de la meta plan de desarrollo. Para el caso de una meta tipo Constante la programación de la magnitud es  igual   para todas las vigencias; es decir que es el mismo valor programado en la magnitud de la meta plan de desarrollo. </t>
  </si>
  <si>
    <t xml:space="preserve"> * La ejecución de la meta según lo contratado hace referencia a los bienes y servicios que se espera entregar a través de las contrataciones realizadas, en relación con la magnitud programada para la meta. </t>
  </si>
  <si>
    <t xml:space="preserve"> ** La ejecución de la meta según lo entregado hace referencia a los bienes y servicios que   ya se han entregado  a través de las contrataciones realizadas, en relación con la magnitud programada para la meta. </t>
  </si>
  <si>
    <t>Ejecución física de la meta (Contratado)*</t>
  </si>
  <si>
    <t>Ejecución física de la meta (Entregado)**</t>
  </si>
  <si>
    <t>PARA LA VIGENCIA 2014 LA META SE CUMPLIO CON LA CONTRATACIÓN REALZIADA A TRAVES DEL PROYECTO 1149</t>
  </si>
  <si>
    <t xml:space="preserve">contra ejecucion </t>
  </si>
  <si>
    <t xml:space="preserve">liquidado </t>
  </si>
  <si>
    <t>DIRECTA</t>
  </si>
  <si>
    <t>INFRAESTUCTURA</t>
  </si>
  <si>
    <t xml:space="preserve">ABREVIADA </t>
  </si>
  <si>
    <t>012-2013</t>
  </si>
  <si>
    <t>selección abreviada</t>
  </si>
  <si>
    <t>Localidad</t>
  </si>
  <si>
    <t xml:space="preserve">mensual </t>
  </si>
  <si>
    <t>178-2014</t>
  </si>
  <si>
    <t>CIN-008-2014 - ADIPRO</t>
  </si>
  <si>
    <t>1 MESE</t>
  </si>
  <si>
    <t>ADIPRO</t>
  </si>
  <si>
    <t xml:space="preserve">contra ejecución </t>
  </si>
  <si>
    <t>CPS-051-2014</t>
  </si>
  <si>
    <t>900.555.574-2</t>
  </si>
  <si>
    <t xml:space="preserve">Contra ejecución </t>
  </si>
  <si>
    <t>CIN-009-2014</t>
  </si>
  <si>
    <t xml:space="preserve">LIQUIDADO </t>
  </si>
  <si>
    <t>28/0/7/2014</t>
  </si>
  <si>
    <t xml:space="preserve">EJECUTADO </t>
  </si>
  <si>
    <t>93-2013</t>
  </si>
  <si>
    <t>42-2015</t>
  </si>
  <si>
    <t xml:space="preserve">6 MESES 21 DÍAS </t>
  </si>
  <si>
    <t>83-2014</t>
  </si>
  <si>
    <t xml:space="preserve">9 DÍAS </t>
  </si>
  <si>
    <t xml:space="preserve">7 MESES </t>
  </si>
  <si>
    <t>ADICIÓN Y PRORROGA NO. 1 AL CONTRATO DE INTERVENTORÍA NO. 170-2014 ¿SUSCRITO ENTRE EL FONDO DE DESARROLLO LOCAL DE SANTA FE Y HECTOR MILCIADES GUERRA MONCALEANO. EL CUAL TIENE COMO OBJETO REALIZAR LA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 DE ACUERDO A SOLICITUD EFECTUADA BAJO EL NUMERO DE RADICACION 2015-032-000-3583 DE FECHA ABRIL 17 DE 2015, FIRMADA POR EL ALCALDE LOCAL.,</t>
  </si>
  <si>
    <t xml:space="preserve">MANTEBIMIENTO </t>
  </si>
  <si>
    <t xml:space="preserve">CONTRATO DE OBRA </t>
  </si>
  <si>
    <t>EL CONTRATISTA SE OBLIGA CON EL FONDO DE DESARROLLO LOCAL DE SANTA FE, A EJECUTAR A PRECIOS UNITARIOS FIJOS, SIN FORMULA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ANEXOS Y LA PROPUESTA, DOCUMENTOS QUE HACEN PARTE INTEGRAL DEL PRESENTE CONTRATO, DE ACUERDO A SOLICITUD EFECTUADA BAJO EL NUMERO DE RADICACION 2015-032-000-3573 DE FECHA ABRIL 17 DE 2015, FIRMADA POR EL ALCALDE LOCAL.</t>
  </si>
  <si>
    <t>2,5 MESES</t>
  </si>
  <si>
    <t xml:space="preserve">ADICIÓN - CONTRATACIÓN DIRECTA </t>
  </si>
  <si>
    <t>ADICIÓN Y PRORROGA AL CIN 143 DE 2014, EL CUAL TIENE POR OBJETO  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 DE ACUERDO A SOLICITUD EFECTUADA BAJO EL NUMERO DE RADICACION 2015.032.000.5443 DE FECHA JUNIO 9 DE 2015, FIRMADA POR EL ALCALDE LOCAL.</t>
  </si>
  <si>
    <t>ADICIÓN Y PRORROGA AL CAS 096 DE 2014 EL CUAL TIENE POR OBJETO ¿AUNAR ESFUERZOS TÉCNICOS ADMINISTRATIVOS, FINANCIEROS Y HUMANOS PARA EJECUTAR LAS ACTIVIDADES TENDIENTES A LA RECUPERACIÓN DEL ESPACIO PÚBLICO DE LA LOCALIDAD DE SANTA FE¿ , DE ACUERDO A SOLICITUD EFECTUADA BAJO EL NUMERO DE RADICACION 2015.032.000.5433 DE FECHA JUNIO 9 DE 2015, FIRMADA POR EL ALCALDE LOCAL.</t>
  </si>
  <si>
    <t>AUNAR ESFUERZOS TÉCNICOS, ADMINISTRATIVOS, FINANCIEROS Y HUMANOS PARA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 DE ACUERDO A SOLICITUD EFECTUADA BAJO EL NUMERO DE RADICACION 2015.032.000.4943 DE FECHA MAYO 28 DE 2015, FIRMADA POR EL ALCALDE LOCAL.</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</si>
  <si>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  DE ACUERDO A SOLICITUD EFECTUADA BAJO EL NUMERO DE RADICACION 2015.032.000.4523 DE FECHA MAYO 13 DE 2015, FIRMADA POR EL ALCALDE LOCAL.</t>
  </si>
  <si>
    <t xml:space="preserve">2 SALONES </t>
  </si>
  <si>
    <t>ADICION Y PRORROGA 1. 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  DE ACUERDO CON LA DESCRIPCIÓN, ESPECIFICACIONES TÉCNICAS Y DEMÁS CONDICIONES ESTABLECIDAS EN LOS ESTUDIOS, PLIEGO DE CONDICIONES Y ANEXOS, DOCUMENTOS QUE HACEN PARTE INTEGRAL DEL PRESENTE PROCESO. DE ACUERDO A SOLICITUD EFECTUADA BAJO EL NUMERO DE RADICACION 2015.032.000.4513 DE FECHA MAYO 13 DE 2015, FIRMADA POR EL ALCALDE LOCAL.</t>
  </si>
  <si>
    <t>REALIZAR INTERVENTORIA TÉCNICA, ADMINISTRATIVA, FINANCIERA, CONTABLE, SOCIAL Y AMBIENTAL AL CONTRATO RESULTANTE DEL CONVENIO  DE ASOCIACIÓN NO.________ PARA EJECUTAR EL PROYECTO NO. 1177 EN SU COMPONENTE: FORTALECIMIENTO Y ARTICULACIÓN A LOS MEDIOS LOCALES, DE ACUERDO A SOLICITUD EFECTUADA FIRMADA POR EL ALCALDE LOCAL.</t>
  </si>
  <si>
    <t xml:space="preserve">15  MEDIOS LOCALES ALTERNATIVOS </t>
  </si>
  <si>
    <t>900304842-5</t>
  </si>
  <si>
    <t>FUNDACION ACADEMIA NACIONAL DE APRENDIZAJE ANDAP</t>
  </si>
  <si>
    <t>AUNAR ESFUERZOS TÉCNICOS, ADMINISTRATIVOS, FINANCIEROS Y HUMANOS PARA FORTALECER Y ARTICULAR LOS MEDIOS DE COMUNICACIÓN COMUNITARIA ALTERNATIVA A TRAVÉS DE FORMACIÓN, APOYOS TECNOLÓGICOS Y  PREMIAR O ESTIMULAR LA LABOR A LA  INVESTIGACIÓN Y DIFUSIÓN, DE ACUERDO A MEMORANDO RADICADO BAJO EL NUMERO 2015-032-000-6113 DE FECHA JUNIO 24 DE 2015, FIRMADO POR EL ALCALDE LOCAL.</t>
  </si>
  <si>
    <t>EN EJECUCIÓN</t>
  </si>
  <si>
    <t xml:space="preserve">ADICIÓN </t>
  </si>
  <si>
    <t>ADICIÓN AL CONTRATO DE PRESTACIÓN DE SERVICIOS NO. 165 DE 2014, CUYO OBJETO ES: ¿EJECUTAR ACTIVIDADES ENCAMINADAS AL FORTALECIMIENTO DEL PROGRAMA DISTRITAL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TODAS Y TODOS Y EN PARTICULAR LAS DEL PROYECTO 1172 SANTA FE BASURA CERO¿, DE ACUERDO A SOLICITUD EFECTUADA BAJO EL NUMERO DE RADICACION 2015.032.000.4153 DE FECHA ABRIL 30 DE 2015, FIRMADA POR EL ALCALDE LOCAL.</t>
  </si>
  <si>
    <t xml:space="preserve">INTERV.  1. U.T. CONSTRUCCCIÓNES </t>
  </si>
  <si>
    <t xml:space="preserve">3 MESES </t>
  </si>
  <si>
    <t xml:space="preserve">MUROS DE CONTENCION </t>
  </si>
  <si>
    <t xml:space="preserve">INTERVE, A ASMI. </t>
  </si>
  <si>
    <t xml:space="preserve">REAHABILITACIÓN Y MANTENIMIENTO DE PARQUES </t>
  </si>
  <si>
    <t xml:space="preserve">INTERV.   U.T. MALLA VIAL </t>
  </si>
  <si>
    <t xml:space="preserve">5 MESES  15 DÍAS </t>
  </si>
  <si>
    <t>MONICA MARIA CABRA BAUTISTA</t>
  </si>
  <si>
    <t xml:space="preserve">4 MESES </t>
  </si>
  <si>
    <t>EL CONTRATISTA, SE OBLIGA CON EL FONDO DE DESARROLLO A REALIZAR LA INTERVENTORÍA TÉCNICA, ADMINISTRATIVA Y FINANCIERA AL CONVENIO DE ASOCIACIÓN  NO. 034 -2015, SUSCRITO CON LA FUNDACIÓN PARA EL DESARROLLO INTEGRAL Y SOCIAL ¿ FUNDIDERC, DERIVADO DEL PROYECTO NO. 1165, DE CONFORMIDAD CON LOS ESTUDIOS PREVIOS Y EL PLIEGO DE CONDICIONES, DOCUMENTOS QUE FORMAN PARTE INTEGRAL DEL CONTRATO. DE ACUERDO A SOLICITUD EFECTUADA BAJO EL NUMERO DE RADICACION 2015.032.000.4283 DE FECHA MAYO 5 DE 2015, FIRMADA POR EL ALCALDE LOCAL.</t>
  </si>
  <si>
    <t>OSCAR ALBERTO ESQUIVEL GUEVARA</t>
  </si>
  <si>
    <t>EL CONTRATISTA, SE OBLIGA CON EL FONDO DE DESARROLLO LOCAL  A REALIZAR LA INTERVENTORÍA TÉCNICA, ADMINISTRATIVA,  FINANCIERA, CONTABLE, SOCIAL Y AMBIENTAL DEL CONVENIO DE ASOCIACIÓN 68 SUSCRITO CON FUNDACION COMUNITARIA PARA EL DESARROLLO INTEGRAL DE LA VIVIENDA DIGNA - FUCODEVI  DE CONFORMIDAD CON LAS CONDICIONES SEÑALADAS EN LOS ESTUDIOS PREVIOS Y LA PRESENTE INVITACIÓN, DOCUMENTOS QUE FORMAN PARTE INTEGRAL DEL PROCESO¿, DE ACUERDO A SOLICITUD EFECTUADA BAJO EL NUMERO DE RADICACION 2015.032.000.6143 DE FECHA JUNIO 24 DE 2015, FIRMADA POR EL ALCALDE LOCAL.Y CONSTANCIA DE PROBLEMAS TECNOLOGICOS CON RADICADO NUMERO 2015.032..00.95441 DE FECHA JUNIO 24 DE 2015.</t>
  </si>
  <si>
    <t xml:space="preserve">5 HECTAREAS </t>
  </si>
  <si>
    <t>AUNAR ESFUERZOS TÉCNICOS ADMINISTRATIVOS Y FINANCIEROS PARA EJECUTAR ACTIVIDADES ENCAMINADAS A LA RECUPERACIÓN DE LOS ESPACIOS DEL AGUA EN EL TERRITORIO QUE ADMINISTRATIVAMENTE CORRESPONDE A LA LOCALIDAD DE SANTA FE, MEDIANTE ACCIONES DE MEJORAMIENTO INTEGRAL PARA APORTAR AL CUMPLIMIENTO DE LAS METAS DEL PLAN DE DESARROLLO LOCAL SANTA FE CENTRO DE TODOS Y TODAS Y EN PARTICULAR LAS DEL PROYECTO  ¿SANTA FE SE ORDENA ALREDEDOR DEL AGUA¿ EN SU COMPONENTE DE ¿RECUPERACIÓN DE RÍOS Y QUEBRADAS, DE ACUERDO A SOLICITUD EFECTUADA BAJO EL NUMERO DE RADICACION 2015.032.000.6023 DE FECHA JUNIO 23 DE 2015, FIRMADA POR EL ALCALDE LOCAL.</t>
  </si>
  <si>
    <t xml:space="preserve">CONTRATRACIÓN DIRECTA </t>
  </si>
  <si>
    <t>INTERVENTORÍA AL PROYECTO 1161 FORTALECIMIENTO A LA ORQUESTA FILARMÓNICA JUVENIL DE LA LOCALIDAD, EL CONTRATISTA, SE OBLIGA CON EL FONDO DE DESARROLLO A REALIZAR LA INTERVENTORÍA TÉCNICA, ADMINISTRATIVA,  FINANCIERA, CONTABLE, SOCIAL Y AMBIENTAL DEL CONVENIO DE ASOCIACIÓN  NO 059-2015 SUSCRITO CON COOPERATIVA FILARMONICA ¿ COOPFILARMONICA DE CONFORMIDAD CON LAS CONDICIONES SEÑALADAS EN LOS ESTUDIOS PREVIOS Y LA PRESENTE INVITACIÓN, DOCUMENTOS QUE FORMAN PARTE INTEGRAL DEL PROCESO.DE ACUERDO A SOLICITUD EFECTUADA BAJO EL NUMERO DE RADICACION 2015.032.000.6043 DE FECHA JUNIO 23 DE 2015, FIRMADA POR EL ALCALDE LOCAL.</t>
  </si>
  <si>
    <t>AUNAR ESFUERZOS TÉCNICOS, ADMINISTRATIVOS, FINANCIEROS Y HUMANOS PARA BRINDAR  A LOS NIÑOS, NIÑAS Y JÓVENES DE LA LOCALIDAD DE SANTA FE, FORMACIÓN INTEGRAL CON EL OBJETIVO DE DAR CONTINUIDAD Y FORTALECER LA ORQUESTA FILARMÓNICA JUVENIL DE LA LOCALIDAD, EN EL MARCO DEL PROYECTO NO.1161, DE ACUERDO A SOLICITUD EFECTUADA BAJO EL NUMERO DE RADICACION 2015.032.000.4973 DE FECHA MAYO 29 DE 2015, FIRMADA POR EL ALCALDE LOCAL.</t>
  </si>
  <si>
    <t>EL CONTRATISTA, SE OBLIGA CON EL FONDO DE DESARROLLO A REALIZAR LA INTERVENTORÍA TÉCNICA, ADMINISTRATIVA,  FINANCIERA, CONTABLE, SOCIAL Y AMBIENTAL DEL CONVENIO DE ASOCIACIÓN  NO. 031 DEL 2015, SUSCRITO CON FUNDACIÓN  PARA EL DESARROLLO INTEGRAL Y SOCIAL ¿ FUNDIDERC DE CONFORMIDAD CON LAS CONDICIONES SEÑALADAS EN LOS ESTUDIOS PREVIOS Y LA PRESENTE INVITACIÓN, DOCUMENTOS QUE FORMAN PARTE INTEGRAL DEL PROCESO, DE ACUERDO A SOLICITUD EFECTUADA BAJO EL NUMERO DE RADICACION 2015.032.000.4253 DE FECHA MAYO 5 DE 2015, FIRMADA POR EL ALCALDE LOCAL.</t>
  </si>
  <si>
    <t>860521835-9</t>
  </si>
  <si>
    <t>FUNDACION CULTURAL COLOMBIA NEGRA F C C N.</t>
  </si>
  <si>
    <t xml:space="preserve">1 MES </t>
  </si>
  <si>
    <t>AUNAR ESFUERZOS HUMANOS, ADMINISTRATIVOS, TÉCNICOS Y FINANCIEROS, PARA REALIZAR EL PROYECTO 1161 DENOMINADO PROGRAMAS CULTURALES PARA TODOS Y TODAS EN SU COMPONENTE ¿DÍA DE LA AFROCOLOMBIANIDAD, DE ACUERDO A SOLICITUD EFECTUADA BAJO EL NUMERO DE RADICACION 2015.032.000.4613 DE FECHA MAYO 15 DE 2015, FIRMADA POR EL ALCALDE LOCAL.</t>
  </si>
  <si>
    <t>REALIZAR LA INTERVENTORÍA TÉCNICA, ADMINISTRATIVA,  FINANCIERA, CONTABLE, SOCIAL Y AMBIENTAL DEL CONVENIO DE ASOCIACIÓN NO. 69 DEL 2015, SUSCRITO CON LA FUNDACIÓN SAN GABRIEL ARCANGEL, DE CONFORMIDAD CON LAS CONDICIONES SEÑALADAS EN LOS ESTUDIOS PREVIOS Y LA PRESENTE INVITACIÓN, DOCUMENTOS QUE FORMAN PARTE INTEGRAL DEL PROCESO, DE ACUERDO A MEMORANDO RADICADO BAJO EL NUMERO 2015-032-000-6123 DE FECHA JUNIO 24 DE 2015, FIRMADO POR EL ALCALDE LOCAL.</t>
  </si>
  <si>
    <t>AUNAR ESFUERZOS TÉCNICOS ADMINISTRATIVOS Y FINANCIEROS PARA EJECUTAR EL PROYECTO DE POLÍTICA PÚBLICA PARA LOS GRUPOS POBLACIONALES DE LA LOCALIDAD DE SANTA FE, VIGENCIA 2015,  DE ACUERDO A SOLICITUD EFECTUADA BAJO EL NUMERO DE RADICACION 2015.032.000.6013 DE FECHA JUNIO 23 DE 2015, FIRMADA POR EL ALCALDE LOCAL.</t>
  </si>
  <si>
    <t>LINIO  VERA GONZALEZ</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</si>
  <si>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DOCUMENTO NOHAY NUMERO 1450 EXPEDIDO POR LA DIRECCION DE GESTION HUMANA DE LA SECRETARIA DE GOBIERNO Y MEMORANDO RADICADO BAJO EL NUMERO 2015-032-000-6373 DE FECHA JUNIO 24 DE 2015, FIRMADO POR EL ALCALDE LOCAL. Y CONSTANCIA DE PROBLEMAS TECNOLOGICOS CON RADICADO NUMERO 2015.032..00.95441 DE FECHA JUNIO 24 DE 2015.</t>
  </si>
  <si>
    <t>LEIDER ARMANDO VALDES SILVA</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</si>
  <si>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2015-032-000-6343 DE FECHA JUNIO 24 DE 2015, FIRMADO POR EL ALCALDE LOCAL. LOCAL Y CONSTANCIA DE PROBLEMAS TECNOLOGICOS CON RADICADO NUMERO 2015.032..00.95441 DE FECHA JUNIO 24 DE 2015.</t>
  </si>
  <si>
    <t>OSCAR JAVIER BALLESTEROS ARAUJO</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</si>
  <si>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2015-032-000-5833 DE FECHA JUNIO 22 DE 2015, FIRMADO POR EL ALCALDE LOCAL. Y CONSTANCIA DE PROBLEMAS TECNOLOGICOS CON RADICADO NUMERO 2015.032..00.95441 DE FECHA JUNIO 24 DE 2015.</t>
  </si>
  <si>
    <t>NATALIA  CASTILLO TELLEZ</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</si>
  <si>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2015-032-000-6273 DE FECHA JUNIO 24 DE 2015, FIRMADO POR EL ALCALDE LOCAL.Y CONSTANCIA DE PROBLEMAS TECNOLOGICOS CON RADICADO NUMERO 2015.032..00.95441 DE FECHA JUNIO 24 DE 2015.</t>
  </si>
  <si>
    <t>CLAUDIA JOHANA CASTILLO HERNANDEZ</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</si>
  <si>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2015-032-000-6303 DE FECHA JUNIO 24 DE 2015, FIRMADO POR EL ALCALDE LOCAL. Y CONSTANCIA DE PROBLEMAS TECNOLOGICOS CON RADICADO NUMERO 2015.032..00.95441 DE FECHA JUNIO 24 DE 2015.</t>
  </si>
  <si>
    <t>CIELO AZUCENA OVALLE JIMENEZ</t>
  </si>
  <si>
    <t>CONTRATO DE PRESTACION DE SERVICIOS PROFESIONALES</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</si>
  <si>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2015-032-000-6333 DE FECHA JUNIO 24 DE 2015, FIRMADO POR EL ALCALDE LOCAL.Y CONSTANCIA DE PROBLEMAS TECNOLOGICOS CON RADICADO NUMERO 2015.032..00.95441 DE FECHA JUNIO 24 DE 2015.</t>
  </si>
  <si>
    <t>KAREN JULIETH SANDOVAL CASALLAS</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</si>
  <si>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2015-032-000-6263 DE FECHA JUNIO 24 DE 2015, FIRMADO POR EL ALCALDE LOCAL.Y CONSTANCIA DE PROBLEMAS TECNOLOGICOS CON RADICADO NUMERO 2015.032..00.95441 DE FECHA JUNIO 24 DE 2015.</t>
  </si>
  <si>
    <t>LUZ ANGELA BATTE NOVOA</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</si>
  <si>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2015-032-000-6253 DE FECHA JUNIO 24 DE 2015, FIRMADO POR EL ALCALDE LOCAL.Y CONSTANCIA DE PROBLEMAS TECNOLOGICOS CON RADICADO NUMERO 2015.032..00.95441 DE FECHA JUNIO 24 DE 2015.</t>
  </si>
  <si>
    <t>HECTOR LEONARDO ROMERO SIERRA</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</si>
  <si>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2015-032-000-6183 DE FECHA JUNIO 24 DE 2015, FIRMADO POR EL ALCALDE LOCAL.Y CONSTANCIA DE PROBLEMAS TECNOLOGICOS CON RADICADO NUMERO 2015.032..00.95441 DE FECHA JUNIO 24 DE 2015.</t>
  </si>
  <si>
    <t>DIANA CAROLINA SANCHEZ FLOREZ</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</si>
  <si>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2015-032-000-6223 DE FECHA JUNIO 24 DE 2015, FIRMADO POR EL ALCALDE LOCAL.Y CONSTANCIA DE PROBLEMAS TECNOLOGICOS CON RADICADO NUMERO 2015.032..00.95441 DE FECHA JUNIO 24 DE 2015.</t>
  </si>
  <si>
    <t>MARIA FERNANDA ORDOÑEZ FANDIÑO</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</si>
  <si>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2015-032-000-6283 DE FECHA JUNIO 24 DE 2015, FIRMADO POR EL ALCALDE LOCAL Y CONSTANCIA DE PROBLEMAS TECNOLOGICOS EN LOS APLICATIVOS CON RADICADO NUMERO 2015.032..00.95441DE FECHA JUNIO 24 DE 2015.</t>
  </si>
  <si>
    <t>JUDY  CRUZ PINEDA</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</si>
  <si>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2015-032-000-6353 DE FECHA JUNIO 24 DE 2015, FIRMADO POR EL ALCALDE LOCAL.</t>
  </si>
  <si>
    <t>DIANNIS  MENDOZA SALAS</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</si>
  <si>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2015-032-000-6363 DE FECHA JUNIO 24 DE 2015, FIRMADO POR EL ALCALDE LOCAL.</t>
  </si>
  <si>
    <t>LINA ZENITH MARTINEZ</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</si>
  <si>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2015-032-000-6323 DE FECHA JUNIO 24 DE 2015, FIRMADO POR EL ALCALDE LOCAL.</t>
  </si>
  <si>
    <t>BIBIAN PATRICIA ANGULO ARIAS</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</si>
  <si>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PROCESO.DE ACUERDO A MEMORANDO RADICADO BAJO EL NUMERO 2015-032-000-6313DE FECHA JUNIO 24 DE 2015, FIRMADO POR EL ALCALDE LOCAL.</t>
  </si>
  <si>
    <t>FERNANDO  QUINTERO RIVILLAS</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</si>
  <si>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2015-032-000-6293 DE FECHA JUNIO 24 DE 2015, FIRMADO POR EL ALCALDE LOCAL.</t>
  </si>
  <si>
    <t>YENSY LOREMY BERNAL CIFUENTES</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</si>
  <si>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2015-032-000-6213 DE FECHA JUNIO 24 DE 2015, FIRMADO POR EL ALCALDE LOCAL.</t>
  </si>
  <si>
    <t>LUZ MERY MORENO WILCHES</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</si>
  <si>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2015-032-000-6203 DE FECHA JUNIO 24 DE 2015, FIRMADO POR EL ALCALDE LOCAL.</t>
  </si>
  <si>
    <t>MANUEL  SUAREZ GARZON</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</si>
  <si>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2015-032-000-6233 DE FECHA JUNIO 24 DE 2015, FIRMADO POR EL ALCALDE LOCAL.</t>
  </si>
  <si>
    <t>WILLIAM ALBERTO BASTO VERANO</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</si>
  <si>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2015-032-000-6173 DE FECHA JUNIO 24 DE 2015, FIRMADO POR EL ALCALDE LOCAL.</t>
  </si>
  <si>
    <t>ORLANDO  QUIMBAYO MONCALEANO</t>
  </si>
  <si>
    <t>PRESTAR SERVICIOS DE APOYO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2015-032-000-6163 DE FECHA JUNIO 24 DE 2015, FIRMADO POR EL ALCALDE LOCAL.</t>
  </si>
  <si>
    <t>RICARDO ALFONSO RAMIREZ ROBAYO</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</si>
  <si>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PROCESO.DE ACUERDO A MEMORANDO RADICADO BAJO EL NUMERO 2015-032-000-6153 DE FECHA JUNIO 24 DE 2015, FIRMADO POR EL ALCALDE LOCAL.</t>
  </si>
  <si>
    <t>LUISA FERNANDA ACERO PIÑEROS</t>
  </si>
  <si>
    <t>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2015-032-000-6133 DE FECHA JUNIO 24 DE 2015, FIRMADO POR EL ALCALDE LOCAL.</t>
  </si>
  <si>
    <t>4002- 001 -2015</t>
  </si>
  <si>
    <t>4002-002-2015</t>
  </si>
  <si>
    <t>JUAN FELIPE CUELLAR RODRIGUEZ</t>
  </si>
  <si>
    <t>EL CONTRATISTA, SE OBLIGA CON EL FONDO DE DESARROLLO LOCAL  A REALIZAR LA INTERVENTORÍA TÉCNICA, ADMINISTRATIVA,  FINANCIERA, CONTABLE, SOCIAL Y AMBIENTAL DEL CONVENIO DE ASOCIACIÓN  NO. 060 DE 2015, SUSCRITO CON CORPORACIÓN INNOVA, DE CONFORMIDAD CON LAS CONDICIONES SEÑALADAS EN LOS ESTUDIOS PREVIOS Y LA PRESENTE INVITACIÓN, DOCUMENTOS QUE FORMAN PARTE INTEGRAL DEL PROCESO, DE ACUERDO A MEMORANDO RADICADO BAJO EL NÚMERO 2015-032-000-6103 DE FECHA JUNIO 24 DE 2015, FIRMADO POR EL ALCALDE LOCAL.</t>
  </si>
  <si>
    <t>AUNAR ESFUERZOS HUMANOS, ADMINISTRATIVOS, TÉCNICOS Y FINANCIEROS, PARA REALIZAR EL PROYECTO 1150 DENOMINADO CON EDUCACIÓN PARA TODAS Y TODOS EN SU COMPONENTE ¿ACTIVIDADES DE APRENDIZAJE Y REFORZAMIENTO ESCOLAR A TRAVÉS DE ACTIVIDADES PEDAGÓGICAS EN LOS IEDS DE LA LOCALIDAD¿ - JUEGOS INTERCOLEGIADOS 2015, DE ACUERDO A SOLICITUD EFECTUADA BAJO EL NUMERO DE RADICACIÓN 2015.032.000.6033 DE FECHA JUNIO 23 DE 2015, FIRMADA POR EL ALCALDE LOCAL</t>
  </si>
  <si>
    <t>CONVENIO INTERADMINISTRATIVO</t>
  </si>
  <si>
    <t>ADICIÓN.- CONTRATACIÓN DIRECTA</t>
  </si>
  <si>
    <t>AUNAR ESFUERZOS TECNICOS, ADMINISTRATIVOS, Y FINANCIEROS CON EL FIN DE FORTALECER EL BANCO DE AYUDAS TECNICAS EN EL MARCO DEL PROYECTO 1149 SANTA FE CON SALUD PARA TODAS Y TODOS DE CONFORMIDAD CON EL ANEXO TECNICO, ESTUDIO PREVIO Y LA PROPUESTA, DOCUMENTOS QUE FORMAN PARTE INTEGRAL DEL CONVENIO DE ACUERDO A SOLICITUD EFECTUADA BAJO EL NUMERO DE RADICACION 2015.032.000.4193 DE FECHA MAYO 4  DE 2015, FIRMADA POR EL ALCALDE LOCAL.</t>
  </si>
  <si>
    <t>REALIZAR LA INTERVENTORIA TECNICA, ADMINISTRATIVA Y FINANCIERA, CONTABLE Y AMBIENTAL A LOS CONVENIOS INTERADMINISTRATIVOS CUYOS OBJETOS SON: AUNAR ESFUERZOS TECNICOS ADMINISTRATIVOS Y FINANCIEROS CON EL FIN DE FORTALECER EL BANCO DE AYUDAS TECNICAS EN EL MARCO DEL PROYECTO 1149 SANTA FE CON SALUD PARA TODAS Y TODOS  Y AUNAR ESFUERZOS TECNICOS ADMINISTRATIVOS Y FINANCIEROS CON EL FIN DE DESARROLLAR ACCIONES TENDIENTES A MEJORAR LAS CONDICIONES DE VIVIENDA Y SALUBRIDAD DE LOS HABITANTES DE LA LOCALIDAD TERCERA A TRAVES DE PROGRAMAS DE PREVENCIÓN E INTERVENCIÓN EN EL CONTROL DE VECTORES , PLAGA Y ROEDORES Y MEJORAR LAS CONDICIONES DE PREPARACIÓN Y EXPENDIO DE ALIMENTOS EN LOS ESTABLECIMIETNOS COMERCIALES DE LA LOCALIDAD EN EL MARCO DEL PROYECTO 1149 DENOMINADO SANTA FE CON SALUD PARA TODAS Y TODOS. , DE ACUERDO A SOLICITUD EFECTUADA BAJO EL NUMERO DE RADICACION 2015.032.000.4303 DE FECHA MAYO 6  DE 2015, FIRMADA POR EL ALCALDE LOCAL.</t>
  </si>
  <si>
    <t xml:space="preserve">PARA INCIAR </t>
  </si>
  <si>
    <t>ADICIÓN - CONTRATACIÓN DIRECTA</t>
  </si>
  <si>
    <t>AUNAR ESFUERZOS TECNICOS, ADMINISTRATIVOS Y FINANCIEROS CON EL FIN DE DESARROLLAR ACCIONES ENCAMINADAS A RESTAURAR LA AUTOIMAGEN Y EL POSICIONAMIENTO DENTARIO DE NIÑOS Y JOVENES ADOLESCENTES DE LA LOCALIDAD MEDIANTE LA IMPLEMENTACION DE TRATAMIENTOS COMPLETOS DE ORTODONCIA, DE ACUERDO A SOLCIITUD EFECTUADA MEDIANTE MEMORANDO DE FECHA MAYO 4 DE 2015, FIRMADA POR EL ALCALDE LOCAL.</t>
  </si>
  <si>
    <t>3,5 MESES</t>
  </si>
  <si>
    <t>ADICIÓN Y PRORROGA NO. 1 AL CIA 075 DE 2014 RUTA SALUDABLE , AUNAR ESFUERZOS TECNICOS ADMINISTRATIVOS Y FINANCIEROS CON EL FIN DE BRINDAR A LOS HABITANTES DE LA LOCALIDAD EN SITUACIÓN DE FRAGILIDAD SOCIAL, CONDICIONES DE FAVORABLES DE ACCESO A LOS CENTROS DE SALUD EN EL MARCO DEL PROYECTO 1149 SANTA FE CON SALUD PARA TODAS Y TODOS COMPONENTE RUTA SALUDABLE DE CONFORMIDAD CON EL ANEXO TECNICO, ESTUDIO PREVIO Y LA PROPUESTA, DOCUMENTOS QUE FORMAN PARTE INTEGRAL DEL CONVENIO.DE ACUERDO A MEMORANDO RADICADO BAJO EL NUMERO 2015-032-000-6453 DE FECHA JUNIO 26 DE 2015, FIRMADO POR EL ALCALDE LOCAL.</t>
  </si>
  <si>
    <t>ADICIÓN Y PRORROGA 1 AL CIN 053 DE 2015, EL CUAL TIENE POR OBJETO  REALIZAR LA INTERVENTORIA TÉCNICA ADMINISTRATIVA FINANCIERA CONTABLE Y AMBIENTAL AL CONVENIO INTERADMINISTRATIVO CIA- 075 DE 2014, DE ACUERDO A MEMORANDO RADICADO BAJO EL NUMERO 2015-032-000-6453 DE FECHA JUNIO 26 DE 2015, FIRMADO POR EL ALCALDE LOCAL.</t>
  </si>
  <si>
    <t>REALIZAR LA INTERVENTORIA TÉCNICA ADMINISTRATIVA FINANCIERA CONTABLE Y AMBIENTAL AL CONVENIO INTERADMINISTRATIVO CIA NO. 075-2014 CUYO OBJETO ES¿AUNAR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TECNICO, EL ESTUDIO PREVIO Y LA PROPUESTA, DOCUMENTOS QUE FORMAN PARTE INTEGRAL DEL CONVENIO , DE ACUERDO A SOLICITUD EFECTUADA BAJO EL NUMERO DE RADICACION 2015.032.000.4623 DE FECHA MAYO 19  DE 2015, FIRMADA POR EL ALCALDE LOCAL .</t>
  </si>
  <si>
    <t>REALIZAR LA INTERVENTORIA TECNICA ADMINISTRATIVA FINANCIERA CONTABLE Y AMBIENTAL AL CONVENIO INTERADMINISTRATIVO 104-14 CUYO OBJETO ES AUNAR ESFUERZOS TECNICOS ADMINISTRATIVOS Y FINANCIEROS CON EL FIN DE DESARROLLAR ACCIONES ENCAMINADAS A RESTAURAR LA AUTOIMAGEN Y EL POSICIONAMIENTO DENTARIO DE NIÑOS Y JOVENES ADOLECENTES DE LA LOCALIDAD. MEDIANTE LA IMPLEMENTACIÓN DE TRATAMIENTOS COMPLETOS DE ORTODONCIA. DE ACUERDO A SOLICITUD  EFECTUADA BAJO EL NUMERO DE RADICACION 2015.032.000.4233 DE FECHA MAYO 4 DE 2015, FIRMADA POR EL ALCALDE LOCAL.</t>
  </si>
  <si>
    <t>ADICIÓN Y PRORROGA NO. 1 AL CIA 074 DE 2014 SALUD ORAL ,EL CUAL TIENE POR OBJETO AUNAR ESFUERZOS TECNICOS ADMINISTRATIVOS Y FINANCIEROS CON EL FIN DE EJECUTAR EL PROYECTO 1149 SANTA FE CON SALUD PARA TODAS Y TODOS COMPONENTE APOYO EN PROGRAMA DE SALUD ORAL PARA ADULTOS DE CONFORMIDAD CON EL ANEXO TECNICO EL ESTUDIO PREVIO Y LA PROPUESTA, DOCUMENTOS QUE FORMAN PARTE INTEGRAL DEL CONVENIO. DE ACUERDO A MEMORANDO RADICADO BAJO EL NUMERO 2015-032-000-6533 DE FECHA JULIO 1 DE 2015, FIRMADO POR EL ALCALDE LOCAL.</t>
  </si>
  <si>
    <t>ADICIÓN Y PRORROGA NO. 1 AL CIA 076 DE 2014, AUNAR ESFUERZOS TECNICOS ADMINISTRATIVOS Y FINANCIEROS CON EL FIN DE EJECUTAR EL PROYECTO 1149, SANTA FE CON SALUD PARA TODAS Y TODOS COMPONENTE ACCIONES INTEGRALES EN SALUD,EL CUAL TIENE POR OBJETO DESARROLLAR ACTIVIDADES QUE CONTRIBUYAN A MEJORAR LAS CONDICIONES DE SALUD DE LOS HABITANTES DE LA LOCALIDAD - ACCIONES INTEGRALES EN SALUD CON RECURSOS DE VIGENCIA 2015, DE ACUERDO A MEMORANDO RADICADO BAJO EL NUMERO 2015-032-000-6533 DE FECHA JULIO 1 DE 2015, FIRMADO POR EL ALCALDE LOCAL.</t>
  </si>
  <si>
    <t>ADICION Y PRORROGA # 1 - REALIZAR LA INTERVENTORIA TÉCNICA ADMINISTRATIVA FINANCIERA CONTABLE Y AMBIENTAL AL CONVENIO INTERADMINISTRATIVO CUYO OBJETO ES "AUNAR ESFUERZOS TECNICOS, ADMINISTRATIVOS Y FINANCIEROS CON EL FIN DE EJECUTAR EL PROYECTO 1149 SANTA FE CON SALUD PARA TODAS Y TODOS, COMPONENTE ACCIONES INTEGRALES EN SALUD, DE CONFORMIDAD CON EL ANEXO TECNICO, EL ESTUDIO PREVIO Y LA PROPUESTA, DOCUMENTOS QUE FORMAN PARTE INTEGRAL DEL CONVENIO. DE ACUERDO A MEMORANDO RADICADO BAJO EL NÚMERO 2015-032-000-6533 DE FECHA JULIO 1  DE 2015, FIRMADO POR EL ALCALDE LOCAL.</t>
  </si>
  <si>
    <t>ADICIÓN Y PRORROGA # 1- AL CIN 104 DE 2014, EL CUAL TIENE POR OBJETO  REALIZAR LA INTERVENTORIA TÉCNICA ADMINISTRATIVA FINANCIERA CONTABLE Y AMBIENTAL AL CONVENIO INTERADMINISTRATIVO CIA- 074 DE 2014., DE ACUERDO A MEMORANDO RADICADO BAJO EL NUMERO 2015-032-000-6533 DE FECHA JULIO 1 DE 2015, FIRMADO POR EL ALCALDE LOCAL.</t>
  </si>
  <si>
    <t xml:space="preserve">ADICIÓN   </t>
  </si>
  <si>
    <t>EL CONTRATO QUE SE PRETENDE CELEBRAR, TENDRÁ POR OBJETO ¿REALIZAR LA INTERVENTORÍA TÉCNICA, ADMINISTRATIVA,  FINANCIERA, CONTABLE, SOCIAL Y AMBIENTAL DEL CONTRATO DE PRESTACIÓN DE SERVICIOS QUE SE DERIVE DEL PROCESO DE MÍNIMA CUANTÍA   NO. 013 DE 2015, DE CONFORMIDAD CON LAS CONDICIONES SEÑALADAS EN LOS ESTUDIOS PREVIOS Y LA PRESENTE INVITACIÓN, DOCUMENTOS QUE FORMAN PARTE INTEGRAL DEL PROCESO¿., DE ACUERDO A SOLICITUD EFECUADA BAJO EL NUMERO DE RADICACION 2015.032.000.7403 DE FECHA JULIO 27 DE 2015, FIRMADA POR EL ALCALDE LOCAL.,</t>
  </si>
  <si>
    <t>EL CONTRTO QUE SE PRETENDE CELEBRAR TENDRA POR OBJETO 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 DE ACUERDO A MEMORANDO RADICADO BAJO EL NUMERO 2015-032-000-7393 DE FECHA JULIO 27 DE  2015, FIRMADO POR EL ALCALDE LOCAL.</t>
  </si>
  <si>
    <t>LUIS ENRIQUE MERCADO PEREZ</t>
  </si>
  <si>
    <t>ADICION Y PRORROGA # 1 CAS 163/2014 - AUNAR ESFUERZOS TÉCNICOS ADMINISTRATIVOS Y FINANCIEROS PARA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 DE ACUERDO A SOLICITUD EFECTUADA BAJO EL NUMERO DE RADICACION 2015032.000.7153 DE FECHA JULIO 16 DE 2015, FIRMADO POR EL ALCALDE LOCAL.</t>
  </si>
  <si>
    <t>EL CONTRATISTA SE OBLIGA A PRESTAR LOS SERVICIOS PARA LA REALIZACIÓN DEL FESTIVAL DE LA CHICHA, EL MAÍZ, LA VIDA Y LA DICHA, QUE PERMITA RESCATAR Y FORTALECER LA CULTURA POPULAR. EN EL MARCO DEL PROYECTO Nº.1161 PROGRAMAS CULTURALES PARA TODAS Y TODOS, DE ACUERDO A MEMORANDO RADICADO BAJO EL NUMERO 2015-032-000-7423 DE FECHA JULIO 27  DE 2015, FIRMADO POR EL ALCALDE LOCAL.</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</si>
  <si>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 DE ACUERDO A MEMORANDO RADICADO BAJO EL NUMERO 2015-032-000-7413 DE FECHA JULIO 27 DE 2015, FIRMADO POR EL ALCALDE LOCAL.</t>
  </si>
  <si>
    <t>CARLOS ALBERTO PINZON MOLINA</t>
  </si>
  <si>
    <t>ADICION Y PRORROGA AL CAS 128/14. AUNAR ESFUERZOS TÉCNICOS, ADMINISTRATIVOS Y FINANCIEROS PARA EJECUTAR LAS ACTIVIDADES PLANTEADAS EN EL PROYECTO 1163 SANTA FE, MÁS ACTIVA Y DINÁMICA, COMPONENTE: ESCUELAS DE FORMACIÓN DEPORTIVA DE ACUERDO A SOLICITUD EFECTUADA BAJO EL NUMERO DE RADICACION 2015-032-000-6683 DE FECHA JULIO 7 DE 2015, FIRMADA POR EL ALCALDE LOCAL.</t>
  </si>
  <si>
    <t>ADICIÓN Y PRORROGA NO. 2 AL CONTRATO DE OBRA PÚBLICA NO. 102-2014 ¿SUSCRITO ENTRE EL FONDO DE DESARROLLO LOCAL DE SANTA FE Y CODIPRO INGENIERÍA Y ARQUITECTURA LTDA. CONSTRUCCIONES DISEÑOS Y PROYECTOS.EL CONTRATISTA SE OBLIGA CON EL FONDO DE DESARROLLO LOCAL DE SANTA FE A REALIZAR LA INTERVENTORÍA TÉCNICA, ADMINISTRATIVA, FINANCIERA Y AMBIENTAL, AL CONTRATO QUE  RESULTE DEL PROCESO LICITATORIO NO. FDLSF ¿ 002 DE 2014 CUYO OBJETO ES ¿EL DISEÑO Y EJECUCIÓN  DE LAS OBRAS  DE  CONSTRUCCIÓN, ADECUACIÓN Y MANTENIMIENTO DE PARQUES DE LA LOCALIDAD DE LA LOCALIDAD DE SANTA FE, EN BOGOTÁ, D.C., DE ACUERDO CON LA DESCRIPCIÓN, ESPECIFICACIONES Y DEMÁS CONDICIONES ESTABLECIDAS EN LOS ESTUDIOS PREVIOS, LOS ANEXOS, EL PLIEGO DE CONDICIONES Y ANEXO TÉCNICO GENERAL,  DOCUMENTOS QUE HACEN PARTE INTEGRAL DEL PRESENTE PROCESO.ANEXAN JUSTIFICACION DE ADICION Y PRORROGA NUMERO 02 AL CIN 102 DE 2014. CON JUSTIFICACION TECNICA Y JURIDICA DEBIDAMENTE FIRMADA POR EL SUPERVISOR DE APOYO Y REVISADA POR LA ABOGADA DE APOYO DEL FDLSF. MEORANDO RADICADO BAJO EL NUMERO 2015032-000-7193 DE FECHA JULIO 17 DE 2015, FIRMADO POR EL ALCALDE LOCAL.</t>
  </si>
  <si>
    <t>ADICIÓN Y PRÓRROGA NO 1 AL CONTRATO DE INTERVENTORÍA NO 167 DE 2014, CUYO OBJETO ES: REALIZAR LA INTERVENTORÍA TÉCNICA, ADMINISTRATIVA, FINANCIERA CONTABLE Y JURÍDICA DEL CONTRATO QUE SE QUE SE SUSCRIBA  PARA LA EJECUCIÓN DEL PROYECTO NO 1170 , PROGRAMA GESTIÓN INTEGRAL DE RIESGOS, DE CONFORMIDAD CON LAS CONDICIONES SEÑALADAS EN LOS ESTUDIOS PREVIOS, DE ACUERDO A SOLICITUD EFECTUADA BAJO EL NUMERO DE RADICACION  2015.032.000.7363 DE FECHA JULIO 24 DE 2015, FIRMADO POR EL ALCALDE LOCAL.</t>
  </si>
  <si>
    <t>ADICIÓN NO. 2 Y PRÓRROGA NO. 1 AL CONTRATO DE PRESTACIÓN DE SERVICIOS NO. 165 DE 2014, CUYO OBJETO ES: ¿EJECUTAR ACTIVIDADES ENCAMINADAS AL FORTALECIMIENTO DEL PROGRAMA DISTRITAL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TODAS Y TODOS Y EN PARTICULAR LAS DEL PROYECTO 1172 SANTA FE BASURA CERO¿, DE ACUERDO A MEMORANDO RADICADO BAJO EL NÚMERO 2015-032-000-6943 DE FECHA JULIO 13 DE 2015, FIRMADO POR EL ALCALDE LOCAL.</t>
  </si>
  <si>
    <t>ADICIÓN  1 Y PRÓRROGA NO 1 AL CONTRATO DE INTERVENTORÍA NO 166 DE 2014, CUYO OBJETO ES: REALIZAR LA INTERVENTORÍA TÉCNICA, ADMINISTRATIVA Y FINANCIERA AL CONTRATO DE PRESTACIÓN DE SERVICIOS QUE SE DERIVE DEL PROYECTO  NO. 1172 SANTA FE BASURA CERO, DE CONFORMIDAD CON LOS ESTUDIOS PREVIOS Y EL PLIEGO DE CONDICIONES, DOCUMENTOS QUE FORMAN PARTE INTEGRAL DEL PROCESO., DE ACUERDO A SOLICITUD EFECTUADA BAJO EL NUMERO DE RADICACION 2015032.000.7133 DE FECHA JULIO 16 DE 2015, FIRMADO POR EL ALCALDE LOCAL.</t>
  </si>
  <si>
    <t>VERIFICADOR</t>
  </si>
  <si>
    <t xml:space="preserve">MINIMA CUANIA </t>
  </si>
  <si>
    <t xml:space="preserve">CONTTRA EJECUCIÓN </t>
  </si>
  <si>
    <t xml:space="preserve">SELECCIÓN ABREVIADA MENOR CUANTIA </t>
  </si>
  <si>
    <t xml:space="preserve">DIRECTA </t>
  </si>
  <si>
    <t xml:space="preserve">DIRECTA - ADIPRO </t>
  </si>
  <si>
    <t xml:space="preserve">ADIPRO- DIRECTA </t>
  </si>
  <si>
    <t xml:space="preserve">ADIPRO </t>
  </si>
  <si>
    <t xml:space="preserve">1 EVENTO </t>
  </si>
  <si>
    <t xml:space="preserve">VERIFICADO </t>
  </si>
  <si>
    <t>79867234-5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</si>
  <si>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 , DE ACUERDO A MEMORANDO RADICADO BAJO EL NUMERO 2015-032-000-7653 DE FECHA JULIO 31 DE 2015, FIRMADO POR EL ALCALDE LOCAL.  SOLICITUD DE REGISTRO MEDIANTE ORFEO RADICADO NUMERO 20150320008323 DE 20/08/2015</t>
  </si>
  <si>
    <t>Adición y Prórroga 01 al CPS-042-2015 suscrito entre el Fondo de Desarrollo Local de Santa Fe y Rebeca Gonzalez Jaimes, De acuerdo a solicitud efectuada bajo el número de radicación 2015-032-000-7523 de fecha Julio 28 de 2015, firmada por el alcalde local.</t>
  </si>
  <si>
    <t xml:space="preserve">3 MESES 10 DIAS </t>
  </si>
  <si>
    <t>EL CONTRATISTA SE COMPROMETE CON EL FONDO DE DESARROLLO LOCAL DE SANTA FE, A REALIZAR UN PROGRAMA DE VALIDACIÓN DE LOS CICLOS I, II, III, IV Y MEDIA I Y II A JÓVENES EN EDAD EXTRAESCOLAR Y POBLACIÓN ADULTA DE LA LOCALIDAD DE SANTA FE EN HORARIOS FLEXIBLES, SEGUN SOLICITUD EFECTUADA BAJO EL NUMERO DE RADICACION 2015032-000-8823 DE FECHA SEPTIEMBRE 4 DE 2015, FIRMADO POR EL ALCALDE LOCAL.</t>
  </si>
  <si>
    <t>EL CONTRATISTA SE OBLIGA PARA CON EL FONDO DE DESARROLLO A PRESTAR LOS SERVICIOS PARA LA EJECUCION Y CELEBRACION DEL EVENTO CULTURAL LOCAL, DENOMINADO "DIA DEL ADULTO MAYOR" - 2015 EN EL MARCO DEL PROYECTO  NO 1161 "PROGRAMAS CULTURALES PARA TODOS Y TODAS" DE CONFORMIDAD CON LOS ESTUDIOS PREVIOS Y EL PLIEGO DE CONDICIONES, Y DEMAS DOCUMENTOS QUE FORMAN PARTE INTEGRAL DEL PROCESO.  DE ACUERDO CON EL MEMORANDO RADICADO BAJO EL NUMERO 2015032.0009253 DE  FECHA SEPTIEMBRE 23 DE 2015, FIRMADO POR EL ALCALDE LOCAL.</t>
  </si>
  <si>
    <t>¿DOTAR  3 BIBLIOTECAS COMUNITARIAS CON MATERIAL BIBLIOGRÁFICO, DIDÁCTICO, MOBILIARIO Y EQUIPOS TECNOLÓGICOS SEGÚN LA NECESIDAD DE CADA UNA, A FIN DE GENERAR UN APOYO A LA EDUCACIÓN PERMANENTE  PARA EL DESARROLLO DE LA COMUNIDAD¿. DE ACUERDO A MEMORANDO RADICADO BAJO EL NUMERO 2015-032-000-9293 DE FECHA SEPTIEMBRE 23 DE 2015, FIRMADO POR EL ALCALDE LOCAL.</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</si>
  <si>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 DE ACUERDO A SOLICITUD EFECTUADA BAJO EL NUMERO DE RADICACION 2015.032.000.8333 DE FECHA AGOSTO 20 DE 2015, FIRMADO POR EL ALCALDE LOCAL.</t>
  </si>
  <si>
    <t>CONTRATO DE SUMINISTRO</t>
  </si>
  <si>
    <t>COMERCIALIZADORA INTERNACIONAL M.A.C. LTDA</t>
  </si>
  <si>
    <t>CUARTO PODER O R S.A.S.</t>
  </si>
  <si>
    <t>REALIZAR ACCIONES PARA LA MITIGACION Y ERRADICACION DE PUNTOS CRITICOS EN ESPACIO PUBLICO EN LA LOCALIDAD DE SANTA FE, DE CONFORMIDAD CON LOS ESTUDIOS PREVIOS Y EL PLIEGO DE CONDICIONES, DOCUMENTOS QUE HACEN PARTE INTEGRAL DEL PROCESO, DE ACUERDO A SOLICITUD EFECTUADA BAJO EL NUMERO DE RADICACION 2015.032.000.9263 DE FECHA SEPTIEMBRE 23 DE 2015, FIRMADO POR EL ALCALDE LOCAL.</t>
  </si>
  <si>
    <t>EL CONTRATISTA SE OBLIGA CON EL FONDO DE DESARROLLO LOCAL DE SANTA FE A REALIZAR A PRECIOS UNITARIOS SIN FORMULA DE REAJUSTE, EL DIAGNOSTICO,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CONTRATO, DE ACUERDO A SOLICITUD EFECTUADA BAJO EL NUMERO DE RADICACION 2015.032.000.8423 DE FECHA AGOSTO 25 DE 2015, FIRMADA POR EL ALCALDE LOCAL.</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</si>
  <si>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 DE ACUERDO A MEMORANDO RADICADO BAJO EL NUMERO 2015-032-000-8793 DE FECHA SEPTIEMBRE 3 DE 2015, FIRMADO POR EL ALCALDE LOCAL.</t>
  </si>
  <si>
    <t>CONTRATO DE OBRA</t>
  </si>
  <si>
    <t>CONSORCIO ZOHET</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</si>
  <si>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 DE ACUERDO A SOLICITUD EFECTUADA BAJO EL NUMERO DE RADICACION 20015.032.000.8843 DE FECHA SEPTIEMBRE 4 DE 2015, FIRMADA POR EL ALCALDE LOCAL.</t>
  </si>
  <si>
    <t>CONTRATO DE COMPRAVENTA</t>
  </si>
  <si>
    <t>ADM ARTICULOS DE MONTAÑA S A S</t>
  </si>
  <si>
    <t>DOTAR  SEIS (6)  SALONES COMUNALES CON ELEMENTOS, MATERIALES Y MOBILIARIO PARA EL DESARROLLO DE LA COMUNIDAD A TRAVÈS DE LA PARTICIPACIÓN E INTEGRACIÒN SOCIAL, DE ACUERDO A MEMORANDO RADICADO BAJO EL NUMERO 2015-032-000-8983 DE FECHA  SEPTIEMBRE 9  DE 2015, FIRMADO POR EL ALCALDE LOCAL.</t>
  </si>
  <si>
    <t>AMERICANA CORP S A S</t>
  </si>
  <si>
    <t xml:space="preserve">CPS </t>
  </si>
  <si>
    <t xml:space="preserve">CONTRA EJECUCIPON </t>
  </si>
  <si>
    <t xml:space="preserve">25  PERSONAS </t>
  </si>
  <si>
    <t xml:space="preserve">SUBASTA </t>
  </si>
  <si>
    <t>3 BIBLIOTECAS</t>
  </si>
  <si>
    <t>DOTACIÓN CLE</t>
  </si>
  <si>
    <t xml:space="preserve">LICITACIÓN  PUBLICA </t>
  </si>
  <si>
    <t xml:space="preserve">10 MESES </t>
  </si>
  <si>
    <t xml:space="preserve">1, PAGO ANTICIPO 40% VALOR TOTAL DEL CONTRATO , SALDO CONTRA ACTAS DE OBRA. </t>
  </si>
  <si>
    <t xml:space="preserve">ADICION </t>
  </si>
  <si>
    <t>900879383-3</t>
  </si>
  <si>
    <t xml:space="preserve">CONCURSO DE EMRITOS </t>
  </si>
  <si>
    <t xml:space="preserve">PRESTACIÓND E SERVICIOS </t>
  </si>
  <si>
    <t xml:space="preserve">750 PERSONAS- 15 PUNTOS CRITICOS </t>
  </si>
  <si>
    <t>830.029.017-2</t>
  </si>
  <si>
    <t xml:space="preserve">6 SALONES </t>
  </si>
  <si>
    <t>ADICION 001 AL CPS 105-2015. EL CONTRATISTA SE OBLIGA A PRESTAR LOS SERVICIOS PARA LA REALIZACIÓN DEL FESTIVAL DE LA CHICHA, EL MAÍZ, LA VIDA Y LA DICHA, QUE PERMITA RESCATAR Y FORTALECER LA CULTURA POPULAR. EN EL MARCO DEL PROYECTO Nº.1161 PROGRAMAS CULTURALES PARA TODAS Y TODOS. DE ACUERDO A SOLICITUD RADICADA BAJO  EL NUMERO 2015.032.000.9703 DE FECHA OCTUBRE 9 DE 2015, FIRMADA POR EL ALCALDE LOCAL.</t>
  </si>
  <si>
    <t>AUNAR ESFUERZOS TÉCNICOS, ADMINISTRATIVOS Y FINANCIEROS CON EL FIN DE FORTALECER LOS COPACOS SANTA FE, A TRAVÉS DE ACTIVIDADES QUE LOS VISIBILICEN Y PERMITAN AMPLIAR LA BASE DE DATOS DE LOS INTEGRANTES DEL MECANISMO DE PARTICIPACIÓN,  DE ACUERDO A MEMORANDO RADICADO BAJO EL NÚMERO 2015-032-0011183 DE FECHA NOVIEMBRE 26 DE 2015, FIRMADO POR EL ALCALDE LOCAL.</t>
  </si>
  <si>
    <t>AUNAR ESFUERZOS HUMANOS, ADMINISTRATIVOS, TÉCNICOS Y FINANCIEROS, PARA REALIZAR EL PROYECTO 1150 DENOMINADO CON EDUCACIÓN PARA TODAS Y TODOS EN SU COMPONENTE ¿ACTIVIDADES DE APRENDIZAJE Y REFORZAMIENTO ESCOLAR A TRAVÉS DE ACTIVIDADES PEDAGÓGICAS EN LOS IEDS DE LA LOCALIDAD¿ - JUEGOS INTERCOLEGIADOS 2015. , DE ACUERDO A MEMORANDO DE FECHA NOVIEMBRE 12 DE 2015, FIRMADO POR EL ALCALDE LOCAL.</t>
  </si>
  <si>
    <t>EL CONTRATISTA, SE OBLIGA CON EL FONDO DE DESARROLLO LOCAL  A REALIZAR LA INTERVENTORÍA TÉCNICA, ADMINISTRATIVA,  FINANCIERA, CONTABLE, SOCIAL Y AMBIENTAL DEL CONVENIO DE ASOCIACIÓN  NO. 060 DE 2015, SUSCRITO CON CORPORACIÓN INNOVA, DE CONFORMIDAD CON LAS CONDICIONES SEÑALADAS EN LOS ESTUDIOS PREVIOS Y LA PRESENTE INVITACIÓN, DOCUMENTOS QUE FORMAN PARTE INTEGRAL DEL PROCESO, DE ACUERDO A SOLICITUD EFECTUADA DE FECHA NOVIEMBRE 12 DE 2015, FIRMADA POR EL ALCALDE LOCAL.</t>
  </si>
  <si>
    <t>ADICION - CONTRIBUIR AL DESARROLLO Y FORTALECIMIENTO DE LAS CAPACIDADES Y POTENCIALIDADES RELACIONADAS CON LA PARTICIPACIÓN CON INCIDENCIA, EN EL CUIDADO Y LAS REDES SOCIALES,  FAMILIARES DE LAS PERSONAS MAYORES Y GRUPOS POBLACIONALES DE LA LOCALIDAD DE SANTA FE, EN SITUACIÓN DE DISCRIMINACIÓN Y SEGREGACIÓN SOCIOECONÓMICA, EXCLUSIÓN, SENSIBILIZACIÓN Y VISIBILIZACIÓN.  AL IGUAL QUE MEJORAR SUS CONDICIONES MATERIALES DE EXISTENCIA, QUE PERMITAN LA AMPLIACIÓN DE OPORTUNIDADES CON AUTONOMÍA, INDEPENDENCIA Y DIGNIDAD. DE ACUERDO A SOLICITUD RADICADA POR EL AGDO DE FECHA NOVIEMBRE 4 DE 2015, FIRMADA POR EL ALCALDE LOCAL.</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</si>
  <si>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TECNICO, DOCUMENTOS QUE HACEN PARTE INTEGRAL DEL PRESENTE PROCESO, DE ACUERDO A SOLICITUD EFECTUADA BAJO EL NUMERO DE RADICACION 2015.032.00.10503 DE FECHA NOVIEMBRE 10 DE 2015, FIRMADA POR EL ALCALDE LOCAL</t>
  </si>
  <si>
    <t>ASOCIACION DE HOGARES SI A LA VIDA</t>
  </si>
  <si>
    <t xml:space="preserve">ADICIONAR Y PRORROGAR LA INTERVENTORÍA TÉCNICA, ADMINISTRATIVA, FINANCIERA, CONTABLE, SOCIAL Y AMBIENTAL AL CONTRATO DEL CONVENIO DE ASOCIACIÓN NUMERO 072 DE 2015, EN SU COMPONENTE FORTALECIMIENTO Y ARTICULACIÓN A LOS MEDIOS LOCALES., DE ACUERDO A MEMORANDO RADICADO BAJO EL NÚMERO 2015-032-00.10753 DE FECHA NOVIEMBRE 13  DE 2015, FIRMADO POR EL ALCALDE LOCAL. </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</si>
  <si>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 DE ACUERDO A MEMORANDO RADICADO BAJO EL NUMERO 2015-032-00 11013 DE FECHA NOVIEMBRE 20 DE 2015, FIRMADO POR EL ALCALDE LOCAL.</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</si>
  <si>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 SEGUN SOLICITUD RADICADA BAJO EL NUMERO 2015.032.0010983 DE FECHA NOVIEMBRE 20 DE 2015, FIRMADA POR EL ALCALDE LOCAL.</t>
  </si>
  <si>
    <t>ESTRUCTURAS Y ACABADOS INTEGRALES S.A.S</t>
  </si>
  <si>
    <t xml:space="preserve">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CONTRATO.DE ACUERDO A SOLICITUD EFECTUADA BAJO EL NUMERO DE RADICACION 2015.032.00.1111-3 DE FECHA NOVIEMBRE 24 DE 2015, FIRMADA POR EL ALCALDE LOCAL. </t>
  </si>
  <si>
    <t>CORPORACION DE DESARROLLO SOCIAL ELITE</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</si>
  <si>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 DE ACUERDO A SOLICITUD EFECTUADA BAJO EL NUMERO DE RADICACION 2015032.00.10153 DE FECHA NOVIEMBRE 3 DE 2015, FIRMADA POR EL ALCALDE LOCAL.</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</si>
  <si>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 DE ACUERDO A SOLICITUD EFECTUADA BAJO EL NUMERO DE RADICACION 2015.032.00.10163 DE FECHA NOVIEMBRE 3 DE 2015, FIRMADA POR EL ALCALDE LOCAL</t>
  </si>
  <si>
    <t xml:space="preserve">EL CONTRATISTA, SE OBLIGA CON EL FONDO DE DESARROLLO A REALIZAR LA INTERVENTORÍA TÉCNICA, ADMINISTRATIVA,  FINANCIERA, CONTABLE, SOCIAL Y AMBIENTAL DEL CONTRATO QUE RESULTE DEL PROCESO DE SELECCIÓN ABREVIADA DE MENOR CUANTÍA FDLSF-SAMC-031-2015 DE CONFORMIDAD CON LAS CONDICIONES SEÑALADAS EN LOS ESTUDIOS PREVIOS Y LA PRESENTE INVITACIÓN, DOCUMENTOS QUE FORMAN PARTE INTEGRAL DEL PROCESO. DE ACUERDO A SOLICITUD EFECTUADA BAJO EL NUMERO DE RADICACION 2015.032.00.11003 DE FECHA NOVIEMBRE 20  DE 2015, FIRMADO POR EL ALCALDE LOCAL. </t>
  </si>
  <si>
    <t>DALFRE INGENIEROS CONSULTORES LTDA</t>
  </si>
  <si>
    <t>EL CONTRATISTA, SE OBLIGA CON EL FDLSF A SUMINISTRAR LOS MATERIALES Y ELEMENTOS DE FERRETERÍA NECESARIOS PARA REALIZAR LAS REPARACIONES LOCATIVAS MENORES DONDE FUNCIONAN LAS SEDES DE LA ALCALDÍA LOCAL DE SANTA FE. DE ACUERDO A MEMORANDO RADICADO BAJO EL NUMERO 2015-032-00-11043 DE FECHA  NOVIEMBRE 20 DE 2015, FIRMADO POR EL ALCALDE LOCAL.</t>
  </si>
  <si>
    <t>IDEA ARQUITECTURA E INGENIERIA SAS</t>
  </si>
  <si>
    <t>ADQUISICIÓN DE EQUIPOS, MATERIALES Y ELEMENTOS PARA DOTAR LAS INSTITUCIONES DISTRITALES PARA LA ATENCIÓN DE PRIMERA INFANCIA, DE CONFORMIDAD CON LAS CANTIDADES Y ESPECIFICACIONES TÉCNICAS CONTENIDAS EN LA FICHA TÉCNICA Y EN LOS ESTUDIOS PREVIOS, DE ACUERDO A SOLICITUD RADICADA BAJO EL NUMERO 2015.032.00.12643 DE FECHA DICIEMBRE 22 DE 2015, FIRMADA POR EL ALCALDE LOCAL.</t>
  </si>
  <si>
    <t>SDIS</t>
  </si>
  <si>
    <t>SUBASTA  INVERSA</t>
  </si>
  <si>
    <t>CONTRATO DE COMPRA VENTA</t>
  </si>
  <si>
    <t>151-2015</t>
  </si>
  <si>
    <t>LILIA FANNY GUEVARA PARRADO</t>
  </si>
  <si>
    <t>MENSUIA</t>
  </si>
  <si>
    <t>PRESTAR LOS SERVICIOS PARA APOYAR AL GRUPO DE GESTIÓN ADMINISTRATIVA Y FINANCIERA EN LA VERIFICACIÓN DE CONDICIONES, SEGUIMIENTO A BENEFICIARIOS DEL PROYECTO, DONDE SE ATIENDEN PERSONAS MAYORES Y APOYE LA EJECUCIÓN DEL PROYECTO 1157 SANTA FE REDUCE LA DISCRIMINACIÓN Y LA SEGREGACIÓN SOCIAL COMPONENTE: ENTREGA DE SUBSIDIO TIPO C.  APOYO A FOCALIZADORES,  DE ACUERDO A MEMORANDO RADICADO BAJO EL NUMERO 2015-032-00.12463 DE FECHA DICIEMBRE 18 DE 2015, FIRMADO POR EL ALCALDE LOCAL.</t>
  </si>
  <si>
    <t>BLANCA YANNETH PALOMO MARTINEZ</t>
  </si>
  <si>
    <t>PRESTAR LOS SERVICIOS PROFESIONALES PARA APOYAR AL GRUPO DE GESTIÓN ADMINISTRATIVA Y FINANCIERA EN LA VERIFICACIÓN DE CONDICIONES, SEGUIMIENTO A BENEFICIARIOS DEL PROYECTO, DONDE SE ATIENDEN PERSONAS MAYORES Y APOYE LA EJECUCIÓN DEL PROYECTO 1157 SANTA FE REDUCE LA DISCRIMINACIÓN Y LA SEGREGACIÓN SOCIAL COMPONENTE: ENTREGA DE SUBSIDIO TIPO C.  FOCALIZADORA 3 DE 3,  DE ACUERDO A MEMORANDO RADICADO BAJO EL NUMERO 2015-032-00.12413 DE FECHA DICIEMBRE 17 DE 2015, FIRMADO POR EL ALCALDE LOCAL.</t>
  </si>
  <si>
    <t>PRESTAR LOS SERVICIOS PROFESIONALES PARA APOYAR AL GRUPO DE GESTIÓN ADMINISTRATIVA Y FINANCIERA EN LA VERIFICACIÓN DE CONDICIONES, SEGUIMIENTO A BENEFICIARIOS DEL PROYECTO, DONDE SE ATIENDEN PERSONAS MAYORES Y APOYE LA EJECUCIÓN DEL PROYECTO 1157 SANTA FE REDUCE LA DISCRIMINACIÓN Y LA SEGREGACIÓN SOCIAL COMPONENTE: ENTREGA DE SUBSIDIO TIPO C.  FOCALIZADORA ,  DE ACUERDO A MEMORANDO RADICADO BAJO EL NUMERO 2015-032-00.12413 DE FECHA DICIEMBRE 17  DE 2015, FIRMADO POR EL ALCALDE LOCAL.</t>
  </si>
  <si>
    <t>PRESTAR LOS SERVICIOS PROFESIONALES PARA APOYAR AL GRUPO DE GESTIÓN ADMINISTRATIVA Y FINANCIERA EN LA VERIFICACIÓN DE CONDICIONES, SEGUIMIENTO A BENEFICIARIOS DEL PROYECTO, DONDE SE ATIENDEN PERSONAS MAYORES Y APOYE LA EJECUCIÓN DEL PROYECTO 1157 SANTA FE REDUCE LA DISCRIMINACIÓN Y LA SEGREGACIÓN SOCIAL COMPONENTE: ENTREGA DE SUBSIDIO TIPO C.  FOCALIZADORA., DE ACUERDO A MEMORANDO RADICADO BAJO EL NUMERO 2015-032-00.12323 DE FECHA DICIEMBRE 16 DE 2015, FIRMADO POR EL ALCALDE LOCAL.</t>
  </si>
  <si>
    <t>PRESTAR LOS SERVICIOS PROFESIONALES PARA APOYAR AL GRUPO DE GESTIÓN ADMINISTRATIVA Y FINANCIERA EN LA VERIFICACIÓN DE CONDICIONES, SEGUIMIENTO A BENEFICIARIOS DEL PROYECTO, DONDE SE ATIENDEN PERSONAS MAYORES Y APOYE LA EJECUCIÓN DEL PROYECTO 1157 SANTA FE REDUCE LA DISCRIMINACIÓN Y LA SEGREGACIÓN SOCIAL COMPONENTE: ENTREGA DE SUBSIDIO TIPO C.  FOCALIZADORA DE ACUERDO A MEMORANDO RADICADO BAJO EL NUMERO 2015-032-00.12313 DE FECHA DICIEMBRE 16 DE 2015, FIRMADO POR EL ALCALDE LOCAL.</t>
  </si>
  <si>
    <t>AUNAR ESFUERZOS TECNICOS, ADMINISTRATIVOS Y FINANCIEROS PARA DESARROLLAR ACCIONES DE ATENCION TERAPEUTICA, PREVENCION Y RECONSTRUCCION SOCIAL A FAMILIAS, VICTIMAS DE CONFLICTOS JUVENILES Y VIOLENCIA POR DISCRIMINACIÓN O QUE SE ENCUENTREN EN RIESGO FRENTE A ESTE TIPO DE VIOLENCIAS EN LA LOCALIDAD DE SANTAFE, DE ACUERDO A MEMORANDO RADICADO BAJO  EL NUMERO 2015.032.0012763 DE FECHA DICIEMBRE 24 DE 2015, FIRMADO POR EL ALCALDE LOCAL.</t>
  </si>
  <si>
    <t xml:space="preserve">OTRAS INVERSIONES </t>
  </si>
  <si>
    <t>FUNDACION  MUJER DEL NUEVO MILENIO FUNDAMIL</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</si>
  <si>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2015,  DE ACUERDO A MEMORANDO RADICADO BAJO EL NUMERO 2015-032-00.13.003 DE FECHA DICIEMBRE 30 DE 2015, FIRMADO POR EL ALCALDE LOCAL.</t>
  </si>
  <si>
    <t>BETHY  CASTAÑEDA HERNANDEZ</t>
  </si>
  <si>
    <t xml:space="preserve">ADICIÓN Y PRORROGA </t>
  </si>
  <si>
    <t>AUNAR ESFUERZOS TÉCNICOS, FINANCIEROS Y ADMINISTRATIVOS PARA LA REALIZACIÓN DE UNA ACTIVIDAD CULTURAL, PARA PROMOCIONAR LA BOGOTÁ HUMANA A NIVEL LOCAL, NACIONAL E INTERNACIONAL. ,  DE ACUERDO A MEMORANDO RADICADO BAJO EL NUMERO 2015-032-00.11943 DE FECHA DICIEMBRE 9 DE 2015, FIRMADO POR EL ALCALDE LOCAL.</t>
  </si>
  <si>
    <t>CORPORACION RED SOMOS</t>
  </si>
  <si>
    <t>AUNAR ESFUERZOS TÉCNICOS ADMINISTRATIVOS Y FINANCIEROS PARA  LA REALIZACIÓN DEL EVENTO ¿FIESTA NAVIDEÑA LOCAL 2015¿, CON PARTICIPACIÓN ACTIVA DE LA COMUNIDAD QUE PERMITA LA INTEGRACIÓN Y COMUNICACIÓN ENTRE LOS DISTINTOS GRUPOS POBLACIONALES,  DE ACUERDO A MEMORANDO RADICADO BAJO EL NUMERO 2015-032-00.12093 DE FECHA DICIEMBRE 14 DE 2015, FIRMADO POR EL ALCALDE LOCAL.</t>
  </si>
  <si>
    <t>FUNDACION PARA EL CRECIMIENTO INTEGRAL Y DESARROLLO COMUNITARIO</t>
  </si>
  <si>
    <t>ADICIÓNAR Y PRORROGAR EL CONVENIO 059 DE 2015 CUYO OBJETO ES: ¿AUNAR ESFUERZOS TÉCNICOS, ADMINISTRATIVOS, FINANCIEROS Y HUMANOS PARA BRINDAR  A LOS NIÑOS, NIÑAS Y JÓVENES DE LA LOCALIDAD DE SANTA FE, FORMACIÓN INTEGRAL CON EL OBJETIVO DE DAR CONTINUIDAD Y FORTALECER LA ORQUESTA FILARMÓNICA JUVENIL DE LA LOCALIDAD, EN EL MARCO DEL PROYECTO NO.1161.,  DE ACUERDO A MEMORANDO RADICADO BAJO EL NÚMERO 2015-032-00.12493 DE FECHA DICIEMBRE 18  DE 2015, FIRMADO POR EL ALCALDE LOCAL.</t>
  </si>
  <si>
    <t>ADICIONAR Y PRORROGAR LA INTERVENTORÍA TÉCNICA, ADMINISTRATIVA, FINANCIERA, CONTABLE, SOCIAL Y AMBIENTAL AL CONTRATO DEL CONVENIO DE ASOCIACIÓN NUMERO 070 DE 2015, EN SU COMPONENTE FORMACIÓN MUSICAL PARA NIÑOS, NIÑAS Y JÓVENES DE LA LOCALIDAD., DE ACUERDO A MEMORANDO RADICADO BAJO EL NUMERO 2015-032-00.12503 DE FECHA DICIEMBRE 18 DE 2015, FIRMADO POR EL ALCALDE LOCAL.</t>
  </si>
  <si>
    <t>ADICIÓN # 2 AL CONVENIO 059 DE 2015 CUYO OBJETO ES: ¿AUNAR ESFUERZOS TÉCNICOS, ADMINISTRATIVOS, FINANCIEROS Y HUMANOS PARA BRINDAR  A LOS NIÑOS, NIÑAS Y JÓVENES DE LA LOCALIDAD DE SANTA FE, FORMACIÓN INTEGRAL CON EL OBJETIVO DE DAR CONTINUIDAD Y FORTALECER LA ORQUESTA FILARMÓNICA JUVENIL DE LA LOCALIDAD, EN EL MARCO DEL PROYECTO NO.1161¿.DE ACUERDO A MEMORANDO RADICADO BAJO EL NÚMERO 2015-032-00 12923 DE FECHA DICIEMBRE 29 DE 2015, FIRMADO POR EL ALCALDE LOCAL.</t>
  </si>
  <si>
    <t>ADICION # 2, AL CONTRATO DE INTERVENTORIA NO.070 ¿INTERVENTORÍA AL PROYECTO 1161 FORTALECECIMIENTO A LA ORQUESTA FILARMÓNICA JUVENIL DE LA LOCALIDAD¿., DE ACUERDO A MEMORANDO RADICADO BAJO EL NÚMERO 2015-032-00.12933 DE FECHA DICIEMBRE 29 DE 2015, FIRMADO POR EL ALCALDE LOCAL.</t>
  </si>
  <si>
    <t>REALIZAR LA INTERVENTORÍA TÉCNICA, ADMINISTRATIVA Y FINANCIERA, CONTABLE, SOCIAL Y AMBIENTAL AL CONVENIO DE ASOCIACIÓN QUE SE DERIVE DEL PROYECTO 1163 EJERCICIO DE LAS LIBERTADES CULTURALES Y DEPORTIVAS. COMPONENTE ¿VACACIONES RECREATIVAS¿, DE ACUERDO A MEMORANDO RADICADO BAJO EL NÚMERO 2015-032-00.13033 DE FECHA DICIEMBRE 30  DE 2015, FIRMADO POR EL ALCALDE LOCAL.</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</si>
  <si>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 DE ACUERDO A MEMORANDO RADICADO BAJO EL NÚMERO 2015-032-00.12663 DE FECHA DICIEMBRE  22 DE 2015, FIRMADO POR EL ALCALDE LOCAL.</t>
  </si>
  <si>
    <t>EL CONTRATISTA SE OBLIGA CON EL FONDO DE DESARROLLO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 DE ACUERDO A MEMORANDO RADICADO BAJO EL NÚMERO 2015-032-00.12473 DE FECHA  DICIEMBRE 18 DE 2015, FIRMADO POR EL ALCALDE LOCAL.</t>
  </si>
  <si>
    <t>EL CONTRATISTA SE OBLIGA CON EL FONDO DE DESARROLLO LOCAL DE SANTA FE A REALIZAR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CONTRATO., DE ACUERDO A MEMORANDO RADICADO BAJO EL NUMERO 2015-032-00-11603 DE FECHA DICIEMBRE 2 DE 2015, FIRMADO POR EL ALCALDE LOCAL.</t>
  </si>
  <si>
    <t>REALIZAR LA INTERVENTORÍA TÉCNICA, ADMINISTRATIVA, FINANCIERA Y AMBIENTAL, AL CONTRATO QUE  RESULTE DEL PROCESO LICITATORIO NO. FDLSF ¿ 004 DE 2015, CUYO OBJETO ES ¿EL DIAGNOSTICO, DISEÑO, MANTENIMIENTO Y REHABILITACIÓN DE LA MALLA VIAL Y ANDENES EN  LOCALIDAD DE SANTA FE, DE CONFORMIDAD  CON LA DESCRIPCIÓN, ESPECIFICACIONES TÉCNICAS Y DEMÁS CONDICIONES ESTABLECIDAS EN LOS ESTUDIOS PREVIOS, EL PLIEGO DE CONDICIONES Y ANEXOS,  DOCUMENTOS QUE HACEN PARTE INTEGRAL DEL PRESENTE PROCESO,  DE ACUERDO A MEMORANDO RADICADO BAJO EL NUMERO 2015-032-00.11613 DE FECHA DICIEMBRE 2 DE 2015,  FIRMADO POR EL ALCALDE LOCAL.</t>
  </si>
  <si>
    <t>PAGO DE LA SENTENCIA EMITIDA POR EL TRIBUNAL ADMINISTRATIVO DE CUNDINAMARCA SECCIÓN TERCERA SUBSECCIÓN C EN DESCONGESTIÓN - RESOLUCIÓN N° 000265 FONDO DE DESARROLLO LOCAL DE SANTA FE DE FECHA 15 DE DICIEMBRE DE 2015,  DE ACUERDO A MEMORANDO RADICADO BAJO EL NÚMERO 2015-032-00.12213 DE FECHA DICIEMBRE 15 DE 2015, FIRMADO POR EL ALCALDE LOCAL. SE APROXIMA AL PESO SIGUIENTE TENIENDO EN CUENTA QUE EL APLICATIVO PREDIS NO ACEPTA CENTAVOS.</t>
  </si>
  <si>
    <t>ARTURO  SALCEDO LUCAS</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</si>
  <si>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 DE ACUERDO A MEMORANDO RADICADO CON EL NUMERO 2015.032.0011703  DE FECHA DICIEMBRE 3   DE 2015, FIRMADO POR EL ALCALDE LOCAL.</t>
  </si>
  <si>
    <t>Prestar el servicio de recolección, almacenamiento, transporte y  disposición final de los residuos peligrosos generados en las diferentes sedes de la Alcaldía Local De Santa Fe, de acuerdo a solicitud radicada bajo el numero 2015032.0010023 de fecha octubre 28 de 2015, firmada por el alcalde local.</t>
  </si>
  <si>
    <t>ECORENUEVA  S A S</t>
  </si>
  <si>
    <t>Adición y prorroga No. 1 al Contrato de Obra No. 128-2015 ¿suscrito entre el Fondo de Desarrollo Local de Santa Fe y ESTRUCTURAS Y ACABADOS INTEGRALES SAS -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 DE ACUERDO A MEMORANDO RADICADO BAJO EL NUMERO 2015-032-00.12793 DE FECHA DICIEMBRE 28 DE 2015, FIRMADO POR EL ALCALDE LOCAL.</t>
  </si>
  <si>
    <t>ADICIÓN Y PRORROGA NO. 1 AL CONTRATO DE OBRA NO. 128-2015 ¿SUSCRITO ENTRE EL FONDO DE DESARROLLO LOCAL DE SANTA FE Y HECTOR MILCIADES GUERRA MONCALEANO -  EL CONTRATISTA SE OBLIGA CON EL FONDO DE DESARROLLO LOCAL DE SANTA FE, A REALIZAR LA INTERVENTORIA TECNICA, JURIDICA,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 DE ACUERDO A MEMORANDO RADICADO BAJO EL NUMERO 2015-032-00.12833 DE FECHA DICIEMBRE 28 DE 2015, FIRMADO POR EL ALCALDE LOCAL.</t>
  </si>
  <si>
    <t>EL CONTRATISTA SE OBLIGA CON EL FONDO DE DESARROLLO LOCAL A EJECUTAR ACCIONES DE FORTALECIMIENTO Y CONSOLIDACIÓN DEL CONTROL SOCIAL DIRIGIDO A LA COMUNIDAD DE LA LOCALIDAD, EN EL MARCO DEL PROYECTO NO. 1178, DENOMINADO ¿PROMOCIÓN DEL CONTROL SOCIAL, DE ACUERDO A SOLICITUD EFECTUADA BAJO EL NUMERO DE RADICACION 2015.032.00.12123 DE FECHA DICIEMBRE 14 DE 2015, FIRMADA POR EL ALCALDE LOCAL.</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</si>
  <si>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  DE ACUERDO A MEMORANDO RADICADO BAJO EL NÚMERO 2015-032-00.12253 DE FECHA DICIEMBRE 16 DE 2015, FIRMADO POR EL ALCALDE LOCAL.</t>
  </si>
  <si>
    <t>ASESORIAS  DE EMPRESAS SOLIDARIAS - ASESOL</t>
  </si>
  <si>
    <t>CAMILO ANDRES LEGUIZAMON CAMPOS</t>
  </si>
  <si>
    <t>ADICION AL CONTRATO DE PRESTACION DE SERVICIOS 105 DE 2014, CUYO OBJETO ES : 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 DE ACUERDO A MEMORAQNDO RADICADO BAJO EL NUMERO 2015.032.000.7503 DE FECHA JULIO 28 DE 2015, FIRMADO POR EL ALCALDE LOCAL.</t>
  </si>
  <si>
    <t xml:space="preserve">CONTRATO DE PRESTACIÓN DE SERVICIOS </t>
  </si>
  <si>
    <t>105-14</t>
  </si>
  <si>
    <t>FRESA PRODUCCIONES Y COMUNICACIONES S.A.S.</t>
  </si>
  <si>
    <t>PROVEER LOS EQUIPOS DE LA PLATAFORMA REQUERIDA DE COMUNICACIONES UNIFICADAS  VOZ IP INCLUYENDO, INSTALACIÓN, CONFIGURACIÓN, IMPLEMENTACIÓN, MANTENIMIENTO Y GARANTIA ,  DE LA  SOLUCION OFRECIDA, DE CONFORMIDAD  CON LA DESCRIPCIÓN,  ESPECIFICACIONES  TÉCNICAS  Y  DEMÁS  CONDICIONES  ESTABLECIDAS  EN  LOS PLIEGO DE CONDICIONES Y ANEXOS, DOCUMENTOS QUE HACEN PARTE INTEGRAL DEL PRESENTE PROCESO., DE ACUERDO A MEMORANDO RADICADO BAJO EL NUMERO 2015-032-00.12673 DE FECHA DICIEMBRE 22 DE 2015, FIRMADO POR EL ALCALDE LOCAL.</t>
  </si>
  <si>
    <t>SUBASTA INVERSA</t>
  </si>
  <si>
    <t>S3 WIRELESS COLOMBIA S.A.S</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</si>
  <si>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  DE ACUERDO A MEMORANDO RADICADO BAJO EL NÚMERO 2015-032-00.12703 DE FECHA  DICIEMBRE 22  DE 2015, FIRMADO POR EL ALCALDE LOCAL.</t>
  </si>
  <si>
    <t>ADQUISICIÓN, INSTALACIÓN Y PUESTA EN FUNCIONAMIENTO DE EQUIPOS DE CÓMPUTO, ESCÁNER DE ALTA TECNOLOGÍA, DESTRUCTORA DE PAPEL Y EQUIPOS TELEFÓNICO PBX PARA LA ALCALDÍA LOCAL DE SANTA FE, DE ACUERDO A COMUNICACION RADICADA BAJO EL NUMERO 2015.032.00.12163 DE FECHA DICIEMBRE 15 DE 2015, FIRMADA POR EL ALCALDE LOCAL.</t>
  </si>
  <si>
    <t xml:space="preserve">CONTRATO DE SUMISTRO </t>
  </si>
  <si>
    <t>COLOMBIANA DE SERVICIOS TECNOLOGICOS S.A.S.</t>
  </si>
  <si>
    <t>DIFUNDIR EN UN ESPACIO RADIAL  DE COBERTURA DISTRITAL, LAS ACTIVIDADES Y GESTIÓN PROPIAS DE LA ALCALDÍA LOCAL DE SANTA FE A TRAVÉS DE ESPACIOS PERIODÍSTICOS Y CUÑAS INSTITUCIONALES EN LAS FRANJAS REQUERIDAS POR LA ENTIDAD, DE ACUERDO A MEMORANDO RADICADO BAJO EL NUMERO 2015-032-000-7063 DE FECHA JULIO 15 DE 2015, FIRMADO POR EL ALCALDE LOCAL.</t>
  </si>
  <si>
    <t>RADIO CAPITAL LTDA</t>
  </si>
  <si>
    <t>EL CONTRATISTA, SE OBLIGA CON EL FDLSF A PRESTAR LOS SERVICIOS DE TODERO PARA  REALIZAR LAS INSTALACIONES QUE SE REQUIERAN, EN LAS SEDES DE LA ALCALDÍA LOCAL DE SANTA FE. DE ACUERDO A MEMORANDO RADICADO BAJO EL NUMERO 2015-032-00.11033 DE FECHA NOVIEMBRE 20 DE 2015, FIRMADO POR EL ALCALDE LOCAL.</t>
  </si>
  <si>
    <t>ADQUISICIÓN MUEBLES Y ENSERES  PARA DOTAR LA ALCALDÍA LOCAL DE SANTA FE, DE CONFORMIDAD CON LAS CANTIDADES Y ESPECIFICACIONES TÉCNICAS CONTENIDAS EN LA FICHA TÉCNICA Y EN LOS ESTUDIOS PREVIOS¿, DE ACUERDO A MEMORANDO RADICADO BAJO EL NÚMERO 2015-032-00.11893 DE FECHA DICIEMBRE 9 DE 2015, FIRMADO POR EL ALCALDE LOCAL.</t>
  </si>
  <si>
    <t>3D CONSULTING GROUP LTDA</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</si>
  <si>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 DE ACUERDO A MEMORANDO RADICADO BAJO EL NÚMERO 2015-032-000-6583 DE FECHA JULIO 2 DE 2015, FIRMADO POR EL ALCALDE LOCAL. QUIEN SOLICITA EXPEDIR REGISTRO PRESUPUESTAL MEDIANTE RADICADO ORFEO 2015032008483 DE 26-08-2015</t>
  </si>
  <si>
    <t>LUIS MARIO SOSA RUEDA</t>
  </si>
  <si>
    <t>ADICIÓN 01 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  DE ACUERDO A MEMORANDO RADICADO BAJO EL NÚMERO 2015-032-00-12113 DE FECHA DICIEMBRE 14  DE 2015, FIRMADO POR EL ALCALDE LOCAL.</t>
  </si>
  <si>
    <t>REALIZAR OLA INTERVENTORIA TECNICA, ADMINISTRATIVA, FINANCIERA, CONTABLE,SOCIAL Y AMBIENTAL DEL CONTRATO DE PRESTACION DE SERVICIOS NO 109 DE 2015, SUSCRITO CON LUIS MARIO SOSA, DE CONFORMIDAD CON LAS CONDICIONES SEÑALADAS EN LOS ESTUDIOS PREVIOS Y LA PRESENTE INVITACION, DOCUMENTOS QUE FORMAN PARTE INTEGRAL DEL PROCESO, DE ACUERDO A SOLICITUD EFECTUAD BAJO EL NUMERO DE RADICACION 2015.032.000.9003 DE FECHA SEPTIEMBRE 10 DE 2015, FIRMADA POR EL ALCALDE LOCAL.</t>
  </si>
  <si>
    <t>FABIO HERNAN ESPEJO COBOS</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</si>
  <si>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 DE ACUERDO A MEMORANDO RADICADO BAJO EL NUMERO 2015-032-00-12653 DE FECHA DICIEMBRE 22  DE 2015, FIRMADO POR EL ALCALDE LOCAL.</t>
  </si>
  <si>
    <t xml:space="preserve">TERMINADO EN LIQUIDACIÓN </t>
  </si>
  <si>
    <t>1 MESES</t>
  </si>
  <si>
    <t xml:space="preserve">SELEECION ABREVIADA </t>
  </si>
  <si>
    <t xml:space="preserve">50 ORG </t>
  </si>
  <si>
    <t xml:space="preserve">5 MESES </t>
  </si>
  <si>
    <t>SELECCION ABREVIADA</t>
  </si>
  <si>
    <t>830104527-8</t>
  </si>
  <si>
    <t>PARA INICIAR</t>
  </si>
  <si>
    <t xml:space="preserve">12 SALONES </t>
  </si>
  <si>
    <t>900347030-6</t>
  </si>
  <si>
    <t xml:space="preserve">ADICION -PRORRGOA </t>
  </si>
  <si>
    <t>900424457-7</t>
  </si>
  <si>
    <t>LIQUIDADO</t>
  </si>
  <si>
    <t>2 HECTAREAS</t>
  </si>
  <si>
    <t>LAS INTERVENCIONES CON RECURSOPS 2015 SE REALIZARON EN LAS 7  DE LAS 11 QUEBRADAS Y EN LOS 2 RIOS DE LA LOCALIDAD, QUE SE HABIAN INTERVERVENIDO INICIALMENTE  CON RECURSOS 2013 Y 2014.</t>
  </si>
  <si>
    <t xml:space="preserve">400 PERSONAS </t>
  </si>
  <si>
    <t>900527331-0</t>
  </si>
  <si>
    <t xml:space="preserve">315 KGS. </t>
  </si>
  <si>
    <t xml:space="preserve">LICITACIÓN </t>
  </si>
  <si>
    <t>830068106-6</t>
  </si>
  <si>
    <t>900171369-1</t>
  </si>
  <si>
    <t xml:space="preserve">6 MESES </t>
  </si>
  <si>
    <t>860051929-5</t>
  </si>
  <si>
    <t>899999061-9</t>
  </si>
  <si>
    <t xml:space="preserve">CONTRATO DE SUMINSITRO </t>
  </si>
  <si>
    <t>830135936-1</t>
  </si>
  <si>
    <t xml:space="preserve">1 SALON </t>
  </si>
  <si>
    <t>900236701-3</t>
  </si>
  <si>
    <t>900115263-1</t>
  </si>
  <si>
    <t>PROGRAMACIÓN FINANCIERA (BASADOS EN CDP) 2016</t>
  </si>
  <si>
    <t>PAGOS MENSUALES REALIZADOS 2016</t>
  </si>
  <si>
    <t>No. CDP 2016</t>
  </si>
  <si>
    <t>No. CRP 2016</t>
  </si>
  <si>
    <t>VALOR CRP 2016</t>
  </si>
  <si>
    <t>Total 2016</t>
  </si>
  <si>
    <t>RESOLUCION 2 2016 - CAS 4002 2011 - SUBSIDIO ECONOMICO TIPO C - CONTRIBUIR AL DESARROLLO Y FORTALECIMIENTO DE LAS CAPACIDADES Y POTENCIALIDADES RELACIONADAS CON LA PARTICIPACIÓN CON INCIDENCIA, EN EL CUIDADO Y LAS REDES SOCIALES,  FAMILIARES DE LAS PERSONAS MAYORES Y GRUPOS POBLACIONALES DE LA LOCALIDAD DE SANTA FE, EN SITUACIÓN DE DISCRIMINACIÓN Y SEGREGACIÓN SOCIOECONÓMICA, EXCLUSIÓN, SENSIBILIZACIÓN Y VISIBILIZACIÓN.  AL IGUAL QUE MEJORAR SUS CONDICIONES MATERIALES DE EXISTENCIA, QUE PERMITAN LA AMPLIACIÓN DE OPORTUNIDADES CON AUTONOMÍA, INDEPENDENCIA Y DIGNIDAD.  DE ACUERDO A MEMORANDO RADICADO BAJO EL NUMERO 2016-032-0000.893  DE FECHA ENERO 26 DE 2016, FIRMADO POR EL ALCALDE LOCAL.</t>
  </si>
  <si>
    <t>ADICIÓN Y PRORROGA NO. 2 AL CONTRATO DE INTERVENTORÍA NO. 112-2015 ¿ SUSCRITO ENTRE EL FONDO DE DESARROLLO LOCAL DE SANTA FE Y CODIPRO INGENIERÍA Y ARQUITECTURA LTDA. -REALIZAR LA INTERVENTORÍA TÉCNICA, ADMINISTRATIVA, FINANCIERA Y AMBIENTAL, AL CONTRATO QUE  RESULTE DEL PROCESO LICITATORIO NO. FDLSF ¿ 004 DE 2015, CUYO OBJETO ES ¿EL DIAGNOSTICO, DISEÑO, MANTENIMIENTO Y REHABILITACIÓN DE LA MALLA VIAL Y ANDENES EN  LOCALIDAD DE SANTA FE, DE CONFORMIDAD  CON LA DESCRIPCIÓN, ESPECIFICACIONES TÉCNICAS Y DEMÁS CONDICIONES ESTABLECIDAS EN LOS ESTUDIOS PREVIOS, EL PLIEGO DE CONDICIONES Y ANEXOS,  DOCUMENTOS QUE HACEN PARTE INTEGRAL DEL PRESENTE PROCESO, DE ACUERDO A MEMORANDO RADICADO BAJO EL NUMERO 2016.032.0000.373 DE FECHA ENERO 14 DE 2016, FIRMADO POR EL ALCALDE LOCAL Y JUSTIFICACION PRORROGA 2 AL CIN 112 DE 2015 FIRMADA POR EL ING. JORGE ENRIQUE GARCIA, EN CALIDAD DE SUPERVISOR DEL CONTRATO DE INTERVENTORIA.</t>
  </si>
  <si>
    <t>n/a</t>
  </si>
  <si>
    <t xml:space="preserve">RESOLUCIÓN </t>
  </si>
  <si>
    <t>ADICIÓN Y PRORROGA  AL CPS 80 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2015-032-000-6133 DE FECHA JUNIO 24 DE 2015, FIRMADO POR EL ALCALDE LOCAL.</t>
  </si>
  <si>
    <t>ADICIÓN Y PRORROGA  AL CPS 89 PRESTAR SERVICIOS PROFESIONALES  EN  EL PROCESO DE FOCALIZACIÓN INICIAL DE LOS BENEFICIARIOS DEL SUBSIDIO TIPO C, EN EL MARCO DEL PROYECTO NO. 1157: SANTA FE REDUCE LA DISCRIMINACIÓN Y LA SEGREGACIÓN SOCIAL, DE CONFORMIDAD CON LOS ESTUDIOS PREVIOS, DOCUMENTO QUE FORMA PARTE INTEGRAL DEL PROCESO. DE ACUERDO A MEMORANDO RADICADO BAJO EL NUMERO 2015-032-000-6323 DE FECHA JUNIO 24 DE 2015, FIRMADO POR EL ALCALDE LOCAL.</t>
  </si>
  <si>
    <t>2016 (CONTRATADO)</t>
  </si>
  <si>
    <t>2016 (GIRADO)</t>
  </si>
  <si>
    <t>ADICIÓN Y PRORROGA AL CIN 076-2015 - EL CONTRATISTA, SE OBLIGA CON EL FONDO DE DESARROLLO LOCAL  A REALIZAR LA INTERVENTORÍA TÉCNICA, ADMINISTRATIVA,  FINANCIERA, CONTABLE, SOCIAL Y AMBIENTAL DEL CONVENIO DE ASOCIACIÓN 68 SUSCRITO CON FUNDACION COMUNITARIA PARA EL DESARROLLO INTEGRAL DE LA VIVIENDA DIGNA - FUCODEVI  DE CONFORMIDAD CON LAS CONDICIONES SEÑALADAS EN LOS ESTUDIOS PREVIOS Y LA PRESENTE INVITACIÓN, DOCUMENTOS QUE FORMAN PARTE INTEGRAL DEL PROCESO¿, DE ACUERDO A SOLICITUD EFECTUADA BAJO EL NUMERO DE RADICACION 2015.032.000.6143 DE FECHA JUNIO 24 DE 2015, FIRMADA POR EL ALCALDE LOCAL.Y CONSTANCIA DE PROBLEMAS TECNOLOGICOS CON RADICADO NUMERO 2015.032..00.95441 DE FECHA JUNIO 24 DE 2015.</t>
  </si>
  <si>
    <t>ADIRPO - CONTRATO DE INTERVENTORIA</t>
  </si>
  <si>
    <t>97-2014</t>
  </si>
  <si>
    <t xml:space="preserve">ESPERANZA REAL </t>
  </si>
  <si>
    <t>ADICICIÓN Y PRORROGA 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 DE ACUERDO A SOLICITUD EFECTUADA BAJO EL NUMERO DE RADICACION 2015032.00.10153 DE FECHA NOVIEMBRE 3 DE 2015, FIRMADA POR EL ALCALDE LOCAL.</t>
  </si>
  <si>
    <t>SELECCION ABREVIADA - ADICIÓN Y PRORROGA</t>
  </si>
  <si>
    <t>PRESTAR  EL APOYO EN EL GRUPO DE GESTIÓN ADMINISTRATIVA Y FINANCIERA PARA ADELANTAR EL PROCESO DE CERTIFICACIÓN DE CALIDAD Y SERVIR DE REFERENTE DE CALIDAD DE LA ALCALDÍA LOCAL DE SANTA FE.</t>
  </si>
  <si>
    <t xml:space="preserve">5. GOBIERNO </t>
  </si>
  <si>
    <t xml:space="preserve">1 MES 1 DÍA </t>
  </si>
  <si>
    <t>PRESTAR  EL APOYO EN EL GRUPO DE GESTIÓN ADMINISTRATIVA Y FINANCIERA PARA ADELANTAR EL PROCESO DE CERTIFICACIÓN DE CALIDAD Y SERVIR DE REFERENTE DE CALIDAD DE LA ALCALDÍA LOCAL DE SANTA FE., DE ACUERDO A MEMORANDO RADICADO BAJO EL NUMERO 2016-032-000-5333 DE FECHA MAYO 25 DE 2016, FIRMADO POR EL ALCALDE LOCAL.</t>
  </si>
  <si>
    <t xml:space="preserve">7 MESES 4 DÍAS </t>
  </si>
  <si>
    <t>175-350</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</si>
  <si>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</si>
  <si>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 xml:space="preserve">EDUCACIÓN </t>
  </si>
  <si>
    <t xml:space="preserve">PRESTACION DE SERVICIOS </t>
  </si>
  <si>
    <t>087-2016</t>
  </si>
  <si>
    <t xml:space="preserve">UNICO PAGO CONTRA EJECUCIÓN </t>
  </si>
  <si>
    <t>ABOVE S.A.S</t>
  </si>
  <si>
    <t>23/069/2016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</si>
  <si>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</si>
  <si>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 xml:space="preserve">3 MESES 25 DÍAS </t>
  </si>
  <si>
    <t>GERMAN RODRIGUEZ MORENO</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</si>
  <si>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ACUERDO A MEMORANDO RADICADO BAJO EL NUMERO 2016-032-000-9333 DE FECHA SEPTIEMBRE 9  DE 2016, FIRMADO POR EL ALCALDE LOCAL.</t>
  </si>
  <si>
    <t xml:space="preserve">PEDRO JULIO CARDOZO SANABRIA </t>
  </si>
  <si>
    <t>EDDIE JOHJAN AMAYA NOSSA</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</si>
  <si>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</si>
  <si>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 xml:space="preserve">3 MESES 20 DÍAS </t>
  </si>
  <si>
    <t>RAFAEL ENRIQUE RIVEROS OTALORA</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</si>
  <si>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ACUERDO A MEMORANDO RADICADO BAJO EL NUMERO 2016-032-00-10303 DE FECHA SEPTIEMBRE 28 DE 2016, FIRMADO POR EL ALCALDE LOCAL.</t>
  </si>
  <si>
    <t xml:space="preserve">3 MESES 4 DÍAS </t>
  </si>
  <si>
    <r>
      <t>PAGO DE LO DISPUESTO EN LAS</t>
    </r>
    <r>
      <rPr>
        <b/>
        <sz val="9"/>
        <color indexed="59"/>
        <rFont val="Arial Narrow"/>
        <family val="2"/>
      </rPr>
      <t xml:space="preserve"> RESOLUCIONES 1449 Y 1626 </t>
    </r>
    <r>
      <rPr>
        <sz val="9"/>
        <color indexed="59"/>
        <rFont val="Arial Narrow"/>
        <family val="2"/>
      </rPr>
      <t>DE 2015 EMITI-DAS POR LA SECRETARÍA DISTRITAL DE AMBIENTE SOBRE COMPENSACIÓN POR TALAS EN LA LOCALIDAD DE SANTA FE,  DE ACUERDO A MEMORANDO RADICADO BAJO EL NÚMERO 2016-032-000.3213 DE FECHA ABRIL 6 DE 2016, FIRMADO POR EL ALCALDE LOCAL.</t>
    </r>
  </si>
  <si>
    <t>PAGO DE MULTA POR RESOLUCION</t>
  </si>
  <si>
    <t xml:space="preserve">SECRETARIA DISTRITAL DE AMBIENTE -PAGO DE LO DISPUESTO EN LAS RESOLUCIONES 1449 Y 1626 </t>
  </si>
  <si>
    <t>ADICION Y PRORROGA EL CONTRATISTA SE OBLIGA CON EL FONDO DE DESARROLLO LOCAL DE SANTA FE A PRESTAR LOS SERVICIOS DE APOYO LOGISTICO, ELEMENTOS  Y RECURSO HUMANO REQUERIDO POR LA ENTIDAD, PARA EL DESARROLLO DE LOS DIFERENTES EVENTOS DE LA ALCALDIA LOCAL DE SANTA FE DE ACUERDO CON LAS ESPECIFICACIONES CONTEMPLADAS EN EL APOYO TECNICO DOCUMENTO QUE HACE PARTE DEL PRESENTE PROCESO., DE ACUERDO A MEMORANDO RADICADO BAJO EL NUMERO 2016-532-00-11863 DE FECHA NOVIEMBRE  9 DE 2016, FIRMADO POR EL ALCALDE LOCAL.</t>
  </si>
  <si>
    <t>ADICIÓN Y PRORROGA</t>
  </si>
  <si>
    <t>PRESTAR LOS SERVICIOS PROFESIONALES PARA LA OPERACIÓN, PRESTACIÓN Y SEGUIMIENTO DE LOS PROCEDIMIENTOS ADMINISTRATIVOS, OPERATIVOS Y PROGRAMÁTICOS DE LOS SERVICIOS SOCIALES DEL PROYECTO DE APOYO ECONÓMICO TIPO C, QUE CONTRIBUYAN A LA GARANTÍA DE LOS DERECHOS DE LA POBLACIÓN MAYOR EN EL MARCO DE LA POLÍTICA PÚBLICA SOCIAL PARA EL ENVEJECIMIENTO Y LA VEJEZ EN EL DISTRITO CAPITAL A CARGO DE LA ALCALDÍA LOCAL,   DE ACUERDO A MEMORANDO RADICADO BAJO EL NUMERO 2016-532-00-11663 DE FECHA NOVIEMBRE 4  DE 2016, FIRMADO POR EL ALCALDE LOCAL.</t>
  </si>
  <si>
    <t xml:space="preserve">1 MES 28 DÍAS </t>
  </si>
  <si>
    <t>DIEGO FELIPE RODRIGUEZ GOMEZ</t>
  </si>
  <si>
    <t>Cancelación del pago del mayor valor pagado por el señor Pedro Germán Mariño CC 19.152.861 de Bogota, dentro de la  actuación administrativa ¿ cobro persuasivo exp. 050 de 2010, resolución 0103 de fecha agosto 17 de 2016, firmada por el alcalde local , De acuerdo a memorando radicado bajo el número 2016-532-00-11223 de fecha Octubre 24   de 2016, firmado por el alcalde local.</t>
  </si>
  <si>
    <t xml:space="preserve">CONTRATO INTERADMINISTRATIVO </t>
  </si>
  <si>
    <t>134-2016</t>
  </si>
  <si>
    <t>SUB RED CENTRO ORIENTE</t>
  </si>
  <si>
    <t>900959051-7</t>
  </si>
  <si>
    <t>CONTRATO INTERADMINISTRATIVO PARA LA PRESTACION DEL SERVICIO EN ACCIONES DE PREVENCION Y PROMOCION EN SALUD CON EL FIN DE FORTALECER EL BANCO DE AYUDAS TECNICAS EN EL MARCO DEL PROYECTO 1149" SANTAFE CON SALUD PARA TODAS Y TODOS" SEGUN CONCEPTO UEL SALUD 2016EE47488 RADICADO 2016-532-00-14783 DE FECHA DICIEMBRE 30 DE 2016 FIRMADO POR EL ALCALDE LOCAL.</t>
  </si>
  <si>
    <t>135-2016</t>
  </si>
  <si>
    <t>REALIZAR UN PROGRAMA DE EDUCACIÓN FLEXIBLE QUE PERMITA LA VALIDA-CIÓN DEL GRADO ONCE (11) A LA POBLACIÓN ADOLESCENTE, JÓVENES, POBLA-CIÓN ADULTA Y ADULTA MAYOR, RESIDENTES DE LA LOCALIDAD DE SANTA FE; DE CONFORMIDAD CON LOS ESTUDIOS PREVIOS, PLIEGO DE CONDICIONES Y DEMAS DOCUMENTOS QUE FORMAN PARTE INTEGRAL DEL PROCESO , DE ACUERDO A MEMORANDO RADICADO BAJO EL NUMERO 2016-532-00-11213 DE FECHA OCTUBRE  24 DE 2016, FIRMADO POR EL ALCALDE LOCAL.SEGUN SOLICITUD CRP OFICIO 20165320013193</t>
  </si>
  <si>
    <t xml:space="preserve">SELECCIÓN ABREVIADA DE MENOS CUANTÍA </t>
  </si>
  <si>
    <t>102-2016</t>
  </si>
  <si>
    <t>EDITORIAL KUEPA SAS</t>
  </si>
  <si>
    <t>900241770-1</t>
  </si>
  <si>
    <t xml:space="preserve">NIGUNA </t>
  </si>
  <si>
    <t xml:space="preserve">NINGUNA </t>
  </si>
  <si>
    <t>REALIZAR LA CAMPAÑA LOCAL CON ENFOQUE DE GENERO, DENOMINADO "HAZ QUE CORRA LA VOZ" A FIN DE PROMOVER UNA VIDA LIBRE DE VIOLENCIAS EN MUJERES Y NIÑAS DE LA LOCALIDAD DE SANTAFE: EN EL MARCO DEL PROYECTO 1164" APOYO A ACCIONES DEL PLAN DE IGUALDAD DE OPORTUNIDADES."  DE ACUERDO A MEMORANDO RADICADO BAJO EL NUMERO 2016-532-00-12923 DE FECHA DICIEMBRE  1 DE 2016, FIRMADO POR EL ALCALDE LOCAL.</t>
  </si>
  <si>
    <t xml:space="preserve">POBLACIONALES </t>
  </si>
  <si>
    <t xml:space="preserve">SELECCIÓN ABREVIADA DE MENOR CUANTÍA </t>
  </si>
  <si>
    <t>099-2016</t>
  </si>
  <si>
    <t xml:space="preserve">HOGARES SI A LA VIDA </t>
  </si>
  <si>
    <t>900175374-5</t>
  </si>
  <si>
    <t>COSTOS OPERATIVOS - RESOLUCION 299 DE DIC 15 2016 - CONTRIBUIR AL DESARROLLO Y FORTALECIMIENTO DE LAS CAPACIDADES Y POTEN-CIALIDADES RELACIONADAS CON LA PARTICIPACIÓN CON INCIDENCIA, EN EL CUI-DADO Y LAS REDES SOCIALES, FAMILIARES DE LAS PERSONAS MAYORES Y GRU-POS POBLACIONALES DE LA LOCALIDAD DE SANTA FE, EN SITUACIÓN DE DISCRI-MINACIÓN Y SEGREGACIÓN SOCIOECONÓMICA, EXCLUSIÓN, SENSIBILIZACIÓN Y VISIBILIZACIÓN. AL IGUAL QUE MEJORAR SUS CONDICIONES MATERIALES DE EXIS-TENCIA, QUE PERMITAN LA AMPLIACIÓN DE OPORTUNIDADES CON AUTONOMÍA, INDEPENDENCIA Y DIGNIDAD.,  DE ACUERDO A MEMORANDO RADICADO BAJO EL NÚMERO 2016-532-00-13653 DE FECHA DICIEMBRE  15   DE 2016, FIRMADO POR EL ALCALDE LOCAL.</t>
  </si>
  <si>
    <t>PRESTAR LOS SERVICIOS PARA ORGANIZAR Y EJECUTAR UN EVENTO DE RECONOCIMIENTO Y ENALTECIMIENTO A LA LABOR DEL ADULTO MAYOR EN LA LOCALIDAD DE SANTA FE; EN EL MARCO DEL PROYECTO NO. 1161 PROGRAMAS CULTURALES PARA TODAS Y TODOS¿, DE ACUERDO A MEMORANDO RADICADO BAJO EL NUMERO 2016-532-00-14083 DE FECHA DICIEMBRE 26  DE 2016, FIRMADO POR EL ALCALDE LOCAL.</t>
  </si>
  <si>
    <t xml:space="preserve">CULTURA </t>
  </si>
  <si>
    <t>116-2016</t>
  </si>
  <si>
    <t xml:space="preserve">CORPORACION ESTRATEGICA EN GESTION E INTEGRACION COLOMBIA - EGESCO </t>
  </si>
  <si>
    <t>900175862-8</t>
  </si>
  <si>
    <t>PRESTAR LOS SERVICIOS TECNICOS Y DE APOYO PARA LA REALIZACION DEL FESTIVAL DE LA CHICHA, EL MAIZ , LA VIDA Y LA DICHA, QUE PERMITA RESCATAR Y FORTALECER LA CULTURA POPULAR; EN EL MARCO DEL PROYECTO 1161 PROGRAMAS CULTURALES PARA TODAS Y TODOS DE CONFORMIDAD CON LOS ESTUDIOS PREVIOS, PLIEGOS DE CONDICIONES Y DEMAS DOCUMENTOS QUE FORMAN PARTE INTEGRAL DEL PROCESO.DE ACUERDO A MEMORANDO RADICADO BAJO EL NUMERO 2016-532-00-12913 DE FECHA DICIEMBRE  1 DE 2016, FIRMADO POR EL ALCALDE LOCAL.</t>
  </si>
  <si>
    <t>098-2016</t>
  </si>
  <si>
    <t xml:space="preserve">ASOCIACIÓN DE DISCAPACITADOS ASODISFISUR </t>
  </si>
  <si>
    <t>830059289-7</t>
  </si>
  <si>
    <t xml:space="preserve">UN (1) EVENTO 600 PERSONAS </t>
  </si>
  <si>
    <t xml:space="preserve">UN (1) EVENTO 250 PERSONAS </t>
  </si>
  <si>
    <t>PRESTAR EL SERVICIO DE ORGANIZACIÓN Y DESARROLLO DEL EVENTO DENOMINADO DIA DE LA  AFROCOLOMBIANIDAD EN LA LOCALIDAD DE SANTA FE, EN EL MARCO DEL PROYECTO NO. 1161  PROGRAMAS CULTURALES PARA TODOS Y TODAS , DE ACUERDO A MEMORANDO RADICADO BAJO EL NÚMERO 2016-032-00-13063 DE FECHA DICIEMBRE 5 DE 2016, FIRMADO POR EL ALCALDE LOCAL.</t>
  </si>
  <si>
    <t>100-2016</t>
  </si>
  <si>
    <t>PRESTAR EL SERVICIO DE ORGANIZACIÓN Y DESARROLLO DEL EVENTO DENOMINADO DÍA DEL CAMPESINO, EN EL MARCO DEL PROYECTO NO. 1161 PROGRAMAS CULTURALES PARA TODOS Y TODAS., DE ACUERDO A MEMORANDO RADICADO BAJO EL NÚMERO 2016-532.00.13303 DE FECHA DICIEMBRE 12  DE 2016, FIRMADO POR EL ALCALDE LOCAL.</t>
  </si>
  <si>
    <t>103-2016</t>
  </si>
  <si>
    <t xml:space="preserve">CORPORACIÓN CON CIENCIA </t>
  </si>
  <si>
    <t xml:space="preserve">UN (1) EVENTO 950 PERSONAS </t>
  </si>
  <si>
    <t xml:space="preserve">DIA ASULTO MAYOR </t>
  </si>
  <si>
    <t xml:space="preserve">CHICHA </t>
  </si>
  <si>
    <t xml:space="preserve">AFRO </t>
  </si>
  <si>
    <t xml:space="preserve">CAMPESINO </t>
  </si>
  <si>
    <t>PRESTAR EL SERVICIO DE ORGANIZACIÓN Y DESARROLLO DEL EVENTO ¿FIESTA NAVIDEÑA LOCAL 2016, CON PARTICIPACIÓN ACTIVA DE LA COMUNIDAD QUE PERMITA LA INTEGRACIÓN Y COMUNICACIÓN ENTRE LOS DISTINTOS GRUPOS POBLACIONALES, EN EL MARCO DEL PROYECTO NO. 1161  PROGRAMAS CULTURALES PARA TODOS Y TODAS, DE ACUERDO A MEMORANDO RADICADO BAJO EL NÚMERO 2016-532-00-13623 DE FECHA DICIEMBRE 15  DE 2016, FIRMADO POR EL ALCALDE LOCAL.</t>
  </si>
  <si>
    <t>105-2016</t>
  </si>
  <si>
    <t>SOSTENIBILIDAD SAS</t>
  </si>
  <si>
    <t xml:space="preserve">NAVIDAD </t>
  </si>
  <si>
    <t>PRESTAR EL SERVICIO DE ORGANIZACIÓN Y DESARROLLO DEL EVENTO DENOMINADO APUESTA POR EL HIP HOP, EN EL MARCO DEL PROYECTO NO 1161 PROGRAMAS CULTURALES PARA TODOS Y TODAS, DE ACUERDO A MEMORANDO RADICADO BAJO EL NUMERO 2016-532-00-14453 DE FECHA DICIEMBRE 29 DE 2016, FIRMADO POR EL ALCALDE LOCAL.</t>
  </si>
  <si>
    <t>123-2016</t>
  </si>
  <si>
    <t xml:space="preserve">CORPORACIÓN SOCIAL CULTURAL Y DEPORTIVA PARA LA PAZ </t>
  </si>
  <si>
    <t>900413968-1</t>
  </si>
  <si>
    <t xml:space="preserve">HIP HOP </t>
  </si>
  <si>
    <t xml:space="preserve">UN (1) EVENTO 8000 PERSONAS </t>
  </si>
  <si>
    <t xml:space="preserve">UN (1) EVENTO 400 PERSONAS </t>
  </si>
  <si>
    <t xml:space="preserve">UN (1) EVENTO 500 PERSONAS </t>
  </si>
  <si>
    <t>PRESTAR LOS SERVICIOS   NECESARIOS PARA LA ORGANIZACIÓN Y DESARROLLO DE LAS PRESENTACIONES MUSICALES DE TIPO SINFÓNICO RESULTANTES DEL CONVENIO INTERADMINISTRATIVO SUSCRITO ENTRE EL FONDO DE DESARROLLO LOCAL Y LA FILARMÓNICA DE BOGOTÁ,  DE ACUERDO A MEMORANDO RADICADO BAJO EL NUMERO 2016-532-00-14473 DE FECHA DICIEMBRE 29   DE 2016, FIRMADO POR EL ALCALDE LOCAL.</t>
  </si>
  <si>
    <t>125-2016</t>
  </si>
  <si>
    <t xml:space="preserve">FUNDACIÓN SOCIAL COLOMBIA ACTIVA  -  FUNACTIVA </t>
  </si>
  <si>
    <t xml:space="preserve">350 NIÑOS, NIÑAS Y ADOLESCENTES </t>
  </si>
  <si>
    <t xml:space="preserve">FILARMONICA </t>
  </si>
  <si>
    <t>PRESTAR LOS SERVICIOS PARA EJECUTAR LAS ACTIVIDADES DE ACONDICIONAMIENTO FISICO, DIRIGIDO A LA POBLACION ADULTO MAYOR RESIDENTES EN LA LOCALIDAD DE SANTAFE, DENTRO DEL MARCO DEL PROYECTO 1163 " SANTAFE MAS ACTIVA Y DINAMICA". DE ACUERDO A MEMORANDO RADICADO BAJO EL NUMERO 2016-532-00-13943 DE FECHA DICIEMBRE 20 DE 2016, FIRMADO POR EL ALCALDE LOCAL.</t>
  </si>
  <si>
    <t xml:space="preserve">RECREACIÓN Y DEPORTE </t>
  </si>
  <si>
    <t xml:space="preserve">SELECCIÓN ABREVIADA MENOR CUANTÍA </t>
  </si>
  <si>
    <t>111-2016</t>
  </si>
  <si>
    <t xml:space="preserve">ADULTO MAYOR </t>
  </si>
  <si>
    <t>REALIZAR LOS PROGRAMAS DEPORTIVOS CON ÉNFASIS EN FUTBOL, BASKETBALL, PATINAJE Y BOXEO QUE VINCULE A NIÑOS, NIÑAS, ADOLESCENTES Y JÓVENES DE LA LOCALIDAD DE SANTA FE, EN EL MARCO DEL PROYECTO NO. 1163 SANTA FE MÁS ACTIVA Y DINÁMICA DEL COMPONENTE ESCUELAS DEPORTIVAS., DE ACUERDO A MEMORANDO RADICADO BAJO EL NUMERO 2016-532-00-14403 DE FECHA DICIEMBRE 28 DE 2016, FIRMADO POR EL ALCALDE LOCAL.</t>
  </si>
  <si>
    <t>120-2016</t>
  </si>
  <si>
    <t>ORPORACION APOYAMOS Y SERVIMOS CAPACITANDO-ASERCA</t>
  </si>
  <si>
    <t xml:space="preserve">ESCUELAS DEPORTIVAS </t>
  </si>
  <si>
    <t xml:space="preserve"> VACACIONES </t>
  </si>
  <si>
    <t>EL CONTRATISTA SE OBLIGA CON EL FONDO DE DESARROLLO LOCAL DE SANTA FE A 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 DE CONFORMIDAD CON LOS ESTUDIOS PREVIOS Y EL PLIEGO DE CONDICIONES, DOCUMENTOS QUE FORMAN PARTE INTEGRAL DEL PROCESO., DE ACUERDO A MEMORANDO RADICADO BAJO EL NUMERO 2016-532-00-14533 DE FECHA DICIEMBRE 29 DE 2016, FIRMADO POR EL ALCALDE LOCAL.</t>
  </si>
  <si>
    <t xml:space="preserve">LICITACIÓN PÚBLICA </t>
  </si>
  <si>
    <t>129-2016</t>
  </si>
  <si>
    <t xml:space="preserve">ASOCIACIÓN DE DISCPACITADOS ASODISFISUR </t>
  </si>
  <si>
    <t>PRESTAR LOS SERVICIOS PROFESIONALES DE INTERVENTORÍA, TÉCNICA, ADMINISTRA-TIVA. FINANCIERA Y JURÍDICA, A LOS CONTRATOS QUE TIENEN COMO OBJETO 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 DE ACUERDO A MEMORANDO RADICADO BAJO EL NUMERO 2016-532-00-14693 DE FECHA DICIEMBRE 29 DE 2016, FIRMADO POR EL ALCALDE LOCAL.</t>
  </si>
  <si>
    <t>127-2016</t>
  </si>
  <si>
    <t xml:space="preserve">NELSON RODRIGUEZ DONZALEZ </t>
  </si>
  <si>
    <t xml:space="preserve">INTERV. ESCUELAS Y ADULTO MAYOR </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</si>
  <si>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 DE ACUERDO A MEMORANDO RADICADO BAJO EL NÚMERO 2016-532-00-14723 DE FECHA DICIEMBRE  30    DE 2016, FIRMADO POR EL ALCALDE LOCAL.</t>
  </si>
  <si>
    <t xml:space="preserve">CUERPOS DE AGUA </t>
  </si>
  <si>
    <t xml:space="preserve">1, AMBIENTE </t>
  </si>
  <si>
    <t>133-2016</t>
  </si>
  <si>
    <t>CORPORACION FUTURO SOSTENIBLE</t>
  </si>
  <si>
    <t xml:space="preserve">13 HECTAREAS </t>
  </si>
  <si>
    <t>AUNAR  ESFUERZOS  TÉCNICOS,  ADMINISTRATIVOS Y FINANCIEROS  PARA LA  REALIZACIÓN  DE  ACCIONES  DE  RECUPERACIÓN,   ACONDICIONAMIENTO Y MANTENIMIENTO DE LOS RÍOS, QUEBRADAS Y CANALES PERTENECIENTES  A  LA  LOCALIDAD DE SANTA FE;  ASÍ COMO,   LA  REVITALIZACIÓN  DEL   ESPACIO   PÚBLICO  DE   LA    LOCALIDAD  DE  SANTA FE  MEDIANTE  LA   IMPLEMENTACIÓN   DE   PROCESOS  DE  SENSIBILIZACIÓN Y ESTRATEGIAS PARA EL MANEJO ADECUADO  DE   RESIDUOS  SÓLIDOS  EN  LOS  PUNTOS  CRÍTICOS  PRIORIZADOS Y  EN  LAS  ZONAS   ALEDAÑAS A LOS CUERPOS DE AGUA EN INTERVENCIÓN,  DE ACUERDO A MEMORANDO RADICADO BAJO EL NÚMERO 2016-532-00-14623 DE FECHA DICIEMBRE  29   DE 2016, FIRMADO POR EL ALCALDE LOCAL.</t>
  </si>
  <si>
    <t xml:space="preserve">CONVENIO INTERADMINISTRATIVO </t>
  </si>
  <si>
    <t>131-2016</t>
  </si>
  <si>
    <t xml:space="preserve">AGUAS E BOGOTA S.A. ESP </t>
  </si>
  <si>
    <t>830128286-1</t>
  </si>
  <si>
    <t xml:space="preserve">3 RIOS  Y/O QUEBRADAS </t>
  </si>
  <si>
    <t>EL CONTRATISTA  SE  COMPROMETE  PARA  CON  EL FONDO, A  DESARROLLAR  PARA  EL  MÓDULO NO. 2 EL SIGUIENTE OBJETO CONTRACTUAL: 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 DE ACUERDO A MEMORANDO RADICADO BAJO EL NÚMERO 2016-532-00-13983 DE FECHA DICIEMBRE 22  DE 2016, FIRMADO POR EL ALCALDE LOCAL.</t>
  </si>
  <si>
    <t>110-2016</t>
  </si>
  <si>
    <t>CONSORCIO VIAL SF 2016</t>
  </si>
  <si>
    <t>113-2016</t>
  </si>
  <si>
    <t xml:space="preserve"> CONSORCIO MANVIALES SANTA FE</t>
  </si>
  <si>
    <t>CONTRATAR POR EL SISTEMA DE PRECIO GLOBAL FIJO LOS ESTUDIOS Y DISEÑOS TECNICOS Y A PRECIOS UNITARIOS FIJOS, SIN FORMULA DE AJUSTE, A MONTO AGOTABLE, EL LA CONSTRUCCION DE LAS OBRAS PARA LA CANCHA SINTETICA DEL PARQUE DE LOS LACHES, EN LA LOCALIDAD DE SANTA FE EN BOGOTÁ D.C., DE ACUERDO A MEMORANDO RADICADO BAJO EL NUMERO 2016-032-00-14513 DE FECHA DICIEMBRE 29 DE 2016, FIRMADO POR EL ALCALDE LOCAL.</t>
  </si>
  <si>
    <t>PARQUES - ESPACIO PÚBLICO</t>
  </si>
  <si>
    <t>126-2016</t>
  </si>
  <si>
    <t>CONSORCIO 2CP 2016</t>
  </si>
  <si>
    <t xml:space="preserve">CANCHA LACHES </t>
  </si>
  <si>
    <t>REALIZAR LA INTERVENTORÍA TÉCNICA, ADMINISTRATIVA, LEGAL, FINANCIERA, SOCIAL, AMBIENTAL Y S&amp;SO, ALOS CONTRATOS DE OBRA PÚBLICA DERIVADOS DE LAS LICITACION NO. FDLSF-LP-004-2016 (CONSTRUCCIÓN, REHABILITACIÓN Y MANTENIMIENTO DE LA MALLA VIAL LOCAL Y ESPACIO PÚBLICO), CONVOCADA POR LA ALCALDÍA LOCAL FONDO DE DESARROLLO LOCAL DE SANTA FE, DE ACUERDO A MEMORANDO RADICADO BAJO EL NUMERO 2016-532-00-13963 DE FECHA DICIEMBRE 21  DE 2016, FIRMADO POR EL ALCALDE LOCAL.</t>
  </si>
  <si>
    <t>CONSORCIO INTER SF</t>
  </si>
  <si>
    <t>112-2016</t>
  </si>
  <si>
    <t>ADICION Y PRORROGA 3 CIN 112 2015 - REALIZAR LA INTERVENTORÍA TÉCNICA, ADMINISTRATIVA, FINANCIERA Y AMBIENTAL, AL CONTRATO QUE  RESULTE DEL PROCESO LICITATORIO NO. FDLSF  004 DE 2015, CUYO OBJETO ES EL DIAGNOSTICO, DISEÑO, MANTENIMIENTO Y REHABILITACIÓN DE LA MALLA VIAL Y ANDENES EN  LOCALIDAD DE SANTA FE, DE CONFORMIDAD  CON LA DESCRIPCIÓN, ESPECIFICACIONES TÉCNICAS Y DEMÁS CONDICIONES ESTABLECIDAS EN LOS ESTUDIOS PREVIOS, EL PLIEGO DE CONDICIONES Y ANEXOS,  DOCUMENTOS QUE HACEN PARTE INTEGRAL DEL PRESENTE PROCESO,  DE ACUERDO A MEMORANDO RADICADO BAJO EL NÚMERO 2016-532-00-14683 DE FECHA DICIEMBRE 29  DE 2016, FIRMADO POR EL ALCALDE LOCAL.</t>
  </si>
  <si>
    <t>112-2015</t>
  </si>
  <si>
    <t>REALIZAR LA INTERVENTORÍA TÉCNICA, ADMINISTRATIVA, LEGAL, FINANCIERA, SOCIAL, AMBIENTAL Y S&amp;SO, AL CONTRATO DE OBRA PÚBLICA DERIVADO DE LA LICITACION NO. FDLSF-LP-013-2016 (LA CONSTRUCCION DE LAS OBRAS PARA LA CANCHA SINTETICA DEL PARQUE DE LOS LACHES), CONVOCADA POR LA ALCALDÍA LOCAL  FONDO DE DESARROLLO LOCAL DE SANTA FE, DE ACUERDO A MEMORANDO RADICADO BAJO EL NUMERO 2016-532-00-14723 DE FECHA DICIEMBRE 30  DE 2016, FIRMADO POR EL ALCALDE LOCAL.</t>
  </si>
  <si>
    <t>132-2016</t>
  </si>
  <si>
    <t>CONSORCIO RUISZ MEDINA</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</si>
  <si>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 DE ACUERDO A MEMORANDO RADICADO BAJO EL NÚMERO 2016-532-00-11543 DE FECHA NOVIEMBRE 3 DE 2016, FIRMADO POR EL ALCALDE LOCAL. SEGUN CONTRATO DE PRESTACION DE SERVICIOS 097-2016 Y OTRO SI #1</t>
  </si>
  <si>
    <t xml:space="preserve">AMBIENTE </t>
  </si>
  <si>
    <t>097-2016</t>
  </si>
  <si>
    <t>ORGANIZACION PARA LA GESTION DEL RIESGO Y EL DESARROLLO SOSTENIBLE SAS</t>
  </si>
  <si>
    <t xml:space="preserve">CAPACITACIÓN </t>
  </si>
  <si>
    <t>DOTAR AL CONSEJO LOCAL DE GESTIÓN DEL RIESGO Y CAMBIO CLIMÁTICO DE LA ALCALDÍA LOCAL DE SANTA FE CON EQUIPOS Y ELEMENTOS PARA MEJORAR SU CAPACIDAD OPERATIVA Y DE RESPUESTA ANTE CUALQUIER SITUACIÓN DE EMERGENCIA QUE SE PUEDA PRESENTAR¿, EN LA LOCALIDAD, DE ACUERDO A MEMORANDO RADICADO BAJO EL NUMERO 2016-532-00-14063 DE FECHA DICIEMBRE 26  DE 2016, FIRMADO POR EL ALCALDE LOCAL.</t>
  </si>
  <si>
    <t>114-2016</t>
  </si>
  <si>
    <t>GESCOM LTDA</t>
  </si>
  <si>
    <t> 830145023</t>
  </si>
  <si>
    <t xml:space="preserve">1 DOTACIÓN </t>
  </si>
  <si>
    <t>AUNAR  ESFUERZOS  TÉCNICOS,  ADMINISTRATIVOS Y FINANCIEROS  PARA  LA  REALIZACIÓN  DE   ACCIONES  DE  RECUPERACIÓN,   ACONDICIONAMIENTO   Y  MANTENIMIENTO  DE  LOS  RÍOS,   QUEBRADAS Y CANALES PERTENECIENTES A LA LOCALIDAD DE SANTA FE;  ASÍ COMO,    LA   REVITALIZACIÓN   DEL  ESPACIO   PÚBLICO   DE   LA   LOCALIDAD   DE   SANTA FE   MEDIANTE   LA     IMPLEMENTACIÓN   DE   PROCESOS  DE  SENSIBILIZACIÓN  Y   ESTRATEGIAS PARA EL MANEJO ADECUADO    DE    RESIDUOS  SÓLIDOS  EN  LOS  PUNTOS  CRÍTICOS  PRIORIZADOS Y  EN  LAS  ZONAS   ALEDAÑAS A LOS CUERPOS DE AGUA EN INTERVENCIÓN,   DE ACUERDO A MEMORANDO RADICADO BAJO EL NÚMERO 2016-532-00-14633 DE FECHA DICIEMBRE  29   DE 2016, FIRMADO POR EL ALCALDE LOCAL.</t>
  </si>
  <si>
    <t xml:space="preserve">CONVENIO INTERAMDINISTRTIVO </t>
  </si>
  <si>
    <t>AGUAS DE BOGOTA S A ESP</t>
  </si>
  <si>
    <t>DOTAR SEIS (6)  SALONES COMUNALES CON ELEMENTOS, MATERIALES Y MOBILIARIO DE OFICINA, PARA FORTLACECER  LAS ACTIVIDADES COMUNALES POR  MEDIO DE LA PARTICIPACIÓN E INTEGRACIÒN SOCIAL.,  DE ACUERDO A MEMORANDO RADICADO BAJO EL NUMERO 2016-532-00-14133 DE FECHA DICIEMBRE 27  DE 2016, FIRMADO POR EL ALCALDE LOCAL.</t>
  </si>
  <si>
    <t>PARTICIPACIÓN</t>
  </si>
  <si>
    <t xml:space="preserve">SUBASTA INVERSA </t>
  </si>
  <si>
    <t>GOBIERNO IDPAC</t>
  </si>
  <si>
    <t>117-2016</t>
  </si>
  <si>
    <t xml:space="preserve">METALICAS LA INDUSTRIAL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</si>
  <si>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 DE ACUERDO A MEMORANDO RADICADO BAJO EL NUMERO 2016-532-00-14073 DE FECHA DICIEMBRE 26 DE 2016, FIRMADO POR EL ALCALDE LOCAL.</t>
  </si>
  <si>
    <t xml:space="preserve">SEGURIDAD, CONVIVENCIA Y JUSTICIA </t>
  </si>
  <si>
    <t>115-2016</t>
  </si>
  <si>
    <t xml:space="preserve">270 NIÑOS Y NIÑAS </t>
  </si>
  <si>
    <t>REALIZAR  EL FORTALECIMIENTO Y PREVENCION DE VIOLENCIA A ADOLESCENTES,JOVENES Y ADULTOS QUE PERTENEZCAN A LOS GRUPOS DE BARRAS FUTBOLERAS, ESTABLECIDAS EN LA LOCALIDAD DE SANTA FE, DENTRO DEL MARCO DEL PROYECTO NO. 1167 DENOMINADO: SANTA FE HUMANA LIBRE DE DISCRIMINACION  Y VIOLENCIA, DE CONFORMIDAD CON LOS ESTUDIOS PREVIOS Y EL PLIEGO DE CONDICIONES, DOCUMENTOS QUE FORMAN PARTE INTEGRAL DEL PROCESO. SEGUN SOLICITUD MEMORANDO 2016532-0014323 DE FECHA DICIEMBRE 28 DE 2016, FIRMADO POR EL ALCALDE LOCAL.</t>
  </si>
  <si>
    <t>119-2016</t>
  </si>
  <si>
    <t>CARLOS PINZON MOLINA</t>
  </si>
  <si>
    <t> 798672345</t>
  </si>
  <si>
    <t xml:space="preserve">135  JOVENES Y ADULTOS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</si>
  <si>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 DE ACUERDO A MEMORANDO RADICADO BAJO EL NUMERO 2016-532-00-13513 DE FECHA DICIEMBRE 14  DE 2016, FIRMADO POR EL ALCALDE LOCAL.</t>
  </si>
  <si>
    <t>107-2016</t>
  </si>
  <si>
    <t xml:space="preserve">LUIS MARIO SOSA RUEDA </t>
  </si>
  <si>
    <t>LA ADQUISICIÓN, TRANSPORTE, INSTALACIÓN, DESMONTE DE EQUIPOS ACTUALES, CONFIGURACION Y PUESTA EN FUNCIONAMIENTO DE UPS Y AIRE ACONDICIONADO PARA LA SEDE PRINCIPAL DE LA ALCALDIA LOCAL DE SANTA FE, DE ACUERDO A MEMORANDO RADICADO BAJO EL NUMERO 2016-532-00-14433 DE FECHA DICIEMBRE 28 DE 2016, FIRMADO POR EL ALCALDE LOCAL.</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</si>
  <si>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 DE ACUERDO A MEMORANDO RADICADO BAJO EL NUMERO 2016-532-00-14503 DE FECHA DICIEMBRE 29  DE 2016, FIRMADO POR EL ALCALDE LOCAL.</t>
  </si>
  <si>
    <t>128-2016</t>
  </si>
  <si>
    <t>OMAIRA RIAÑO MOLANO</t>
  </si>
  <si>
    <t xml:space="preserve">CONTRATO DE COMPRAVENTA </t>
  </si>
  <si>
    <t>130-2016</t>
  </si>
  <si>
    <t>SISTETRONICS LIMITADA</t>
  </si>
  <si>
    <t>ADQUISICION, Y PUESTA EN FUNCIONAMIENTO EN SITIO DE  COMPUTADORES DE ESCRITORIO Y 1 SERVIDOR PARA LA ALCALDIA LOCAL DE SANTA FE,  DE ACUERDO A MEMORANDO RADICADO BAJO EL NUMERO 2016-532-00-14553 DE FECHA DICIEMBRE 29 DE 2016, FIRMADO POR EL ALCALDE LOCAL.</t>
  </si>
  <si>
    <t>121-2016</t>
  </si>
  <si>
    <t>UNION TEMPORAL ABNING 2016</t>
  </si>
  <si>
    <t>ADQUISICION DE DOS LICENCIAS DE LA SUITE ADOBE POR UN (1) AÑO PARA EL AREA DE PRENSA DE LA ALCALDIA LOCAL DE SANTA FE, DE ACUERDO A MEMORANDO RADICADO BAJO EL NUMERO 2016-532-00-14443 DE FECHA DICIEMBRE   29  DE 2016, FIRMADO POR EL ALCALDE LOCAL.</t>
  </si>
  <si>
    <t>122-2016</t>
  </si>
  <si>
    <t xml:space="preserve">XSYSTEM LTDA </t>
  </si>
  <si>
    <t>ADICION EL CONTRATO QUE SE PRETENDE CELEBRAR, TENDRA POR OBJETO PRESTAR EL APOYO EN EL GRUPO DE GESTION ADMINISTRATIVA Y FINANCIERA PARA ADELANTAR EL PROCESO DE CERTIFICACION DE CALIDAD Y DE SERVIR DE REFERENTE DE CALIDAD DE LA ALCALDIA LOCAL DE SANTA FE,  DE ACUERDO A MEMORANDO RADICADO BAJO EL NÚMERO 2016-532-00-14313 DE FECHA DICIEMBRE 28  DE 2016, FIRMADO POR EL ALCALDE LOCAL. ,</t>
  </si>
  <si>
    <t xml:space="preserve">1 MES 14 DÍAS </t>
  </si>
  <si>
    <t>CONTRATO INTERADMINISTRATIVO PARA LA PRESTACIÓN DEL SERVICIO EN ACCIONES DE PREVENCIÓN Y PROMOCIÓN EN SALUD EN EL MARCO DEL PROYECTO 1149 " SANTAFE CON SALUD PARA TODAS Y TODOS",  DE ACUERDO A MEMORANDO RADICADO BAJO EL NÚMERO 2016-532-00-14793 DE FECHA DICIEMBRE  30  DE 2016, FIRMADO POR EL ALCALDE LOCAL.</t>
  </si>
  <si>
    <t>(en blanco)</t>
  </si>
  <si>
    <t>Suma de 2,013</t>
  </si>
  <si>
    <t>Suma de 2,014</t>
  </si>
  <si>
    <t>Suma de 2,015</t>
  </si>
  <si>
    <t>Suma de 2,016</t>
  </si>
  <si>
    <t>Suma de 2,0132</t>
  </si>
  <si>
    <t>Suma de 2,0133</t>
  </si>
  <si>
    <t>Suma de 2,0142</t>
  </si>
  <si>
    <t>Suma de 2,0143</t>
  </si>
  <si>
    <t>Suma de 2,0152</t>
  </si>
  <si>
    <t>Suma de 2,0153</t>
  </si>
  <si>
    <t>Suma de 2,0162</t>
  </si>
  <si>
    <t>2,0163</t>
  </si>
  <si>
    <t>Suma de 2,0163</t>
  </si>
  <si>
    <t>MATRIZ DE PRODUCTOS, METAS Y RESULTADOS
RESULTADO POR SECTOR (Corte a 31 de Diciembre de 2016)
FONDO DE DESARROLLO LOCAL - ALCALDÍA LOCAL DE SANTA FE</t>
  </si>
  <si>
    <t>Suma de 2,0134</t>
  </si>
  <si>
    <t>Suma de 2,0144</t>
  </si>
  <si>
    <t>Suma de 2,0154</t>
  </si>
  <si>
    <t>Suma de 2,0164</t>
  </si>
  <si>
    <t>Suma de 2,0165</t>
  </si>
  <si>
    <t>5PROGRAMACIÓN FINANCIERA (BASADOS EN CDP) 2016</t>
  </si>
  <si>
    <t>104-2013</t>
  </si>
  <si>
    <t>CONTRATACIÓN DIRECTA LEY 1150 DE 2008</t>
  </si>
  <si>
    <t>CONTRATACIÓN DIRECTA LEY 1150 DE 2009</t>
  </si>
  <si>
    <t>CONTRATACIÓN DIRECTA LEY 1150 DE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</si>
</sst>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2]\ * #,##0.00_ ;_ [$€-2]\ * \-#,##0.00_ ;_ [$€-2]\ * \-??_ "/>
    <numFmt numFmtId="167" formatCode="* #,##0.00\ ;* \-#,##0.00\ ;* \-#\ ;@\ "/>
    <numFmt numFmtId="168" formatCode="_(* #,##0.00_);_(* \(#,##0.00\);_(* \-??_);_(@_)"/>
    <numFmt numFmtId="169" formatCode="_ * #,##0.00_ ;_ * \-#,##0.00_ ;_ * \-??_ ;_ @_ "/>
    <numFmt numFmtId="170" formatCode="_(&quot;$ &quot;* #,##0.00_);_(&quot;$ &quot;* \(#,##0.00\);_(&quot;$ &quot;* \-??_);_(@_)"/>
    <numFmt numFmtId="171" formatCode="&quot; $ &quot;* #,##0\ ;&quot; $ &quot;* \(#,##0\);&quot; $ &quot;* \-#\ ;@\ "/>
    <numFmt numFmtId="172" formatCode="[$$-240A]\ #,##0"/>
    <numFmt numFmtId="173" formatCode="#,##0.0"/>
    <numFmt numFmtId="174" formatCode="[$$-240A]\ #,##0\ ;\-[$$-240A]\ #,##0\ "/>
    <numFmt numFmtId="175" formatCode="* #,##0\ ;* \-#,##0\ ;* \-#\ ;@\ "/>
    <numFmt numFmtId="176" formatCode="#,##0&quot;   &quot;"/>
    <numFmt numFmtId="177" formatCode="#,##0\ _€"/>
    <numFmt numFmtId="178" formatCode="0.0%"/>
    <numFmt numFmtId="179" formatCode="_(&quot;$&quot;\ * #,##0_);_(&quot;$&quot;\ * \(#,##0\);_(&quot;$&quot;\ * &quot;-&quot;??_);_(@_)"/>
    <numFmt numFmtId="180" formatCode="&quot;$&quot;#,##0.00"/>
    <numFmt numFmtId="181" formatCode="_ * #,##0_ ;_ * \-#,##0_ ;_ * &quot;-&quot;??_ ;_ @_ "/>
    <numFmt numFmtId="182" formatCode="&quot;$&quot;\ #,##0"/>
    <numFmt numFmtId="183" formatCode="_-&quot;$&quot;* #,##0_-;\-&quot;$&quot;* #,##0_-;_-&quot;$&quot;* &quot;-&quot;??_-;_-@_-"/>
  </numFmts>
  <fonts count="64" x14ac:knownFonts="1">
    <font>
      <sz val="11"/>
      <color indexed="59"/>
      <name val="Calibri"/>
      <family val="2"/>
    </font>
    <font>
      <sz val="10"/>
      <name val="Arial"/>
      <family val="2"/>
    </font>
    <font>
      <sz val="11"/>
      <color indexed="63"/>
      <name val="Calibri"/>
      <family val="2"/>
    </font>
    <font>
      <sz val="10"/>
      <name val="Arial"/>
      <family val="2"/>
    </font>
    <font>
      <sz val="11"/>
      <color indexed="8"/>
      <name val="Calibri"/>
      <family val="2"/>
    </font>
    <font>
      <sz val="11"/>
      <color indexed="59"/>
      <name val="Calibri"/>
      <family val="2"/>
      <charset val="1"/>
    </font>
    <font>
      <sz val="11"/>
      <color indexed="63"/>
      <name val="Calibri"/>
      <family val="2"/>
      <charset val="1"/>
    </font>
    <font>
      <sz val="9"/>
      <color indexed="59"/>
      <name val="Arial Narrow"/>
      <family val="2"/>
    </font>
    <font>
      <b/>
      <sz val="9"/>
      <color indexed="9"/>
      <name val="Arial Narrow"/>
      <family val="2"/>
    </font>
    <font>
      <b/>
      <sz val="10"/>
      <color indexed="9"/>
      <name val="Calibri"/>
      <family val="2"/>
    </font>
    <font>
      <sz val="9"/>
      <color indexed="9"/>
      <name val="Arial Narrow"/>
      <family val="2"/>
    </font>
    <font>
      <sz val="9"/>
      <name val="Arial Narrow"/>
      <family val="2"/>
    </font>
    <font>
      <sz val="9"/>
      <color indexed="8"/>
      <name val="Arial Narrow"/>
      <family val="2"/>
    </font>
    <font>
      <sz val="9"/>
      <color indexed="59"/>
      <name val="Calibri"/>
      <family val="2"/>
    </font>
    <font>
      <sz val="9"/>
      <color indexed="10"/>
      <name val="Arial Narrow"/>
      <family val="2"/>
    </font>
    <font>
      <sz val="10"/>
      <color indexed="8"/>
      <name val="Arial Narrow"/>
      <family val="2"/>
    </font>
    <font>
      <b/>
      <sz val="12"/>
      <color indexed="9"/>
      <name val="Arial Narrow"/>
      <family val="2"/>
    </font>
    <font>
      <b/>
      <sz val="11"/>
      <color indexed="9"/>
      <name val="Arial Narrow"/>
      <family val="2"/>
    </font>
    <font>
      <sz val="10"/>
      <color indexed="59"/>
      <name val="Arial Narrow"/>
      <family val="2"/>
    </font>
    <font>
      <u/>
      <sz val="11"/>
      <color indexed="12"/>
      <name val="Arial"/>
      <family val="2"/>
    </font>
    <font>
      <sz val="11"/>
      <color indexed="59"/>
      <name val="Arial"/>
      <family val="2"/>
    </font>
    <font>
      <b/>
      <sz val="11"/>
      <color indexed="59"/>
      <name val="Calibri"/>
      <family val="2"/>
    </font>
    <font>
      <sz val="10"/>
      <name val="Calibri"/>
      <family val="2"/>
    </font>
    <font>
      <sz val="10"/>
      <color indexed="53"/>
      <name val="Calibri"/>
      <family val="2"/>
    </font>
    <font>
      <b/>
      <sz val="10"/>
      <color indexed="9"/>
      <name val="Arial Narrow"/>
      <family val="2"/>
    </font>
    <font>
      <sz val="10"/>
      <name val="Arial Narrow"/>
      <family val="2"/>
    </font>
    <font>
      <b/>
      <sz val="10"/>
      <color indexed="22"/>
      <name val="Calibri"/>
      <family val="2"/>
    </font>
    <font>
      <b/>
      <sz val="10"/>
      <name val="Calibri"/>
      <family val="2"/>
    </font>
    <font>
      <sz val="10"/>
      <color indexed="59"/>
      <name val="Calibri"/>
      <family val="2"/>
    </font>
    <font>
      <b/>
      <sz val="11"/>
      <name val="Calibri"/>
      <family val="2"/>
    </font>
    <font>
      <b/>
      <sz val="12"/>
      <name val="Calibri"/>
      <family val="2"/>
    </font>
    <font>
      <sz val="11"/>
      <color indexed="59"/>
      <name val="Calibri"/>
      <family val="2"/>
    </font>
    <font>
      <sz val="10"/>
      <name val="Arial"/>
      <family val="2"/>
      <charset val="1"/>
    </font>
    <font>
      <sz val="8"/>
      <name val="Arial"/>
      <family val="2"/>
      <charset val="1"/>
    </font>
    <font>
      <b/>
      <sz val="14"/>
      <color indexed="13"/>
      <name val="Arial Rounded MT Bold"/>
      <family val="2"/>
    </font>
    <font>
      <sz val="24"/>
      <color indexed="9"/>
      <name val="Arial Rounded MT Bold"/>
      <family val="2"/>
    </font>
    <font>
      <sz val="14"/>
      <color indexed="43"/>
      <name val="Arial Rounded MT Bold"/>
      <family val="2"/>
    </font>
    <font>
      <sz val="14"/>
      <color indexed="9"/>
      <name val="Arial Rounded MT Bold"/>
      <family val="2"/>
    </font>
    <font>
      <sz val="14"/>
      <name val="Arial Rounded MT Bold"/>
      <family val="2"/>
    </font>
    <font>
      <sz val="24"/>
      <color indexed="8"/>
      <name val="Haettenschweiler"/>
      <family val="2"/>
    </font>
    <font>
      <sz val="16"/>
      <color indexed="13"/>
      <name val="Arial Rounded MT Bold"/>
      <family val="2"/>
    </font>
    <font>
      <sz val="14"/>
      <color indexed="8"/>
      <name val="Arial"/>
      <family val="2"/>
    </font>
    <font>
      <sz val="10"/>
      <color indexed="8"/>
      <name val="Arial"/>
      <family val="2"/>
    </font>
    <font>
      <sz val="11"/>
      <color indexed="63"/>
      <name val="Arial Narrow"/>
      <family val="2"/>
    </font>
    <font>
      <b/>
      <sz val="11"/>
      <color indexed="8"/>
      <name val="Arial Narrow"/>
      <family val="2"/>
    </font>
    <font>
      <sz val="10"/>
      <color indexed="8"/>
      <name val="Haettenschweiler"/>
      <family val="2"/>
    </font>
    <font>
      <sz val="10"/>
      <color indexed="63"/>
      <name val="Calibri"/>
      <family val="2"/>
    </font>
    <font>
      <b/>
      <sz val="11"/>
      <color indexed="63"/>
      <name val="Arial Narrow"/>
      <family val="2"/>
    </font>
    <font>
      <b/>
      <sz val="10"/>
      <color indexed="9"/>
      <name val="Arial"/>
      <family val="2"/>
    </font>
    <font>
      <sz val="8"/>
      <color indexed="63"/>
      <name val="Calibri"/>
      <family val="2"/>
    </font>
    <font>
      <sz val="9"/>
      <color indexed="63"/>
      <name val="Calibri"/>
      <family val="2"/>
    </font>
    <font>
      <b/>
      <sz val="10"/>
      <color indexed="13"/>
      <name val="Arial Rounded MT Bold"/>
      <family val="2"/>
    </font>
    <font>
      <sz val="7"/>
      <color indexed="63"/>
      <name val="Calibri"/>
      <family val="2"/>
    </font>
    <font>
      <sz val="9"/>
      <color indexed="8"/>
      <name val="Calibri"/>
      <family val="2"/>
    </font>
    <font>
      <sz val="10"/>
      <color indexed="8"/>
      <name val="Calibri"/>
      <family val="2"/>
    </font>
    <font>
      <sz val="9"/>
      <name val="Calibri"/>
      <family val="2"/>
    </font>
    <font>
      <sz val="9"/>
      <color indexed="59"/>
      <name val="Arial"/>
      <family val="2"/>
    </font>
    <font>
      <sz val="9"/>
      <name val="Arial"/>
      <family val="2"/>
    </font>
    <font>
      <b/>
      <sz val="9"/>
      <color indexed="59"/>
      <name val="Arial Narrow"/>
      <family val="2"/>
    </font>
    <font>
      <sz val="11"/>
      <color theme="1"/>
      <name val="Calibri"/>
      <family val="2"/>
      <scheme val="minor"/>
    </font>
    <font>
      <b/>
      <sz val="10"/>
      <color theme="0"/>
      <name val="Arial"/>
      <family val="2"/>
    </font>
    <font>
      <sz val="9"/>
      <color rgb="FF1A1A1A"/>
      <name val="Arial Narrow"/>
      <family val="2"/>
    </font>
    <font>
      <sz val="9"/>
      <color rgb="FF3D3D3D"/>
      <name val="Arial Narrow"/>
      <family val="2"/>
    </font>
    <font>
      <b/>
      <sz val="9"/>
      <name val="Arial Narrow"/>
      <family val="2"/>
    </font>
  </fonts>
  <fills count="37">
    <fill>
      <patternFill patternType="none"/>
    </fill>
    <fill>
      <patternFill patternType="gray125"/>
    </fill>
    <fill>
      <patternFill patternType="solid">
        <fgColor indexed="55"/>
        <bgColor indexed="23"/>
      </patternFill>
    </fill>
    <fill>
      <patternFill patternType="solid">
        <fgColor indexed="12"/>
        <bgColor indexed="39"/>
      </patternFill>
    </fill>
    <fill>
      <patternFill patternType="solid">
        <fgColor indexed="53"/>
        <bgColor indexed="52"/>
      </patternFill>
    </fill>
    <fill>
      <patternFill patternType="solid">
        <fgColor indexed="9"/>
        <bgColor indexed="26"/>
      </patternFill>
    </fill>
    <fill>
      <patternFill patternType="solid">
        <fgColor indexed="30"/>
        <bgColor indexed="21"/>
      </patternFill>
    </fill>
    <fill>
      <patternFill patternType="solid">
        <fgColor indexed="13"/>
        <bgColor indexed="34"/>
      </patternFill>
    </fill>
    <fill>
      <patternFill patternType="solid">
        <fgColor indexed="56"/>
        <bgColor indexed="62"/>
      </patternFill>
    </fill>
    <fill>
      <patternFill patternType="solid">
        <fgColor indexed="57"/>
        <bgColor indexed="21"/>
      </patternFill>
    </fill>
    <fill>
      <patternFill patternType="solid">
        <fgColor indexed="44"/>
        <bgColor indexed="31"/>
      </patternFill>
    </fill>
    <fill>
      <patternFill patternType="solid">
        <fgColor indexed="60"/>
        <bgColor indexed="64"/>
      </patternFill>
    </fill>
    <fill>
      <patternFill patternType="solid">
        <fgColor indexed="57"/>
        <bgColor indexed="64"/>
      </patternFill>
    </fill>
    <fill>
      <patternFill patternType="solid">
        <fgColor indexed="9"/>
        <bgColor indexed="64"/>
      </patternFill>
    </fill>
    <fill>
      <patternFill patternType="solid">
        <fgColor rgb="FF002060"/>
        <bgColor indexed="64"/>
      </patternFill>
    </fill>
    <fill>
      <patternFill patternType="solid">
        <fgColor theme="4" tint="-0.249977111117893"/>
        <bgColor indexed="64"/>
      </patternFill>
    </fill>
    <fill>
      <patternFill patternType="solid">
        <fgColor rgb="FFC00000"/>
        <bgColor indexed="64"/>
      </patternFill>
    </fill>
    <fill>
      <patternFill patternType="solid">
        <fgColor theme="3" tint="0.39997558519241921"/>
        <bgColor indexed="64"/>
      </patternFill>
    </fill>
    <fill>
      <patternFill patternType="solid">
        <fgColor theme="3" tint="0.39997558519241921"/>
        <bgColor indexed="52"/>
      </patternFill>
    </fill>
    <fill>
      <patternFill patternType="solid">
        <fgColor theme="9" tint="-0.499984740745262"/>
        <bgColor indexed="13"/>
      </patternFill>
    </fill>
    <fill>
      <patternFill patternType="solid">
        <fgColor theme="9" tint="-0.249977111117893"/>
        <bgColor indexed="21"/>
      </patternFill>
    </fill>
    <fill>
      <patternFill patternType="solid">
        <fgColor theme="6" tint="-0.499984740745262"/>
        <bgColor indexed="64"/>
      </patternFill>
    </fill>
    <fill>
      <patternFill patternType="solid">
        <fgColor theme="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0"/>
        <bgColor indexed="26"/>
      </patternFill>
    </fill>
    <fill>
      <patternFill patternType="solid">
        <fgColor theme="0"/>
        <bgColor indexed="52"/>
      </patternFill>
    </fill>
    <fill>
      <patternFill patternType="solid">
        <fgColor theme="0"/>
        <bgColor indexed="64"/>
      </patternFill>
    </fill>
    <fill>
      <patternFill patternType="solid">
        <fgColor theme="0"/>
        <bgColor indexed="34"/>
      </patternFill>
    </fill>
    <fill>
      <patternFill patternType="solid">
        <fgColor rgb="FFC00000"/>
        <bgColor indexed="13"/>
      </patternFill>
    </fill>
    <fill>
      <patternFill patternType="solid">
        <fgColor rgb="FF254061"/>
        <bgColor indexed="64"/>
      </patternFill>
    </fill>
    <fill>
      <patternFill patternType="solid">
        <fgColor rgb="FF99003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00"/>
        <bgColor indexed="52"/>
      </patternFill>
    </fill>
    <fill>
      <patternFill patternType="solid">
        <fgColor rgb="FF002060"/>
        <bgColor indexed="23"/>
      </patternFill>
    </fill>
    <fill>
      <patternFill patternType="solid">
        <fgColor rgb="FF254061"/>
        <bgColor indexed="55"/>
      </patternFill>
    </fill>
  </fills>
  <borders count="62">
    <border>
      <left/>
      <right/>
      <top/>
      <bottom/>
      <diagonal/>
    </border>
    <border>
      <left style="thin">
        <color indexed="8"/>
      </left>
      <right style="thin">
        <color indexed="8"/>
      </right>
      <top style="thin">
        <color indexed="8"/>
      </top>
      <bottom style="thin">
        <color indexed="8"/>
      </bottom>
      <diagonal/>
    </border>
    <border>
      <left/>
      <right style="thin">
        <color indexed="59"/>
      </right>
      <top style="thin">
        <color indexed="59"/>
      </top>
      <bottom style="thin">
        <color indexed="59"/>
      </bottom>
      <diagonal/>
    </border>
    <border>
      <left style="thin">
        <color indexed="59"/>
      </left>
      <right/>
      <top/>
      <bottom/>
      <diagonal/>
    </border>
    <border>
      <left style="thin">
        <color indexed="59"/>
      </left>
      <right style="thin">
        <color indexed="59"/>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59"/>
      </left>
      <right style="thin">
        <color indexed="59"/>
      </right>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59"/>
      </left>
      <right/>
      <top style="thin">
        <color indexed="59"/>
      </top>
      <bottom/>
      <diagonal/>
    </border>
    <border>
      <left style="thin">
        <color indexed="59"/>
      </left>
      <right/>
      <top style="thin">
        <color indexed="59"/>
      </top>
      <bottom style="thin">
        <color indexed="59"/>
      </bottom>
      <diagonal/>
    </border>
    <border>
      <left style="thin">
        <color indexed="59"/>
      </left>
      <right style="thin">
        <color indexed="59"/>
      </right>
      <top style="thin">
        <color indexed="59"/>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59"/>
      </left>
      <right style="thin">
        <color indexed="64"/>
      </right>
      <top style="thin">
        <color indexed="59"/>
      </top>
      <bottom/>
      <diagonal/>
    </border>
    <border>
      <left style="thin">
        <color indexed="59"/>
      </left>
      <right style="thin">
        <color indexed="64"/>
      </right>
      <top/>
      <bottom/>
      <diagonal/>
    </border>
    <border>
      <left/>
      <right/>
      <top style="thin">
        <color indexed="64"/>
      </top>
      <bottom style="thin">
        <color indexed="64"/>
      </bottom>
      <diagonal/>
    </border>
    <border>
      <left style="thin">
        <color indexed="59"/>
      </left>
      <right/>
      <top/>
      <bottom style="thin">
        <color indexed="64"/>
      </bottom>
      <diagonal/>
    </border>
    <border>
      <left/>
      <right style="thin">
        <color indexed="59"/>
      </right>
      <top/>
      <bottom style="thin">
        <color indexed="64"/>
      </bottom>
      <diagonal/>
    </border>
    <border>
      <left/>
      <right style="thin">
        <color indexed="59"/>
      </right>
      <top/>
      <bottom/>
      <diagonal/>
    </border>
    <border>
      <left style="thin">
        <color indexed="59"/>
      </left>
      <right style="thin">
        <color indexed="64"/>
      </right>
      <top/>
      <bottom style="thin">
        <color indexed="59"/>
      </bottom>
      <diagonal/>
    </border>
    <border>
      <left style="thin">
        <color indexed="59"/>
      </left>
      <right/>
      <top/>
      <bottom style="thin">
        <color indexed="59"/>
      </bottom>
      <diagonal/>
    </border>
    <border>
      <left style="thin">
        <color indexed="59"/>
      </left>
      <right style="thin">
        <color indexed="59"/>
      </right>
      <top/>
      <bottom style="thin">
        <color indexed="64"/>
      </bottom>
      <diagonal/>
    </border>
    <border>
      <left/>
      <right/>
      <top style="thin">
        <color indexed="64"/>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top style="thin">
        <color rgb="FFABABAB"/>
      </top>
      <bottom style="thin">
        <color rgb="FFABABAB"/>
      </bottom>
      <diagonal/>
    </border>
    <border>
      <left style="thin">
        <color rgb="FF990033"/>
      </left>
      <right/>
      <top style="thin">
        <color rgb="FF990033"/>
      </top>
      <bottom style="thin">
        <color rgb="FF990033"/>
      </bottom>
      <diagonal/>
    </border>
    <border>
      <left style="thin">
        <color rgb="FF990033"/>
      </left>
      <right style="thin">
        <color rgb="FF990033"/>
      </right>
      <top style="thin">
        <color rgb="FF990033"/>
      </top>
      <bottom style="thin">
        <color rgb="FF990033"/>
      </bottom>
      <diagonal/>
    </border>
    <border>
      <left style="thin">
        <color rgb="FF990033"/>
      </left>
      <right/>
      <top/>
      <bottom style="thin">
        <color rgb="FF990033"/>
      </bottom>
      <diagonal/>
    </border>
    <border>
      <left style="thin">
        <color rgb="FFC00000"/>
      </left>
      <right/>
      <top/>
      <bottom style="thin">
        <color rgb="FF990033"/>
      </bottom>
      <diagonal/>
    </border>
    <border>
      <left style="thin">
        <color rgb="FF990033"/>
      </left>
      <right style="thin">
        <color rgb="FFC00000"/>
      </right>
      <top/>
      <bottom style="thin">
        <color rgb="FF990033"/>
      </bottom>
      <diagonal/>
    </border>
    <border>
      <left style="thin">
        <color rgb="FFABABAB"/>
      </left>
      <right style="thin">
        <color rgb="FFABABAB"/>
      </right>
      <top style="thin">
        <color rgb="FFABABAB"/>
      </top>
      <bottom/>
      <diagonal/>
    </border>
    <border>
      <left style="thin">
        <color rgb="FFABABAB"/>
      </left>
      <right/>
      <top style="thin">
        <color indexed="9"/>
      </top>
      <bottom/>
      <diagonal/>
    </border>
    <border>
      <left style="thin">
        <color rgb="FFABABAB"/>
      </left>
      <right/>
      <top/>
      <bottom/>
      <diagonal/>
    </border>
    <border>
      <left style="thin">
        <color rgb="FFABABAB"/>
      </left>
      <right style="thin">
        <color rgb="FFABABAB"/>
      </right>
      <top/>
      <bottom/>
      <diagonal/>
    </border>
    <border>
      <left style="thin">
        <color indexed="9"/>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right/>
      <top style="thin">
        <color rgb="FF990033"/>
      </top>
      <bottom style="thin">
        <color rgb="FF990033"/>
      </bottom>
      <diagonal/>
    </border>
    <border>
      <left/>
      <right style="thin">
        <color rgb="FF990033"/>
      </right>
      <top style="thin">
        <color rgb="FF990033"/>
      </top>
      <bottom style="thin">
        <color rgb="FF990033"/>
      </bottom>
      <diagonal/>
    </border>
    <border>
      <left style="thin">
        <color rgb="FFC00000"/>
      </left>
      <right/>
      <top style="thin">
        <color rgb="FFC00000"/>
      </top>
      <bottom style="thin">
        <color rgb="FF990033"/>
      </bottom>
      <diagonal/>
    </border>
    <border>
      <left/>
      <right/>
      <top style="thin">
        <color rgb="FFC00000"/>
      </top>
      <bottom style="thin">
        <color rgb="FF990033"/>
      </bottom>
      <diagonal/>
    </border>
    <border>
      <left/>
      <right style="thin">
        <color rgb="FFC00000"/>
      </right>
      <top style="thin">
        <color rgb="FFC00000"/>
      </top>
      <bottom style="thin">
        <color rgb="FF990033"/>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right style="thin">
        <color rgb="FFABABAB"/>
      </right>
      <top style="thin">
        <color rgb="FFABABAB"/>
      </top>
      <bottom/>
      <diagonal/>
    </border>
    <border>
      <left style="thin">
        <color indexed="65"/>
      </left>
      <right/>
      <top style="thin">
        <color rgb="FFABABAB"/>
      </top>
      <bottom style="thin">
        <color rgb="FFABABAB"/>
      </bottom>
      <diagonal/>
    </border>
    <border>
      <left/>
      <right style="thin">
        <color rgb="FFABABAB"/>
      </right>
      <top style="thin">
        <color rgb="FFABABAB"/>
      </top>
      <bottom style="thin">
        <color rgb="FFABABAB"/>
      </bottom>
      <diagonal/>
    </border>
    <border>
      <left/>
      <right/>
      <top style="thin">
        <color rgb="FFABABAB"/>
      </top>
      <bottom/>
      <diagonal/>
    </border>
    <border>
      <left/>
      <right/>
      <top style="thin">
        <color rgb="FFABABAB"/>
      </top>
      <bottom style="thin">
        <color rgb="FFABABAB"/>
      </bottom>
      <diagonal/>
    </border>
    <border>
      <left/>
      <right/>
      <top style="hair">
        <color indexed="64"/>
      </top>
      <bottom/>
      <diagonal/>
    </border>
  </borders>
  <cellStyleXfs count="28">
    <xf numFmtId="0" fontId="0" fillId="0" borderId="0"/>
    <xf numFmtId="166" fontId="31" fillId="0" borderId="0" applyFill="0" applyBorder="0" applyAlignment="0" applyProtection="0"/>
    <xf numFmtId="0" fontId="32" fillId="0" borderId="0"/>
    <xf numFmtId="167" fontId="31" fillId="0" borderId="0" applyBorder="0" applyAlignment="0" applyProtection="0"/>
    <xf numFmtId="167" fontId="31" fillId="0" borderId="0" applyFill="0" applyBorder="0" applyAlignment="0" applyProtection="0"/>
    <xf numFmtId="167" fontId="31" fillId="0" borderId="0" applyFill="0" applyBorder="0" applyAlignment="0" applyProtection="0"/>
    <xf numFmtId="167" fontId="2" fillId="0" borderId="0" applyBorder="0" applyAlignment="0" applyProtection="0"/>
    <xf numFmtId="168" fontId="31" fillId="0" borderId="0" applyFill="0" applyBorder="0" applyAlignment="0" applyProtection="0"/>
    <xf numFmtId="169" fontId="31" fillId="0" borderId="0" applyFill="0" applyBorder="0" applyAlignment="0" applyProtection="0"/>
    <xf numFmtId="169" fontId="3" fillId="0" borderId="0" applyFill="0" applyBorder="0" applyAlignment="0" applyProtection="0"/>
    <xf numFmtId="44" fontId="31" fillId="0" borderId="0" applyFont="0" applyFill="0" applyBorder="0" applyAlignment="0" applyProtection="0"/>
    <xf numFmtId="170" fontId="31" fillId="0" borderId="0" applyFill="0" applyBorder="0" applyAlignment="0" applyProtection="0"/>
    <xf numFmtId="170" fontId="31" fillId="0" borderId="0" applyFill="0" applyBorder="0" applyAlignment="0" applyProtection="0"/>
    <xf numFmtId="170" fontId="4" fillId="0" borderId="0" applyFill="0" applyBorder="0" applyAlignment="0" applyProtection="0"/>
    <xf numFmtId="170" fontId="2" fillId="0" borderId="0" applyFill="0" applyBorder="0" applyAlignment="0" applyProtection="0"/>
    <xf numFmtId="164" fontId="1" fillId="0" borderId="0" applyFill="0" applyBorder="0" applyAlignment="0" applyProtection="0"/>
    <xf numFmtId="0" fontId="3" fillId="0" borderId="0"/>
    <xf numFmtId="0" fontId="2" fillId="0" borderId="0"/>
    <xf numFmtId="0" fontId="4" fillId="0" borderId="0"/>
    <xf numFmtId="0" fontId="3" fillId="0" borderId="0"/>
    <xf numFmtId="0" fontId="2" fillId="0" borderId="0"/>
    <xf numFmtId="0" fontId="4" fillId="0" borderId="0"/>
    <xf numFmtId="0" fontId="59" fillId="0" borderId="0"/>
    <xf numFmtId="0" fontId="3" fillId="0" borderId="0"/>
    <xf numFmtId="9" fontId="31" fillId="0" borderId="0" applyBorder="0" applyAlignment="0" applyProtection="0"/>
    <xf numFmtId="9" fontId="2" fillId="0" borderId="0" applyBorder="0" applyAlignment="0" applyProtection="0"/>
    <xf numFmtId="0" fontId="5" fillId="0" borderId="0"/>
    <xf numFmtId="0" fontId="6" fillId="0" borderId="0"/>
  </cellStyleXfs>
  <cellXfs count="691">
    <xf numFmtId="0" fontId="0" fillId="0" borderId="0" xfId="0"/>
    <xf numFmtId="0" fontId="7" fillId="0" borderId="0" xfId="0" applyFont="1" applyBorder="1" applyAlignment="1" applyProtection="1">
      <alignment horizontal="center" vertical="center"/>
    </xf>
    <xf numFmtId="0" fontId="7" fillId="0" borderId="0" xfId="0" applyFont="1" applyBorder="1" applyAlignment="1" applyProtection="1">
      <alignment horizontal="left"/>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0" fontId="7" fillId="0" borderId="0" xfId="0" applyFont="1" applyBorder="1" applyAlignment="1" applyProtection="1">
      <protection locked="0"/>
    </xf>
    <xf numFmtId="0" fontId="7" fillId="0" borderId="0" xfId="0" applyFont="1" applyAlignment="1"/>
    <xf numFmtId="0" fontId="8" fillId="2" borderId="1" xfId="26" applyNumberFormat="1" applyFont="1" applyFill="1" applyBorder="1" applyAlignment="1" applyProtection="1">
      <alignment horizontal="center" vertical="center"/>
    </xf>
    <xf numFmtId="3" fontId="9" fillId="2" borderId="2" xfId="16"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protection locked="0"/>
    </xf>
    <xf numFmtId="0" fontId="8" fillId="2" borderId="1" xfId="26" applyNumberFormat="1" applyFont="1" applyFill="1" applyBorder="1" applyAlignment="1" applyProtection="1">
      <alignment horizontal="center" vertical="center" wrapText="1"/>
    </xf>
    <xf numFmtId="0" fontId="8" fillId="3" borderId="1" xfId="26" applyNumberFormat="1" applyFont="1" applyFill="1" applyBorder="1" applyAlignment="1" applyProtection="1">
      <alignment horizontal="center" vertical="center" wrapText="1"/>
    </xf>
    <xf numFmtId="3" fontId="8" fillId="2" borderId="1" xfId="26" applyNumberFormat="1" applyFont="1" applyFill="1" applyBorder="1" applyAlignment="1" applyProtection="1">
      <alignment horizontal="center" vertical="center" wrapText="1"/>
    </xf>
    <xf numFmtId="3" fontId="8" fillId="3" borderId="1" xfId="26" applyNumberFormat="1" applyFont="1" applyFill="1" applyBorder="1" applyAlignment="1" applyProtection="1">
      <alignment horizontal="center" vertical="center" wrapText="1"/>
    </xf>
    <xf numFmtId="3" fontId="8" fillId="4" borderId="1" xfId="26" applyNumberFormat="1" applyFont="1" applyFill="1" applyBorder="1" applyAlignment="1" applyProtection="1">
      <alignment horizontal="center" vertical="center" wrapText="1"/>
    </xf>
    <xf numFmtId="3" fontId="9" fillId="4" borderId="3" xfId="16"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3" fontId="7" fillId="0" borderId="1" xfId="0" applyNumberFormat="1" applyFont="1" applyFill="1" applyBorder="1" applyAlignment="1" applyProtection="1">
      <alignment horizontal="left" vertical="center"/>
    </xf>
    <xf numFmtId="9" fontId="7" fillId="0" borderId="1" xfId="24"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xf>
    <xf numFmtId="171" fontId="7" fillId="0" borderId="1" xfId="26" applyNumberFormat="1" applyFont="1" applyFill="1" applyBorder="1" applyAlignment="1" applyProtection="1">
      <alignment horizontal="center" vertical="center"/>
    </xf>
    <xf numFmtId="0" fontId="7" fillId="5" borderId="0" xfId="0" applyFont="1" applyFill="1" applyAlignment="1" applyProtection="1">
      <protection locked="0"/>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xf>
    <xf numFmtId="9" fontId="11" fillId="0" borderId="1" xfId="24" applyFont="1" applyFill="1" applyBorder="1" applyAlignment="1" applyProtection="1">
      <alignment horizontal="center" vertical="center"/>
    </xf>
    <xf numFmtId="171" fontId="11" fillId="0" borderId="1" xfId="26" applyNumberFormat="1" applyFont="1" applyFill="1" applyBorder="1" applyAlignment="1" applyProtection="1">
      <alignment horizontal="center" vertical="center"/>
    </xf>
    <xf numFmtId="171" fontId="11" fillId="0" borderId="1" xfId="26" applyNumberFormat="1" applyFont="1" applyFill="1" applyBorder="1" applyAlignment="1" applyProtection="1">
      <alignment horizontal="left" vertical="center"/>
    </xf>
    <xf numFmtId="171" fontId="7" fillId="0" borderId="1" xfId="26" applyNumberFormat="1" applyFont="1" applyFill="1" applyBorder="1" applyAlignment="1" applyProtection="1">
      <alignment horizontal="left" vertical="center"/>
    </xf>
    <xf numFmtId="0" fontId="7" fillId="0" borderId="1" xfId="26" applyNumberFormat="1" applyFont="1" applyFill="1" applyBorder="1" applyAlignment="1" applyProtection="1">
      <alignment horizontal="left" vertical="center"/>
    </xf>
    <xf numFmtId="0" fontId="11" fillId="5" borderId="0" xfId="0" applyFont="1" applyFill="1" applyAlignment="1" applyProtection="1">
      <protection locked="0"/>
    </xf>
    <xf numFmtId="171" fontId="7" fillId="0" borderId="1" xfId="26" applyNumberFormat="1" applyFont="1" applyFill="1" applyBorder="1" applyAlignment="1" applyProtection="1">
      <alignment vertical="center"/>
    </xf>
    <xf numFmtId="171" fontId="7" fillId="0" borderId="1" xfId="0" applyNumberFormat="1" applyFont="1" applyFill="1" applyBorder="1" applyAlignment="1" applyProtection="1">
      <alignment horizontal="center" vertical="center"/>
    </xf>
    <xf numFmtId="171" fontId="7" fillId="0" borderId="1" xfId="0" applyNumberFormat="1" applyFont="1" applyFill="1" applyBorder="1" applyAlignment="1" applyProtection="1">
      <alignment horizontal="left" vertical="center"/>
    </xf>
    <xf numFmtId="172" fontId="7" fillId="0" borderId="1" xfId="0" applyNumberFormat="1" applyFont="1" applyFill="1" applyBorder="1" applyAlignment="1" applyProtection="1">
      <alignment horizontal="center" vertical="center"/>
    </xf>
    <xf numFmtId="172" fontId="7" fillId="0" borderId="1" xfId="0" applyNumberFormat="1" applyFont="1" applyFill="1" applyBorder="1" applyAlignment="1" applyProtection="1">
      <alignment horizontal="left" vertical="center"/>
    </xf>
    <xf numFmtId="3" fontId="11" fillId="0" borderId="1" xfId="0" applyNumberFormat="1" applyFont="1" applyFill="1" applyBorder="1" applyAlignment="1" applyProtection="1">
      <alignment horizontal="center" vertical="center"/>
    </xf>
    <xf numFmtId="173" fontId="7" fillId="0" borderId="1" xfId="0" applyNumberFormat="1" applyFont="1" applyFill="1" applyBorder="1" applyAlignment="1" applyProtection="1">
      <alignment horizontal="center" vertical="center"/>
    </xf>
    <xf numFmtId="174" fontId="7" fillId="0" borderId="1" xfId="3" applyNumberFormat="1" applyFont="1" applyFill="1" applyBorder="1" applyAlignment="1" applyProtection="1">
      <alignment horizontal="right" vertical="center"/>
    </xf>
    <xf numFmtId="174" fontId="7" fillId="0" borderId="1" xfId="3" applyNumberFormat="1" applyFont="1" applyFill="1" applyBorder="1" applyAlignment="1" applyProtection="1">
      <alignment horizontal="left" vertical="center"/>
    </xf>
    <xf numFmtId="3" fontId="7" fillId="0" borderId="0" xfId="0" applyNumberFormat="1" applyFont="1" applyFill="1" applyBorder="1" applyAlignment="1" applyProtection="1">
      <alignment horizontal="center" vertical="center"/>
      <protection locked="0"/>
    </xf>
    <xf numFmtId="175" fontId="13" fillId="0" borderId="0" xfId="3" applyNumberFormat="1" applyFont="1" applyBorder="1" applyAlignment="1" applyProtection="1">
      <protection locked="0"/>
    </xf>
    <xf numFmtId="175" fontId="31" fillId="0" borderId="0" xfId="3" applyNumberFormat="1" applyBorder="1" applyAlignment="1" applyProtection="1">
      <alignment horizontal="left" vertical="center"/>
      <protection locked="0"/>
    </xf>
    <xf numFmtId="175" fontId="31" fillId="0" borderId="0" xfId="3" applyNumberFormat="1" applyBorder="1" applyAlignment="1" applyProtection="1">
      <alignment horizontal="center" vertical="center"/>
      <protection locked="0"/>
    </xf>
    <xf numFmtId="175" fontId="0" fillId="0" borderId="0" xfId="3" applyNumberFormat="1" applyFont="1" applyBorder="1" applyAlignment="1" applyProtection="1">
      <alignment horizontal="left" vertical="center"/>
      <protection locked="0"/>
    </xf>
    <xf numFmtId="175" fontId="7" fillId="0" borderId="0" xfId="0" applyNumberFormat="1" applyFont="1" applyBorder="1" applyAlignment="1" applyProtection="1">
      <alignment horizontal="left" vertical="center"/>
      <protection locked="0"/>
    </xf>
    <xf numFmtId="175" fontId="0" fillId="0" borderId="0" xfId="3" applyNumberFormat="1" applyFont="1" applyBorder="1" applyAlignment="1" applyProtection="1">
      <alignment horizontal="center" vertical="center"/>
      <protection locked="0"/>
    </xf>
    <xf numFmtId="171" fontId="7" fillId="0" borderId="0" xfId="0" applyNumberFormat="1" applyFont="1" applyBorder="1" applyAlignment="1" applyProtection="1">
      <protection locked="0"/>
    </xf>
    <xf numFmtId="0" fontId="7" fillId="0" borderId="0" xfId="0" applyFont="1" applyBorder="1" applyAlignment="1" applyProtection="1">
      <alignment horizontal="center" vertical="center" wrapText="1"/>
      <protection locked="0"/>
    </xf>
    <xf numFmtId="3" fontId="7" fillId="0" borderId="0" xfId="0" applyNumberFormat="1" applyFont="1" applyBorder="1" applyAlignment="1" applyProtection="1">
      <alignment horizontal="left" vertical="center"/>
      <protection locked="0"/>
    </xf>
    <xf numFmtId="0" fontId="14" fillId="0" borderId="0" xfId="0" applyFont="1" applyFill="1" applyAlignment="1" applyProtection="1">
      <protection locked="0"/>
    </xf>
    <xf numFmtId="0" fontId="7" fillId="0" borderId="0"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protection locked="0"/>
    </xf>
    <xf numFmtId="3" fontId="15" fillId="0" borderId="0" xfId="0" applyNumberFormat="1" applyFont="1" applyFill="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5" fillId="0" borderId="0" xfId="0" applyFont="1" applyFill="1" applyProtection="1">
      <protection locked="0"/>
    </xf>
    <xf numFmtId="0" fontId="8" fillId="6" borderId="4" xfId="0" applyFont="1" applyFill="1" applyBorder="1" applyAlignment="1" applyProtection="1">
      <alignment horizontal="center" vertical="center" wrapText="1"/>
    </xf>
    <xf numFmtId="3" fontId="8" fillId="6" borderId="4"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4"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11" fillId="0" borderId="4" xfId="0" applyFont="1" applyFill="1" applyBorder="1" applyAlignment="1" applyProtection="1">
      <alignment horizontal="center" vertical="center"/>
    </xf>
    <xf numFmtId="0" fontId="11" fillId="0" borderId="4" xfId="0" applyFont="1" applyFill="1" applyBorder="1" applyAlignment="1" applyProtection="1">
      <alignment horizontal="left" vertical="center"/>
    </xf>
    <xf numFmtId="0" fontId="7" fillId="0" borderId="0" xfId="0" applyFont="1" applyFill="1" applyAlignment="1" applyProtection="1">
      <protection locked="0"/>
    </xf>
    <xf numFmtId="171"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protection locked="0"/>
    </xf>
    <xf numFmtId="0" fontId="7" fillId="0" borderId="0" xfId="0" applyFont="1" applyFill="1" applyBorder="1" applyAlignment="1" applyProtection="1">
      <alignment horizontal="center" vertical="center"/>
      <protection locked="0"/>
    </xf>
    <xf numFmtId="175" fontId="13" fillId="0" borderId="0" xfId="3" applyNumberFormat="1" applyFont="1" applyFill="1" applyBorder="1" applyAlignment="1" applyProtection="1">
      <alignment horizontal="center" vertical="center"/>
      <protection locked="0"/>
    </xf>
    <xf numFmtId="175" fontId="13" fillId="0" borderId="0" xfId="3" applyNumberFormat="1" applyFont="1" applyFill="1" applyBorder="1" applyAlignment="1" applyProtection="1">
      <protection locked="0"/>
    </xf>
    <xf numFmtId="3" fontId="12"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9" fontId="12" fillId="0" borderId="0" xfId="24" applyFont="1" applyFill="1" applyBorder="1" applyAlignment="1" applyProtection="1">
      <alignment horizontal="center" vertical="center"/>
      <protection locked="0"/>
    </xf>
    <xf numFmtId="175" fontId="13" fillId="0" borderId="0" xfId="3" applyNumberFormat="1" applyFont="1" applyBorder="1" applyAlignment="1" applyProtection="1">
      <alignment horizontal="center" vertical="center"/>
      <protection locked="0"/>
    </xf>
    <xf numFmtId="175" fontId="7" fillId="0" borderId="0" xfId="0" applyNumberFormat="1" applyFont="1" applyBorder="1" applyAlignment="1" applyProtection="1">
      <alignment horizontal="right" vertical="center"/>
      <protection locked="0"/>
    </xf>
    <xf numFmtId="175" fontId="13" fillId="0" borderId="0" xfId="3" applyNumberFormat="1" applyFont="1" applyBorder="1" applyAlignment="1" applyProtection="1">
      <alignment horizontal="right" vertical="center"/>
      <protection locked="0"/>
    </xf>
    <xf numFmtId="175" fontId="31" fillId="0" borderId="0" xfId="3" applyNumberFormat="1" applyBorder="1" applyAlignment="1" applyProtection="1">
      <alignment horizontal="center" vertical="center" wrapText="1"/>
      <protection locked="0"/>
    </xf>
    <xf numFmtId="175" fontId="31" fillId="0" borderId="0" xfId="3" applyNumberFormat="1" applyBorder="1" applyAlignment="1" applyProtection="1">
      <alignment horizontal="right" vertical="center"/>
      <protection locked="0"/>
    </xf>
    <xf numFmtId="175" fontId="14" fillId="0" borderId="0" xfId="0" applyNumberFormat="1" applyFont="1" applyFill="1" applyAlignment="1" applyProtection="1">
      <protection locked="0"/>
    </xf>
    <xf numFmtId="167" fontId="31" fillId="0" borderId="0" xfId="3" applyBorder="1" applyAlignment="1" applyProtection="1">
      <alignment horizontal="left" indent="2"/>
      <protection locked="0"/>
    </xf>
    <xf numFmtId="0" fontId="7" fillId="0" borderId="0" xfId="0" applyFont="1" applyBorder="1" applyAlignment="1"/>
    <xf numFmtId="175" fontId="13" fillId="7" borderId="0" xfId="3" applyNumberFormat="1" applyFont="1" applyFill="1" applyBorder="1" applyAlignment="1" applyProtection="1">
      <protection locked="0"/>
    </xf>
    <xf numFmtId="0" fontId="0" fillId="0" borderId="0" xfId="26" applyNumberFormat="1" applyFont="1" applyFill="1"/>
    <xf numFmtId="0" fontId="0" fillId="0" borderId="0" xfId="26" applyNumberFormat="1" applyFont="1" applyFill="1" applyAlignment="1">
      <alignment horizontal="left"/>
    </xf>
    <xf numFmtId="0" fontId="22" fillId="0" borderId="0" xfId="26" applyNumberFormat="1" applyFont="1" applyFill="1" applyBorder="1" applyAlignment="1">
      <alignment vertical="center"/>
    </xf>
    <xf numFmtId="0" fontId="22" fillId="0" borderId="0" xfId="26" applyNumberFormat="1" applyFont="1" applyFill="1" applyBorder="1" applyAlignment="1">
      <alignment vertical="center" wrapText="1"/>
    </xf>
    <xf numFmtId="0" fontId="23" fillId="0" borderId="0" xfId="26" applyNumberFormat="1" applyFont="1" applyFill="1" applyBorder="1" applyAlignment="1">
      <alignment vertical="center" wrapText="1"/>
    </xf>
    <xf numFmtId="0" fontId="23" fillId="0" borderId="0" xfId="26" applyNumberFormat="1" applyFont="1" applyFill="1" applyBorder="1" applyAlignment="1">
      <alignment vertical="center"/>
    </xf>
    <xf numFmtId="0" fontId="0" fillId="0" borderId="0" xfId="26" applyNumberFormat="1" applyFont="1" applyFill="1" applyAlignment="1">
      <alignment vertical="center"/>
    </xf>
    <xf numFmtId="0" fontId="24" fillId="8" borderId="4" xfId="26" applyNumberFormat="1" applyFont="1" applyFill="1" applyBorder="1" applyAlignment="1">
      <alignment horizontal="center" vertical="center" wrapText="1"/>
    </xf>
    <xf numFmtId="0" fontId="24" fillId="8" borderId="5" xfId="26" applyNumberFormat="1" applyFont="1" applyFill="1" applyBorder="1" applyAlignment="1">
      <alignment horizontal="center" vertical="center" wrapText="1"/>
    </xf>
    <xf numFmtId="0" fontId="25" fillId="0" borderId="6" xfId="26" applyNumberFormat="1" applyFont="1" applyFill="1" applyBorder="1" applyAlignment="1">
      <alignment horizontal="center" vertical="center" wrapText="1"/>
    </xf>
    <xf numFmtId="0" fontId="25" fillId="0" borderId="6" xfId="26" applyNumberFormat="1" applyFont="1" applyFill="1" applyBorder="1" applyAlignment="1">
      <alignment vertical="center" wrapText="1"/>
    </xf>
    <xf numFmtId="0" fontId="25" fillId="0" borderId="5" xfId="26" applyNumberFormat="1" applyFont="1" applyFill="1" applyBorder="1" applyAlignment="1">
      <alignment horizontal="left" vertical="center" wrapText="1"/>
    </xf>
    <xf numFmtId="0" fontId="25" fillId="0" borderId="5" xfId="26" applyNumberFormat="1" applyFont="1" applyFill="1" applyBorder="1" applyAlignment="1">
      <alignment horizontal="center" vertical="center"/>
    </xf>
    <xf numFmtId="0" fontId="25" fillId="0" borderId="5" xfId="26" applyNumberFormat="1" applyFont="1" applyFill="1" applyBorder="1" applyAlignment="1">
      <alignment horizontal="center" vertical="center" wrapText="1"/>
    </xf>
    <xf numFmtId="0" fontId="18" fillId="0" borderId="5" xfId="26" applyNumberFormat="1" applyFont="1" applyFill="1" applyBorder="1" applyAlignment="1">
      <alignment horizontal="center" vertical="center" wrapText="1"/>
    </xf>
    <xf numFmtId="0" fontId="25" fillId="0" borderId="5" xfId="26" applyNumberFormat="1" applyFont="1" applyFill="1" applyBorder="1" applyAlignment="1">
      <alignment vertical="center" wrapText="1"/>
    </xf>
    <xf numFmtId="0" fontId="25" fillId="0" borderId="4" xfId="26" applyNumberFormat="1" applyFont="1" applyFill="1" applyBorder="1" applyAlignment="1">
      <alignment horizontal="left" vertical="center" wrapText="1"/>
    </xf>
    <xf numFmtId="0" fontId="18" fillId="0" borderId="5" xfId="26" applyNumberFormat="1" applyFont="1" applyFill="1" applyBorder="1" applyAlignment="1">
      <alignment horizontal="left" vertical="center" wrapText="1"/>
    </xf>
    <xf numFmtId="0" fontId="18" fillId="0" borderId="6" xfId="26" applyNumberFormat="1" applyFont="1" applyFill="1" applyBorder="1" applyAlignment="1" applyProtection="1">
      <alignment horizontal="center" vertical="center" wrapText="1"/>
      <protection locked="0"/>
    </xf>
    <xf numFmtId="0" fontId="25" fillId="0" borderId="5" xfId="26" applyNumberFormat="1" applyFont="1" applyFill="1" applyBorder="1" applyAlignment="1" applyProtection="1">
      <alignment horizontal="left" vertical="center" wrapText="1"/>
      <protection locked="0"/>
    </xf>
    <xf numFmtId="0" fontId="25" fillId="0" borderId="4" xfId="26" applyNumberFormat="1" applyFont="1" applyFill="1" applyBorder="1" applyAlignment="1">
      <alignment horizontal="center" vertical="center" wrapText="1"/>
    </xf>
    <xf numFmtId="0" fontId="18" fillId="0" borderId="5" xfId="26" applyNumberFormat="1" applyFont="1" applyFill="1" applyBorder="1" applyAlignment="1" applyProtection="1">
      <alignment horizontal="center" vertical="center" wrapText="1"/>
      <protection locked="0"/>
    </xf>
    <xf numFmtId="0" fontId="18" fillId="0" borderId="5" xfId="26" applyNumberFormat="1" applyFont="1" applyFill="1" applyBorder="1" applyAlignment="1" applyProtection="1">
      <alignment vertical="center" wrapText="1"/>
      <protection locked="0"/>
    </xf>
    <xf numFmtId="0" fontId="25" fillId="0" borderId="4" xfId="26" applyNumberFormat="1" applyFont="1" applyFill="1" applyBorder="1" applyAlignment="1" applyProtection="1">
      <alignment horizontal="left" vertical="center" wrapText="1"/>
      <protection locked="0"/>
    </xf>
    <xf numFmtId="0" fontId="18" fillId="0" borderId="6" xfId="26" applyNumberFormat="1" applyFont="1" applyFill="1" applyBorder="1" applyAlignment="1" applyProtection="1">
      <alignment vertical="center" wrapText="1"/>
      <protection locked="0"/>
    </xf>
    <xf numFmtId="0" fontId="18" fillId="0" borderId="5" xfId="26" applyNumberFormat="1" applyFont="1" applyFill="1" applyBorder="1" applyAlignment="1" applyProtection="1">
      <alignment horizontal="left" vertical="center" wrapText="1"/>
      <protection locked="0"/>
    </xf>
    <xf numFmtId="0" fontId="0" fillId="0" borderId="5" xfId="26" applyNumberFormat="1" applyFont="1" applyFill="1" applyBorder="1" applyAlignment="1">
      <alignment horizontal="center" vertical="center"/>
    </xf>
    <xf numFmtId="0" fontId="0" fillId="0" borderId="5" xfId="26" applyNumberFormat="1" applyFont="1" applyFill="1" applyBorder="1" applyAlignment="1">
      <alignment horizontal="left" vertical="center"/>
    </xf>
    <xf numFmtId="0" fontId="0" fillId="0" borderId="0" xfId="0" applyAlignment="1">
      <alignment horizontal="left"/>
    </xf>
    <xf numFmtId="0" fontId="26" fillId="4" borderId="5" xfId="0" applyFont="1" applyFill="1" applyBorder="1" applyAlignment="1" applyProtection="1">
      <alignment horizontal="center" vertical="center" wrapText="1"/>
      <protection locked="0"/>
    </xf>
    <xf numFmtId="0" fontId="26" fillId="4" borderId="2" xfId="0" applyFont="1" applyFill="1" applyBorder="1" applyAlignment="1" applyProtection="1">
      <alignment horizontal="center" vertical="center" wrapText="1"/>
      <protection locked="0"/>
    </xf>
    <xf numFmtId="0" fontId="26" fillId="4" borderId="2" xfId="0" applyFont="1" applyFill="1" applyBorder="1" applyAlignment="1" applyProtection="1">
      <alignment horizontal="left" vertical="center" wrapText="1"/>
      <protection locked="0"/>
    </xf>
    <xf numFmtId="0" fontId="27" fillId="9" borderId="4" xfId="0" applyFont="1" applyFill="1" applyBorder="1" applyAlignment="1">
      <alignment horizontal="center" vertical="center" wrapText="1"/>
    </xf>
    <xf numFmtId="0" fontId="26" fillId="4" borderId="4" xfId="0" applyFont="1"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5" xfId="0" applyBorder="1" applyAlignment="1">
      <alignment vertical="center"/>
    </xf>
    <xf numFmtId="9" fontId="0" fillId="0" borderId="5" xfId="24" applyFont="1" applyBorder="1" applyAlignment="1" applyProtection="1">
      <alignment horizontal="center" vertical="center"/>
    </xf>
    <xf numFmtId="9" fontId="0" fillId="0" borderId="5" xfId="0" applyNumberFormat="1" applyBorder="1" applyAlignment="1">
      <alignment horizontal="center" vertical="center"/>
    </xf>
    <xf numFmtId="0" fontId="28" fillId="0" borderId="5" xfId="0" applyFont="1" applyBorder="1" applyAlignment="1" applyProtection="1">
      <alignment horizontal="center" vertical="center"/>
      <protection locked="0"/>
    </xf>
    <xf numFmtId="178" fontId="0" fillId="0" borderId="5" xfId="24" applyNumberFormat="1" applyFont="1" applyBorder="1" applyAlignment="1" applyProtection="1">
      <alignment horizontal="center" vertical="center"/>
    </xf>
    <xf numFmtId="178" fontId="0" fillId="0" borderId="5" xfId="0" applyNumberFormat="1" applyBorder="1" applyAlignment="1">
      <alignment horizontal="center" vertical="center"/>
    </xf>
    <xf numFmtId="0" fontId="0" fillId="0" borderId="0" xfId="0" applyAlignment="1">
      <alignment horizontal="center" vertical="center"/>
    </xf>
    <xf numFmtId="0" fontId="0" fillId="0" borderId="5" xfId="0" applyBorder="1" applyAlignment="1">
      <alignment horizontal="left" vertical="center"/>
    </xf>
    <xf numFmtId="0" fontId="28" fillId="0" borderId="5" xfId="0" applyFont="1" applyBorder="1" applyAlignment="1" applyProtection="1">
      <alignment horizontal="center"/>
      <protection locked="0"/>
    </xf>
    <xf numFmtId="178" fontId="0" fillId="0" borderId="5" xfId="24" applyNumberFormat="1" applyFont="1" applyBorder="1" applyAlignment="1" applyProtection="1">
      <alignment horizontal="center"/>
    </xf>
    <xf numFmtId="9" fontId="0" fillId="0" borderId="5" xfId="24" applyFont="1" applyBorder="1" applyAlignment="1" applyProtection="1">
      <alignment horizontal="center"/>
    </xf>
    <xf numFmtId="178" fontId="0" fillId="0" borderId="5" xfId="0" applyNumberFormat="1" applyBorder="1" applyAlignment="1">
      <alignment horizontal="center"/>
    </xf>
    <xf numFmtId="0" fontId="0" fillId="0" borderId="0" xfId="0" applyAlignment="1"/>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ont="1"/>
    <xf numFmtId="0" fontId="0" fillId="0" borderId="35" xfId="0" applyBorder="1"/>
    <xf numFmtId="0" fontId="0" fillId="0" borderId="36" xfId="0" applyBorder="1"/>
    <xf numFmtId="0" fontId="0" fillId="0" borderId="35" xfId="0" pivotButton="1" applyBorder="1"/>
    <xf numFmtId="0" fontId="0" fillId="0" borderId="37" xfId="0" applyBorder="1"/>
    <xf numFmtId="0" fontId="29" fillId="10" borderId="7"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16" fillId="14" borderId="8" xfId="16" applyFont="1" applyFill="1" applyBorder="1" applyAlignment="1" applyProtection="1">
      <alignment horizontal="center" vertical="center" wrapText="1"/>
    </xf>
    <xf numFmtId="0" fontId="16" fillId="14" borderId="9" xfId="16" applyFont="1" applyFill="1" applyBorder="1" applyAlignment="1" applyProtection="1">
      <alignment horizontal="center" vertical="center" wrapText="1"/>
    </xf>
    <xf numFmtId="3" fontId="16" fillId="14" borderId="9" xfId="16" applyNumberFormat="1" applyFont="1" applyFill="1" applyBorder="1" applyAlignment="1" applyProtection="1">
      <alignment horizontal="center" vertical="center" wrapText="1"/>
    </xf>
    <xf numFmtId="0" fontId="16" fillId="15" borderId="10" xfId="16" applyNumberFormat="1" applyFont="1" applyFill="1" applyBorder="1" applyAlignment="1" applyProtection="1">
      <alignment horizontal="center" vertical="center" wrapText="1"/>
    </xf>
    <xf numFmtId="0" fontId="17" fillId="16" borderId="10" xfId="0" applyFont="1" applyFill="1" applyBorder="1" applyAlignment="1" applyProtection="1">
      <alignment horizontal="center" vertical="center" wrapText="1"/>
    </xf>
    <xf numFmtId="0" fontId="16" fillId="17" borderId="10" xfId="0" applyFont="1" applyFill="1" applyBorder="1" applyAlignment="1">
      <alignment horizontal="center" vertical="center" wrapText="1"/>
    </xf>
    <xf numFmtId="0" fontId="8" fillId="18" borderId="4" xfId="0" applyFont="1" applyFill="1" applyBorder="1" applyAlignment="1" applyProtection="1">
      <alignment horizontal="center" vertical="center" wrapText="1"/>
      <protection hidden="1"/>
    </xf>
    <xf numFmtId="176" fontId="8" fillId="18" borderId="4" xfId="26" applyNumberFormat="1" applyFont="1" applyFill="1" applyBorder="1" applyAlignment="1" applyProtection="1">
      <alignment horizontal="center" vertical="center" wrapText="1"/>
      <protection hidden="1"/>
    </xf>
    <xf numFmtId="177" fontId="16" fillId="15" borderId="10" xfId="13" applyNumberFormat="1" applyFont="1" applyFill="1" applyBorder="1" applyAlignment="1" applyProtection="1">
      <alignment horizontal="center" vertical="center" wrapText="1"/>
      <protection hidden="1"/>
    </xf>
    <xf numFmtId="0" fontId="8" fillId="19" borderId="4" xfId="0" applyFont="1" applyFill="1" applyBorder="1" applyAlignment="1" applyProtection="1">
      <alignment horizontal="center" vertical="center" wrapText="1"/>
    </xf>
    <xf numFmtId="3" fontId="8" fillId="19" borderId="4" xfId="0" applyNumberFormat="1" applyFont="1" applyFill="1" applyBorder="1" applyAlignment="1" applyProtection="1">
      <alignment horizontal="center" vertical="center" wrapText="1"/>
    </xf>
    <xf numFmtId="3" fontId="8" fillId="19" borderId="4" xfId="0" applyNumberFormat="1" applyFont="1" applyFill="1" applyBorder="1" applyAlignment="1" applyProtection="1">
      <alignment horizontal="right" vertical="center" wrapText="1"/>
    </xf>
    <xf numFmtId="0" fontId="8" fillId="20" borderId="4" xfId="0" applyFont="1" applyFill="1" applyBorder="1" applyAlignment="1" applyProtection="1">
      <alignment horizontal="center" vertical="center" wrapText="1"/>
      <protection hidden="1"/>
    </xf>
    <xf numFmtId="176" fontId="8" fillId="20" borderId="4" xfId="26" applyNumberFormat="1" applyFont="1" applyFill="1" applyBorder="1" applyAlignment="1" applyProtection="1">
      <alignment horizontal="center" vertical="center" wrapText="1"/>
      <protection hidden="1"/>
    </xf>
    <xf numFmtId="0" fontId="17" fillId="21" borderId="10" xfId="0" applyFont="1" applyFill="1" applyBorder="1" applyAlignment="1" applyProtection="1">
      <alignment horizontal="center" vertical="center" wrapText="1"/>
    </xf>
    <xf numFmtId="3" fontId="17" fillId="21" borderId="10" xfId="0" applyNumberFormat="1" applyFont="1" applyFill="1" applyBorder="1" applyAlignment="1" applyProtection="1">
      <alignment horizontal="center" vertical="center" wrapText="1"/>
    </xf>
    <xf numFmtId="0" fontId="17" fillId="12" borderId="10" xfId="0" applyFont="1" applyFill="1" applyBorder="1" applyAlignment="1" applyProtection="1">
      <alignment horizontal="center" vertical="center" wrapText="1"/>
      <protection hidden="1"/>
    </xf>
    <xf numFmtId="177" fontId="17" fillId="12" borderId="10" xfId="12" applyNumberFormat="1" applyFont="1" applyFill="1" applyBorder="1" applyAlignment="1" applyProtection="1">
      <alignment horizontal="center" vertical="center" wrapText="1"/>
      <protection hidden="1"/>
    </xf>
    <xf numFmtId="177" fontId="16" fillId="12" borderId="10" xfId="12" applyNumberFormat="1" applyFont="1" applyFill="1" applyBorder="1" applyAlignment="1" applyProtection="1">
      <alignment horizontal="center" vertical="center" wrapText="1"/>
      <protection hidden="1"/>
    </xf>
    <xf numFmtId="3" fontId="7" fillId="5" borderId="10" xfId="0" applyNumberFormat="1" applyFont="1" applyFill="1" applyBorder="1" applyAlignment="1" applyProtection="1">
      <alignment horizontal="left" vertical="center"/>
      <protection locked="0"/>
    </xf>
    <xf numFmtId="14" fontId="11" fillId="5" borderId="10" xfId="26" applyNumberFormat="1" applyFont="1" applyFill="1" applyBorder="1" applyAlignment="1">
      <alignment horizontal="left" vertical="center"/>
    </xf>
    <xf numFmtId="3" fontId="7" fillId="0" borderId="10" xfId="0" applyNumberFormat="1" applyFont="1" applyFill="1" applyBorder="1" applyAlignment="1" applyProtection="1">
      <alignment horizontal="left" vertical="center"/>
      <protection locked="0"/>
    </xf>
    <xf numFmtId="3" fontId="7" fillId="5" borderId="10" xfId="0" applyNumberFormat="1" applyFont="1" applyFill="1" applyBorder="1" applyAlignment="1" applyProtection="1">
      <alignment horizontal="center" vertical="center"/>
      <protection locked="0"/>
    </xf>
    <xf numFmtId="171" fontId="7" fillId="5" borderId="10" xfId="26" applyNumberFormat="1" applyFont="1" applyFill="1" applyBorder="1" applyAlignment="1" applyProtection="1">
      <alignment horizontal="center" vertical="center"/>
      <protection locked="0"/>
    </xf>
    <xf numFmtId="9" fontId="7" fillId="5" borderId="10" xfId="24" applyFont="1" applyFill="1" applyBorder="1" applyAlignment="1" applyProtection="1">
      <alignment horizontal="center" vertical="center"/>
    </xf>
    <xf numFmtId="3" fontId="12" fillId="0" borderId="10" xfId="0" applyNumberFormat="1"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protection locked="0"/>
    </xf>
    <xf numFmtId="179" fontId="12" fillId="0" borderId="10" xfId="15" applyNumberFormat="1" applyFont="1" applyFill="1" applyBorder="1" applyAlignment="1" applyProtection="1">
      <alignment horizontal="center" vertical="center"/>
      <protection locked="0"/>
    </xf>
    <xf numFmtId="14" fontId="7" fillId="0" borderId="10" xfId="0" applyNumberFormat="1" applyFont="1" applyFill="1" applyBorder="1" applyAlignment="1" applyProtection="1">
      <alignment horizontal="center" vertical="center"/>
      <protection locked="0"/>
    </xf>
    <xf numFmtId="3" fontId="7" fillId="0" borderId="10" xfId="0" applyNumberFormat="1" applyFont="1" applyFill="1" applyBorder="1" applyAlignment="1" applyProtection="1">
      <alignment horizontal="center" vertical="center"/>
      <protection locked="0"/>
    </xf>
    <xf numFmtId="171" fontId="7" fillId="0" borderId="10" xfId="26" applyNumberFormat="1" applyFont="1" applyFill="1" applyBorder="1" applyAlignment="1" applyProtection="1">
      <alignment horizontal="center" vertical="center"/>
      <protection locked="0"/>
    </xf>
    <xf numFmtId="9" fontId="7" fillId="0" borderId="10" xfId="24" applyFont="1" applyFill="1" applyBorder="1" applyAlignment="1" applyProtection="1">
      <alignment horizontal="center" vertical="center"/>
    </xf>
    <xf numFmtId="0" fontId="7" fillId="0" borderId="10" xfId="0" applyFont="1" applyFill="1" applyBorder="1" applyAlignment="1" applyProtection="1">
      <alignment horizontal="left" vertical="center"/>
      <protection locked="0"/>
    </xf>
    <xf numFmtId="3" fontId="11" fillId="5" borderId="10" xfId="0" applyNumberFormat="1" applyFont="1" applyFill="1" applyBorder="1" applyAlignment="1" applyProtection="1">
      <alignment horizontal="left" vertical="center"/>
      <protection locked="0"/>
    </xf>
    <xf numFmtId="3" fontId="11" fillId="0" borderId="10" xfId="0" applyNumberFormat="1" applyFont="1" applyFill="1" applyBorder="1" applyAlignment="1" applyProtection="1">
      <alignment horizontal="left" vertical="center"/>
      <protection locked="0"/>
    </xf>
    <xf numFmtId="14" fontId="11" fillId="0" borderId="10" xfId="26" applyNumberFormat="1" applyFont="1" applyFill="1" applyBorder="1" applyAlignment="1">
      <alignment horizontal="left" vertical="center"/>
    </xf>
    <xf numFmtId="0" fontId="7" fillId="0" borderId="10" xfId="26" applyNumberFormat="1" applyFont="1" applyFill="1" applyBorder="1" applyAlignment="1">
      <alignment horizontal="left" vertical="center"/>
    </xf>
    <xf numFmtId="0" fontId="11" fillId="0" borderId="10" xfId="26" applyNumberFormat="1" applyFont="1" applyFill="1" applyBorder="1" applyAlignment="1">
      <alignment horizontal="left" vertical="center"/>
    </xf>
    <xf numFmtId="14" fontId="11" fillId="0" borderId="10" xfId="0" applyNumberFormat="1" applyFont="1" applyFill="1" applyBorder="1" applyAlignment="1" applyProtection="1">
      <alignment horizontal="center" vertical="center"/>
      <protection locked="0"/>
    </xf>
    <xf numFmtId="0" fontId="0" fillId="0" borderId="10" xfId="0" applyFill="1" applyBorder="1" applyAlignment="1"/>
    <xf numFmtId="14" fontId="11" fillId="0" borderId="10" xfId="26" applyNumberFormat="1" applyFont="1" applyFill="1" applyBorder="1" applyAlignment="1">
      <alignment horizontal="center" vertical="center"/>
    </xf>
    <xf numFmtId="1" fontId="7" fillId="0" borderId="10" xfId="0" applyNumberFormat="1" applyFont="1" applyFill="1" applyBorder="1" applyAlignment="1" applyProtection="1">
      <alignment horizontal="left" vertical="center"/>
      <protection locked="0"/>
    </xf>
    <xf numFmtId="0" fontId="11" fillId="5" borderId="10" xfId="26" applyFont="1" applyFill="1" applyBorder="1" applyAlignment="1">
      <alignment horizontal="left" vertical="center"/>
    </xf>
    <xf numFmtId="0" fontId="7" fillId="0" borderId="10" xfId="0" applyFont="1" applyFill="1" applyBorder="1" applyAlignment="1">
      <alignment horizontal="left" vertical="center"/>
    </xf>
    <xf numFmtId="0" fontId="11" fillId="0" borderId="10" xfId="26" applyFont="1" applyFill="1" applyBorder="1" applyAlignment="1">
      <alignment horizontal="left" vertical="center"/>
    </xf>
    <xf numFmtId="14" fontId="7" fillId="0" borderId="10" xfId="0" applyNumberFormat="1" applyFont="1" applyFill="1" applyBorder="1" applyAlignment="1" applyProtection="1">
      <alignment horizontal="left" vertical="center"/>
      <protection locked="0"/>
    </xf>
    <xf numFmtId="0" fontId="7" fillId="0" borderId="10" xfId="0" applyFont="1" applyFill="1" applyBorder="1" applyAlignment="1" applyProtection="1">
      <alignment horizontal="center"/>
      <protection locked="0"/>
    </xf>
    <xf numFmtId="0" fontId="7" fillId="0" borderId="10" xfId="0" applyFont="1" applyFill="1" applyBorder="1" applyAlignment="1" applyProtection="1">
      <protection locked="0"/>
    </xf>
    <xf numFmtId="0" fontId="7" fillId="5" borderId="10" xfId="26" applyFont="1" applyFill="1" applyBorder="1" applyAlignment="1">
      <alignment horizontal="left" vertical="center"/>
    </xf>
    <xf numFmtId="0" fontId="7" fillId="5" borderId="10" xfId="0" applyFont="1" applyFill="1" applyBorder="1" applyAlignment="1" applyProtection="1">
      <alignment horizontal="left" vertical="center"/>
      <protection locked="0"/>
    </xf>
    <xf numFmtId="0" fontId="11" fillId="0" borderId="10" xfId="0" applyFont="1" applyFill="1" applyBorder="1" applyAlignment="1">
      <alignment horizontal="left" vertical="center"/>
    </xf>
    <xf numFmtId="0" fontId="11" fillId="5" borderId="10" xfId="0" applyFont="1" applyFill="1" applyBorder="1" applyAlignment="1">
      <alignment horizontal="left" vertical="center"/>
    </xf>
    <xf numFmtId="180" fontId="7" fillId="5" borderId="10" xfId="26" applyNumberFormat="1" applyFont="1" applyFill="1" applyBorder="1" applyAlignment="1" applyProtection="1">
      <alignment horizontal="center" vertical="center"/>
      <protection locked="0"/>
    </xf>
    <xf numFmtId="180" fontId="7" fillId="0" borderId="10" xfId="26" applyNumberFormat="1" applyFont="1" applyFill="1" applyBorder="1" applyAlignment="1" applyProtection="1">
      <alignment horizontal="center" vertical="center"/>
      <protection locked="0"/>
    </xf>
    <xf numFmtId="0" fontId="7" fillId="0" borderId="10" xfId="26" applyFont="1" applyFill="1" applyBorder="1" applyAlignment="1">
      <alignment horizontal="left" vertical="center"/>
    </xf>
    <xf numFmtId="14" fontId="7" fillId="5" borderId="10" xfId="0" applyNumberFormat="1" applyFont="1" applyFill="1" applyBorder="1" applyAlignment="1" applyProtection="1">
      <alignment horizontal="left" vertical="center"/>
      <protection locked="0"/>
    </xf>
    <xf numFmtId="179" fontId="12" fillId="0" borderId="0" xfId="15" applyNumberFormat="1" applyFont="1" applyFill="1" applyBorder="1" applyAlignment="1" applyProtection="1">
      <alignment horizontal="center" vertical="center"/>
      <protection locked="0"/>
    </xf>
    <xf numFmtId="179" fontId="12" fillId="0" borderId="0" xfId="12" applyNumberFormat="1" applyFont="1" applyFill="1" applyBorder="1" applyAlignment="1" applyProtection="1">
      <alignment horizontal="center" vertical="center"/>
      <protection locked="0"/>
    </xf>
    <xf numFmtId="175" fontId="31" fillId="0" borderId="0" xfId="3" applyNumberFormat="1" applyFont="1" applyBorder="1" applyAlignment="1" applyProtection="1">
      <alignment horizontal="left" vertical="center"/>
      <protection locked="0"/>
    </xf>
    <xf numFmtId="175" fontId="31" fillId="0" borderId="0" xfId="3" applyNumberFormat="1" applyFont="1" applyBorder="1" applyAlignment="1" applyProtection="1">
      <alignment horizontal="center" vertical="center"/>
      <protection locked="0"/>
    </xf>
    <xf numFmtId="179" fontId="12" fillId="0" borderId="0" xfId="0" applyNumberFormat="1" applyFont="1" applyFill="1" applyBorder="1" applyProtection="1">
      <protection locked="0"/>
    </xf>
    <xf numFmtId="0" fontId="12" fillId="0" borderId="0" xfId="0" applyFont="1" applyFill="1" applyBorder="1" applyProtection="1">
      <protection locked="0"/>
    </xf>
    <xf numFmtId="3" fontId="12" fillId="0" borderId="0" xfId="0" applyNumberFormat="1" applyFont="1" applyFill="1" applyBorder="1" applyAlignment="1" applyProtection="1">
      <alignment horizontal="center" vertical="center"/>
      <protection locked="0"/>
    </xf>
    <xf numFmtId="179" fontId="12" fillId="0" borderId="0" xfId="0" applyNumberFormat="1" applyFont="1" applyFill="1" applyBorder="1" applyAlignment="1" applyProtection="1">
      <alignment horizontal="center" vertical="center"/>
      <protection locked="0"/>
    </xf>
    <xf numFmtId="181" fontId="12" fillId="0" borderId="0" xfId="3" applyNumberFormat="1"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179" fontId="15" fillId="0" borderId="0" xfId="0" applyNumberFormat="1" applyFont="1" applyFill="1" applyBorder="1" applyAlignment="1" applyProtection="1">
      <alignment horizontal="center" vertical="center"/>
      <protection locked="0"/>
    </xf>
    <xf numFmtId="0" fontId="15" fillId="0" borderId="0" xfId="0" applyFont="1" applyFill="1" applyBorder="1" applyProtection="1">
      <protection locked="0"/>
    </xf>
    <xf numFmtId="179" fontId="15" fillId="0" borderId="0" xfId="0" applyNumberFormat="1" applyFont="1" applyFill="1" applyBorder="1" applyProtection="1">
      <protection locked="0"/>
    </xf>
    <xf numFmtId="181" fontId="3" fillId="0" borderId="0" xfId="3" applyNumberFormat="1" applyFont="1" applyFill="1" applyBorder="1"/>
    <xf numFmtId="167" fontId="15" fillId="0" borderId="0" xfId="5" applyFont="1" applyFill="1" applyBorder="1" applyAlignment="1" applyProtection="1">
      <alignment horizontal="center" vertical="center"/>
      <protection locked="0"/>
    </xf>
    <xf numFmtId="43" fontId="15" fillId="0" borderId="0" xfId="0" applyNumberFormat="1" applyFont="1" applyFill="1" applyBorder="1" applyAlignment="1" applyProtection="1">
      <alignment horizontal="center" vertical="center"/>
      <protection locked="0"/>
    </xf>
    <xf numFmtId="0" fontId="3" fillId="0" borderId="0" xfId="23" applyFill="1" applyBorder="1"/>
    <xf numFmtId="4" fontId="3" fillId="0" borderId="0" xfId="23" applyNumberFormat="1" applyFill="1" applyBorder="1"/>
    <xf numFmtId="3" fontId="0" fillId="0" borderId="0" xfId="0" applyNumberFormat="1" applyFill="1" applyBorder="1"/>
    <xf numFmtId="4" fontId="0" fillId="0" borderId="0" xfId="0" applyNumberFormat="1" applyFill="1" applyBorder="1"/>
    <xf numFmtId="179" fontId="15" fillId="0" borderId="0" xfId="24" applyNumberFormat="1" applyFont="1" applyFill="1" applyBorder="1" applyAlignment="1" applyProtection="1">
      <alignment horizontal="center" vertical="center"/>
      <protection locked="0"/>
    </xf>
    <xf numFmtId="4" fontId="3" fillId="0" borderId="0" xfId="23" applyNumberFormat="1"/>
    <xf numFmtId="0" fontId="16" fillId="22" borderId="9" xfId="16" applyFont="1" applyFill="1" applyBorder="1" applyAlignment="1" applyProtection="1">
      <alignment horizontal="center" vertical="center" wrapText="1"/>
    </xf>
    <xf numFmtId="3" fontId="16" fillId="22" borderId="9" xfId="16" applyNumberFormat="1" applyFont="1" applyFill="1" applyBorder="1" applyAlignment="1" applyProtection="1">
      <alignment horizontal="center" vertical="center" wrapText="1"/>
    </xf>
    <xf numFmtId="3" fontId="17" fillId="22" borderId="10" xfId="0" applyNumberFormat="1" applyFont="1" applyFill="1" applyBorder="1" applyAlignment="1" applyProtection="1">
      <alignment horizontal="center" vertical="center" wrapText="1"/>
    </xf>
    <xf numFmtId="0" fontId="17" fillId="17" borderId="10" xfId="0" applyFont="1" applyFill="1" applyBorder="1" applyAlignment="1" applyProtection="1">
      <alignment horizontal="center" vertical="center" wrapText="1"/>
      <protection hidden="1"/>
    </xf>
    <xf numFmtId="177" fontId="17" fillId="17" borderId="10" xfId="11" applyNumberFormat="1" applyFont="1" applyFill="1" applyBorder="1" applyAlignment="1" applyProtection="1">
      <alignment horizontal="center" vertical="center" wrapText="1"/>
      <protection hidden="1"/>
    </xf>
    <xf numFmtId="3" fontId="17" fillId="23" borderId="10" xfId="0" applyNumberFormat="1" applyFont="1" applyFill="1" applyBorder="1" applyAlignment="1" applyProtection="1">
      <alignment horizontal="center" vertical="center" wrapText="1"/>
    </xf>
    <xf numFmtId="0" fontId="17" fillId="24" borderId="10" xfId="0" applyFont="1" applyFill="1" applyBorder="1" applyAlignment="1" applyProtection="1">
      <alignment horizontal="center" vertical="center" wrapText="1"/>
      <protection hidden="1"/>
    </xf>
    <xf numFmtId="177" fontId="17" fillId="24" borderId="10" xfId="12" applyNumberFormat="1" applyFont="1" applyFill="1" applyBorder="1" applyAlignment="1" applyProtection="1">
      <alignment horizontal="center" vertical="center" wrapText="1"/>
      <protection hidden="1"/>
    </xf>
    <xf numFmtId="177" fontId="16" fillId="24" borderId="10" xfId="12" applyNumberFormat="1" applyFont="1" applyFill="1" applyBorder="1" applyAlignment="1" applyProtection="1">
      <alignment horizontal="center" vertical="center" wrapText="1"/>
      <protection hidden="1"/>
    </xf>
    <xf numFmtId="14" fontId="7" fillId="25" borderId="10" xfId="0" applyNumberFormat="1" applyFont="1" applyFill="1" applyBorder="1" applyAlignment="1" applyProtection="1">
      <alignment horizontal="center" vertical="center"/>
      <protection locked="0"/>
    </xf>
    <xf numFmtId="3" fontId="7" fillId="25" borderId="10" xfId="0" applyNumberFormat="1" applyFont="1" applyFill="1" applyBorder="1" applyAlignment="1" applyProtection="1">
      <alignment horizontal="center" vertical="center"/>
      <protection locked="0"/>
    </xf>
    <xf numFmtId="0" fontId="33" fillId="0" borderId="12" xfId="2" applyFont="1" applyBorder="1" applyAlignment="1">
      <alignment horizontal="right" vertical="center"/>
    </xf>
    <xf numFmtId="175" fontId="7" fillId="5" borderId="10" xfId="0" applyNumberFormat="1" applyFont="1" applyFill="1" applyBorder="1" applyAlignment="1" applyProtection="1">
      <protection locked="0"/>
    </xf>
    <xf numFmtId="0" fontId="7" fillId="5" borderId="10" xfId="0" applyFont="1" applyFill="1" applyBorder="1" applyAlignment="1" applyProtection="1">
      <protection locked="0"/>
    </xf>
    <xf numFmtId="167" fontId="31" fillId="0" borderId="10" xfId="3" applyBorder="1" applyAlignment="1" applyProtection="1">
      <alignment horizontal="left" indent="2"/>
      <protection locked="0"/>
    </xf>
    <xf numFmtId="3" fontId="11" fillId="0" borderId="10" xfId="0" applyNumberFormat="1" applyFont="1" applyFill="1" applyBorder="1" applyAlignment="1" applyProtection="1">
      <alignment horizontal="right" vertical="center"/>
      <protection locked="0"/>
    </xf>
    <xf numFmtId="3" fontId="11" fillId="26" borderId="10" xfId="0" applyNumberFormat="1" applyFont="1" applyFill="1" applyBorder="1" applyAlignment="1" applyProtection="1">
      <alignment horizontal="center" vertical="center"/>
      <protection locked="0"/>
    </xf>
    <xf numFmtId="3" fontId="7" fillId="26" borderId="10" xfId="0" applyNumberFormat="1" applyFont="1" applyFill="1" applyBorder="1" applyAlignment="1" applyProtection="1">
      <alignment horizontal="left" vertical="center"/>
      <protection locked="0"/>
    </xf>
    <xf numFmtId="171" fontId="11" fillId="0" borderId="10" xfId="26" applyNumberFormat="1" applyFont="1" applyFill="1" applyBorder="1" applyAlignment="1" applyProtection="1">
      <alignment horizontal="center" vertical="center"/>
      <protection locked="0"/>
    </xf>
    <xf numFmtId="0" fontId="11" fillId="5" borderId="10" xfId="0" applyFont="1" applyFill="1" applyBorder="1" applyAlignment="1" applyProtection="1">
      <protection locked="0"/>
    </xf>
    <xf numFmtId="3" fontId="7" fillId="27" borderId="10" xfId="0" applyNumberFormat="1" applyFont="1" applyFill="1" applyBorder="1" applyAlignment="1" applyProtection="1">
      <alignment horizontal="left" vertical="center"/>
      <protection locked="0"/>
    </xf>
    <xf numFmtId="14" fontId="11" fillId="27" borderId="10" xfId="26" applyNumberFormat="1" applyFont="1" applyFill="1" applyBorder="1" applyAlignment="1">
      <alignment horizontal="left" vertical="center"/>
    </xf>
    <xf numFmtId="14" fontId="11" fillId="26" borderId="10" xfId="0" applyNumberFormat="1" applyFont="1" applyFill="1" applyBorder="1" applyAlignment="1" applyProtection="1">
      <alignment horizontal="left" vertical="center"/>
      <protection locked="0"/>
    </xf>
    <xf numFmtId="3" fontId="11" fillId="27" borderId="10" xfId="0" applyNumberFormat="1" applyFont="1" applyFill="1" applyBorder="1" applyAlignment="1" applyProtection="1">
      <alignment horizontal="left" vertical="center"/>
      <protection locked="0"/>
    </xf>
    <xf numFmtId="0" fontId="0" fillId="0" borderId="10" xfId="0" applyBorder="1" applyAlignment="1"/>
    <xf numFmtId="14" fontId="11" fillId="26" borderId="10" xfId="26" applyNumberFormat="1" applyFont="1" applyFill="1" applyBorder="1" applyAlignment="1">
      <alignment horizontal="center" vertical="center"/>
    </xf>
    <xf numFmtId="1" fontId="11" fillId="26" borderId="10" xfId="26" applyNumberFormat="1" applyFont="1" applyFill="1" applyBorder="1" applyAlignment="1">
      <alignment horizontal="center" vertical="center"/>
    </xf>
    <xf numFmtId="0" fontId="33" fillId="5" borderId="12" xfId="2" applyFont="1" applyFill="1" applyBorder="1" applyAlignment="1">
      <alignment horizontal="left" vertical="center"/>
    </xf>
    <xf numFmtId="3" fontId="18" fillId="0" borderId="10" xfId="0" applyNumberFormat="1" applyFont="1" applyFill="1" applyBorder="1" applyAlignment="1" applyProtection="1">
      <alignment horizontal="left" vertical="center"/>
      <protection locked="0"/>
    </xf>
    <xf numFmtId="14" fontId="7" fillId="26" borderId="10" xfId="0" applyNumberFormat="1" applyFont="1" applyFill="1" applyBorder="1" applyAlignment="1" applyProtection="1">
      <alignment horizontal="left" vertical="center"/>
      <protection locked="0"/>
    </xf>
    <xf numFmtId="0" fontId="7" fillId="5" borderId="10" xfId="0" applyFont="1" applyFill="1" applyBorder="1" applyAlignment="1">
      <alignment horizontal="left" vertical="center"/>
    </xf>
    <xf numFmtId="14" fontId="7" fillId="26" borderId="10" xfId="0" applyNumberFormat="1" applyFont="1" applyFill="1" applyBorder="1" applyAlignment="1" applyProtection="1">
      <alignment horizontal="center" vertical="center"/>
      <protection locked="0"/>
    </xf>
    <xf numFmtId="0" fontId="7" fillId="26" borderId="10" xfId="0" applyFont="1" applyFill="1" applyBorder="1" applyAlignment="1">
      <alignment horizontal="left" vertical="center"/>
    </xf>
    <xf numFmtId="14" fontId="11" fillId="5" borderId="10" xfId="26" applyNumberFormat="1" applyFont="1" applyFill="1" applyBorder="1" applyAlignment="1">
      <alignment horizontal="center" vertical="center"/>
    </xf>
    <xf numFmtId="14" fontId="7" fillId="28"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protection locked="0"/>
    </xf>
    <xf numFmtId="171" fontId="7" fillId="26" borderId="10" xfId="26" applyNumberFormat="1" applyFont="1" applyFill="1" applyBorder="1" applyAlignment="1" applyProtection="1">
      <alignment horizontal="center" vertical="center"/>
      <protection locked="0"/>
    </xf>
    <xf numFmtId="175" fontId="7" fillId="0" borderId="10" xfId="0" applyNumberFormat="1" applyFont="1" applyFill="1" applyBorder="1" applyAlignment="1" applyProtection="1">
      <protection locked="0"/>
    </xf>
    <xf numFmtId="1" fontId="7" fillId="28" borderId="10" xfId="0" applyNumberFormat="1" applyFont="1" applyFill="1" applyBorder="1" applyAlignment="1" applyProtection="1">
      <alignment horizontal="center" vertical="center"/>
      <protection locked="0"/>
    </xf>
    <xf numFmtId="0" fontId="11" fillId="25" borderId="10" xfId="26" applyFont="1" applyFill="1" applyBorder="1" applyAlignment="1">
      <alignment horizontal="left" vertical="center"/>
    </xf>
    <xf numFmtId="14" fontId="7" fillId="25" borderId="10" xfId="0" applyNumberFormat="1" applyFont="1" applyFill="1" applyBorder="1" applyAlignment="1" applyProtection="1">
      <alignment horizontal="center"/>
      <protection locked="0"/>
    </xf>
    <xf numFmtId="0" fontId="7" fillId="25" borderId="10" xfId="0" applyFont="1" applyFill="1" applyBorder="1" applyAlignment="1" applyProtection="1">
      <alignment horizontal="left" vertical="center"/>
      <protection locked="0"/>
    </xf>
    <xf numFmtId="14" fontId="11" fillId="26" borderId="10" xfId="26" applyNumberFormat="1" applyFont="1" applyFill="1" applyBorder="1" applyAlignment="1">
      <alignment horizontal="left" vertical="center"/>
    </xf>
    <xf numFmtId="14" fontId="7" fillId="25" borderId="10" xfId="0" applyNumberFormat="1" applyFont="1" applyFill="1" applyBorder="1" applyAlignment="1" applyProtection="1">
      <alignment horizontal="left" vertical="center"/>
      <protection locked="0"/>
    </xf>
    <xf numFmtId="14" fontId="11" fillId="25" borderId="10" xfId="0" applyNumberFormat="1" applyFont="1" applyFill="1" applyBorder="1" applyAlignment="1" applyProtection="1">
      <alignment horizontal="center" vertical="center"/>
      <protection locked="0"/>
    </xf>
    <xf numFmtId="1" fontId="7" fillId="26" borderId="10" xfId="0" applyNumberFormat="1" applyFont="1" applyFill="1" applyBorder="1" applyAlignment="1" applyProtection="1">
      <alignment horizontal="center" vertical="center"/>
      <protection locked="0"/>
    </xf>
    <xf numFmtId="0" fontId="33" fillId="5" borderId="12" xfId="2" applyFont="1" applyFill="1" applyBorder="1" applyAlignment="1">
      <alignment vertical="center"/>
    </xf>
    <xf numFmtId="180" fontId="7" fillId="0" borderId="10" xfId="0" applyNumberFormat="1" applyFont="1" applyFill="1" applyBorder="1" applyAlignment="1" applyProtection="1">
      <alignment horizontal="center" vertical="center"/>
      <protection locked="0"/>
    </xf>
    <xf numFmtId="0" fontId="33" fillId="0" borderId="12" xfId="2" applyFont="1" applyBorder="1" applyAlignment="1">
      <alignment vertical="center"/>
    </xf>
    <xf numFmtId="180" fontId="11" fillId="0" borderId="10" xfId="26" applyNumberFormat="1" applyFont="1" applyFill="1" applyBorder="1" applyAlignment="1" applyProtection="1">
      <alignment horizontal="center" vertical="center"/>
      <protection locked="0"/>
    </xf>
    <xf numFmtId="0" fontId="12" fillId="5" borderId="10" xfId="0" applyFont="1" applyFill="1" applyBorder="1" applyAlignment="1">
      <alignment horizontal="left" vertical="center"/>
    </xf>
    <xf numFmtId="167" fontId="31" fillId="0" borderId="10" xfId="3" applyBorder="1" applyAlignment="1" applyProtection="1">
      <protection locked="0"/>
    </xf>
    <xf numFmtId="0" fontId="9" fillId="29" borderId="13"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protection locked="0"/>
    </xf>
    <xf numFmtId="0" fontId="7" fillId="0" borderId="10" xfId="0" applyFont="1" applyFill="1" applyBorder="1" applyAlignment="1" applyProtection="1">
      <alignment horizontal="left"/>
      <protection locked="0"/>
    </xf>
    <xf numFmtId="0" fontId="11" fillId="0" borderId="10" xfId="0" applyFont="1" applyFill="1" applyBorder="1" applyAlignment="1" applyProtection="1">
      <protection locked="0"/>
    </xf>
    <xf numFmtId="0" fontId="7" fillId="0" borderId="10" xfId="0" quotePrefix="1" applyFont="1" applyFill="1" applyBorder="1" applyAlignment="1" applyProtection="1">
      <alignment horizontal="center"/>
      <protection locked="0"/>
    </xf>
    <xf numFmtId="0" fontId="2" fillId="27" borderId="0" xfId="20" applyFill="1" applyProtection="1">
      <protection hidden="1"/>
    </xf>
    <xf numFmtId="0" fontId="2" fillId="27" borderId="0" xfId="20" applyFill="1" applyAlignment="1" applyProtection="1">
      <alignment horizontal="center"/>
      <protection hidden="1"/>
    </xf>
    <xf numFmtId="0" fontId="2" fillId="0" borderId="0" xfId="20" applyProtection="1">
      <protection hidden="1"/>
    </xf>
    <xf numFmtId="0" fontId="34" fillId="13" borderId="0" xfId="20" applyFont="1" applyFill="1" applyAlignment="1" applyProtection="1">
      <alignment vertical="center"/>
      <protection hidden="1"/>
    </xf>
    <xf numFmtId="0" fontId="38" fillId="27" borderId="0" xfId="20" applyFont="1" applyFill="1" applyAlignment="1" applyProtection="1">
      <alignment vertical="center" wrapText="1"/>
      <protection hidden="1"/>
    </xf>
    <xf numFmtId="0" fontId="39" fillId="13" borderId="0" xfId="20" applyFont="1" applyFill="1" applyAlignment="1" applyProtection="1">
      <alignment horizontal="center" vertical="center" wrapText="1"/>
      <protection hidden="1"/>
    </xf>
    <xf numFmtId="0" fontId="39" fillId="11" borderId="0" xfId="20" applyFont="1" applyFill="1" applyAlignment="1" applyProtection="1">
      <alignment horizontal="center" vertical="center" wrapText="1"/>
      <protection hidden="1"/>
    </xf>
    <xf numFmtId="0" fontId="39" fillId="27" borderId="0" xfId="20" applyFont="1" applyFill="1" applyAlignment="1" applyProtection="1">
      <alignment horizontal="center" vertical="center" wrapText="1"/>
      <protection hidden="1"/>
    </xf>
    <xf numFmtId="0" fontId="39" fillId="0" borderId="0" xfId="20" applyFont="1" applyFill="1" applyAlignment="1" applyProtection="1">
      <alignment horizontal="center" vertical="center" wrapText="1"/>
      <protection hidden="1"/>
    </xf>
    <xf numFmtId="0" fontId="41" fillId="27" borderId="0" xfId="20" applyFont="1" applyFill="1" applyProtection="1">
      <protection hidden="1"/>
    </xf>
    <xf numFmtId="0" fontId="39" fillId="27" borderId="0" xfId="20" applyFont="1" applyFill="1" applyAlignment="1" applyProtection="1">
      <alignment vertical="center" wrapText="1"/>
      <protection hidden="1"/>
    </xf>
    <xf numFmtId="0" fontId="42" fillId="27" borderId="0" xfId="20" applyFont="1" applyFill="1" applyProtection="1">
      <protection hidden="1"/>
    </xf>
    <xf numFmtId="0" fontId="44" fillId="27" borderId="0" xfId="20" applyFont="1" applyFill="1" applyAlignment="1" applyProtection="1">
      <alignment vertical="center" wrapText="1"/>
      <protection locked="0"/>
    </xf>
    <xf numFmtId="0" fontId="45" fillId="27" borderId="0" xfId="20" applyFont="1" applyFill="1" applyAlignment="1" applyProtection="1">
      <alignment vertical="center" wrapText="1"/>
      <protection hidden="1"/>
    </xf>
    <xf numFmtId="0" fontId="46" fillId="27" borderId="0" xfId="20" applyFont="1" applyFill="1" applyProtection="1">
      <protection hidden="1"/>
    </xf>
    <xf numFmtId="0" fontId="46" fillId="27" borderId="0" xfId="20" applyFont="1" applyFill="1" applyAlignment="1" applyProtection="1">
      <alignment horizontal="center"/>
      <protection hidden="1"/>
    </xf>
    <xf numFmtId="0" fontId="45" fillId="27" borderId="0" xfId="20" applyFont="1" applyFill="1" applyAlignment="1" applyProtection="1">
      <alignment horizontal="center" vertical="center" wrapText="1"/>
      <protection hidden="1"/>
    </xf>
    <xf numFmtId="0" fontId="46" fillId="27" borderId="0" xfId="20" applyFont="1" applyFill="1" applyProtection="1"/>
    <xf numFmtId="0" fontId="45" fillId="27" borderId="0" xfId="20" applyFont="1" applyFill="1" applyAlignment="1" applyProtection="1">
      <alignment vertical="center" wrapText="1"/>
    </xf>
    <xf numFmtId="0" fontId="46" fillId="0" borderId="0" xfId="20" applyFont="1" applyProtection="1">
      <protection hidden="1"/>
    </xf>
    <xf numFmtId="0" fontId="60" fillId="30" borderId="14" xfId="20" applyFont="1" applyFill="1" applyBorder="1" applyAlignment="1" applyProtection="1">
      <alignment horizontal="center" vertical="center" wrapText="1"/>
      <protection hidden="1"/>
    </xf>
    <xf numFmtId="0" fontId="60" fillId="31" borderId="38" xfId="20" applyFont="1" applyFill="1" applyBorder="1" applyAlignment="1" applyProtection="1">
      <alignment horizontal="center" vertical="center" wrapText="1"/>
      <protection hidden="1"/>
    </xf>
    <xf numFmtId="0" fontId="60" fillId="31" borderId="38" xfId="20" applyFont="1" applyFill="1" applyBorder="1" applyAlignment="1" applyProtection="1">
      <alignment vertical="center" wrapText="1"/>
      <protection hidden="1"/>
    </xf>
    <xf numFmtId="0" fontId="60" fillId="31" borderId="39" xfId="20" applyFont="1" applyFill="1" applyBorder="1" applyAlignment="1" applyProtection="1">
      <alignment horizontal="center" vertical="center" wrapText="1"/>
      <protection hidden="1"/>
    </xf>
    <xf numFmtId="0" fontId="60" fillId="31" borderId="40" xfId="22" applyFont="1" applyFill="1" applyBorder="1" applyAlignment="1" applyProtection="1">
      <alignment horizontal="center" vertical="center" wrapText="1"/>
      <protection hidden="1"/>
    </xf>
    <xf numFmtId="0" fontId="60" fillId="31" borderId="39" xfId="22" applyFont="1" applyFill="1" applyBorder="1" applyAlignment="1" applyProtection="1">
      <alignment horizontal="center" vertical="center" wrapText="1"/>
      <protection hidden="1"/>
    </xf>
    <xf numFmtId="0" fontId="60" fillId="30" borderId="15" xfId="22" applyFont="1" applyFill="1" applyBorder="1" applyAlignment="1" applyProtection="1">
      <alignment horizontal="center" vertical="center" wrapText="1"/>
      <protection hidden="1"/>
    </xf>
    <xf numFmtId="0" fontId="60" fillId="31" borderId="41" xfId="20" applyFont="1" applyFill="1" applyBorder="1" applyAlignment="1" applyProtection="1">
      <alignment horizontal="center" vertical="center" wrapText="1"/>
      <protection hidden="1"/>
    </xf>
    <xf numFmtId="0" fontId="60" fillId="31" borderId="40" xfId="20" applyFont="1" applyFill="1" applyBorder="1" applyAlignment="1" applyProtection="1">
      <alignment horizontal="center" vertical="center" wrapText="1"/>
      <protection hidden="1"/>
    </xf>
    <xf numFmtId="0" fontId="60" fillId="31" borderId="42" xfId="20" applyFont="1" applyFill="1" applyBorder="1" applyAlignment="1" applyProtection="1">
      <alignment horizontal="center" vertical="center" wrapText="1"/>
      <protection hidden="1"/>
    </xf>
    <xf numFmtId="0" fontId="60" fillId="30" borderId="16" xfId="20" applyFont="1" applyFill="1" applyBorder="1" applyAlignment="1" applyProtection="1">
      <alignment horizontal="center" vertical="center" wrapText="1"/>
      <protection hidden="1"/>
    </xf>
    <xf numFmtId="0" fontId="46" fillId="27" borderId="0" xfId="20" applyFont="1" applyFill="1" applyAlignment="1" applyProtection="1">
      <alignment horizontal="center" vertical="center" wrapText="1"/>
      <protection hidden="1"/>
    </xf>
    <xf numFmtId="0" fontId="49" fillId="27" borderId="0" xfId="20" applyFont="1" applyFill="1" applyAlignment="1" applyProtection="1">
      <alignment horizontal="center" vertical="center" wrapText="1"/>
      <protection hidden="1"/>
    </xf>
    <xf numFmtId="0" fontId="49" fillId="27" borderId="0" xfId="20" applyFont="1" applyFill="1" applyAlignment="1" applyProtection="1">
      <alignment vertical="center" wrapText="1"/>
      <protection hidden="1"/>
    </xf>
    <xf numFmtId="0" fontId="50" fillId="27" borderId="0" xfId="20" applyFont="1" applyFill="1" applyAlignment="1" applyProtection="1">
      <alignment horizontal="center" vertical="center" wrapText="1"/>
      <protection hidden="1"/>
    </xf>
    <xf numFmtId="3" fontId="50" fillId="27" borderId="0" xfId="20" applyNumberFormat="1" applyFont="1" applyFill="1" applyAlignment="1" applyProtection="1">
      <alignment horizontal="center" vertical="center" wrapText="1"/>
      <protection hidden="1"/>
    </xf>
    <xf numFmtId="9" fontId="50" fillId="27" borderId="0" xfId="20" applyNumberFormat="1" applyFont="1" applyFill="1" applyAlignment="1" applyProtection="1">
      <alignment horizontal="center" vertical="center" wrapText="1"/>
      <protection hidden="1"/>
    </xf>
    <xf numFmtId="182" fontId="50" fillId="27" borderId="0" xfId="20" applyNumberFormat="1" applyFont="1" applyFill="1" applyAlignment="1" applyProtection="1">
      <alignment vertical="center" wrapText="1"/>
      <protection hidden="1"/>
    </xf>
    <xf numFmtId="0" fontId="2" fillId="27" borderId="0" xfId="20" applyFill="1" applyProtection="1"/>
    <xf numFmtId="0" fontId="2" fillId="27" borderId="0" xfId="20" applyFill="1" applyAlignment="1" applyProtection="1">
      <alignment horizontal="center"/>
    </xf>
    <xf numFmtId="182" fontId="2" fillId="27" borderId="0" xfId="20" applyNumberFormat="1" applyFill="1" applyProtection="1"/>
    <xf numFmtId="182" fontId="2" fillId="27" borderId="0" xfId="20" applyNumberFormat="1" applyFill="1" applyAlignment="1" applyProtection="1">
      <alignment vertical="center" wrapText="1"/>
      <protection hidden="1"/>
    </xf>
    <xf numFmtId="0" fontId="2" fillId="27" borderId="0" xfId="20" applyFill="1"/>
    <xf numFmtId="0" fontId="2" fillId="0" borderId="0" xfId="20"/>
    <xf numFmtId="0" fontId="2" fillId="0" borderId="0" xfId="20" applyAlignment="1" applyProtection="1">
      <alignment horizontal="center"/>
      <protection hidden="1"/>
    </xf>
    <xf numFmtId="0" fontId="2" fillId="0" borderId="0" xfId="20" applyAlignment="1">
      <alignment horizontal="center"/>
    </xf>
    <xf numFmtId="0" fontId="0" fillId="0" borderId="43" xfId="0" applyBorder="1"/>
    <xf numFmtId="0" fontId="0" fillId="0" borderId="43" xfId="0" applyNumberFormat="1" applyBorder="1"/>
    <xf numFmtId="0" fontId="0" fillId="0" borderId="44" xfId="0" applyBorder="1"/>
    <xf numFmtId="0" fontId="0" fillId="0" borderId="45" xfId="0" applyBorder="1"/>
    <xf numFmtId="0" fontId="0" fillId="0" borderId="46" xfId="0" applyNumberFormat="1" applyBorder="1"/>
    <xf numFmtId="0" fontId="0" fillId="0" borderId="47" xfId="0" applyBorder="1"/>
    <xf numFmtId="0" fontId="0" fillId="0" borderId="48" xfId="0" applyNumberFormat="1" applyBorder="1"/>
    <xf numFmtId="0" fontId="17" fillId="22" borderId="10" xfId="0" applyFont="1" applyFill="1" applyBorder="1" applyAlignment="1" applyProtection="1">
      <alignment horizontal="center" vertical="center" wrapText="1"/>
    </xf>
    <xf numFmtId="0" fontId="17" fillId="23" borderId="10" xfId="0" applyFont="1" applyFill="1" applyBorder="1" applyAlignment="1" applyProtection="1">
      <alignment horizontal="center" vertical="center" wrapText="1"/>
    </xf>
    <xf numFmtId="9" fontId="7" fillId="0" borderId="0" xfId="0" applyNumberFormat="1" applyFont="1" applyBorder="1" applyAlignment="1" applyProtection="1">
      <alignment horizontal="center" vertical="center"/>
      <protection locked="0"/>
    </xf>
    <xf numFmtId="3" fontId="11" fillId="27" borderId="1" xfId="0" applyNumberFormat="1" applyFont="1" applyFill="1" applyBorder="1" applyAlignment="1" applyProtection="1">
      <alignment horizontal="center" vertical="center"/>
    </xf>
    <xf numFmtId="0" fontId="11" fillId="27" borderId="1" xfId="0" applyFont="1" applyFill="1" applyBorder="1" applyAlignment="1" applyProtection="1">
      <alignment horizontal="center" vertical="center"/>
    </xf>
    <xf numFmtId="3" fontId="7" fillId="0" borderId="0" xfId="0" applyNumberFormat="1" applyFont="1" applyBorder="1" applyAlignment="1" applyProtection="1">
      <protection locked="0"/>
    </xf>
    <xf numFmtId="175" fontId="7" fillId="0" borderId="0" xfId="0" applyNumberFormat="1" applyFont="1" applyBorder="1" applyAlignment="1" applyProtection="1">
      <protection locked="0"/>
    </xf>
    <xf numFmtId="4" fontId="7" fillId="0" borderId="0" xfId="0" applyNumberFormat="1" applyFont="1" applyBorder="1" applyAlignment="1" applyProtection="1">
      <protection locked="0"/>
    </xf>
    <xf numFmtId="171" fontId="7" fillId="0" borderId="0" xfId="0" applyNumberFormat="1" applyFont="1" applyAlignment="1" applyProtection="1">
      <protection locked="0"/>
    </xf>
    <xf numFmtId="3" fontId="7" fillId="32" borderId="0" xfId="0" applyNumberFormat="1" applyFont="1" applyFill="1" applyBorder="1" applyAlignment="1" applyProtection="1">
      <protection locked="0"/>
    </xf>
    <xf numFmtId="3" fontId="7" fillId="25" borderId="10" xfId="0" applyNumberFormat="1" applyFont="1" applyFill="1" applyBorder="1" applyAlignment="1" applyProtection="1">
      <protection locked="0"/>
    </xf>
    <xf numFmtId="3" fontId="53" fillId="0" borderId="1" xfId="0" applyNumberFormat="1" applyFont="1" applyBorder="1"/>
    <xf numFmtId="0" fontId="53" fillId="0" borderId="1" xfId="0" applyFont="1" applyBorder="1"/>
    <xf numFmtId="0" fontId="7" fillId="26" borderId="10" xfId="26" applyFont="1" applyFill="1" applyBorder="1" applyAlignment="1">
      <alignment horizontal="left" vertical="center"/>
    </xf>
    <xf numFmtId="0" fontId="11" fillId="26" borderId="10" xfId="26" applyFont="1" applyFill="1" applyBorder="1" applyAlignment="1">
      <alignment horizontal="left" vertical="center"/>
    </xf>
    <xf numFmtId="3" fontId="53" fillId="27" borderId="1" xfId="0" applyNumberFormat="1" applyFont="1" applyFill="1" applyBorder="1"/>
    <xf numFmtId="0" fontId="53" fillId="27" borderId="1" xfId="0" applyFont="1" applyFill="1" applyBorder="1"/>
    <xf numFmtId="0" fontId="7" fillId="25" borderId="10" xfId="0" applyFont="1" applyFill="1" applyBorder="1" applyAlignment="1" applyProtection="1">
      <protection locked="0"/>
    </xf>
    <xf numFmtId="175" fontId="7" fillId="25" borderId="10" xfId="0" applyNumberFormat="1" applyFont="1" applyFill="1" applyBorder="1" applyAlignment="1" applyProtection="1">
      <protection locked="0"/>
    </xf>
    <xf numFmtId="9" fontId="7" fillId="25" borderId="10" xfId="24" applyFont="1" applyFill="1" applyBorder="1" applyAlignment="1" applyProtection="1">
      <alignment horizontal="center" vertical="center"/>
    </xf>
    <xf numFmtId="171" fontId="7" fillId="25" borderId="10" xfId="26" applyNumberFormat="1" applyFont="1" applyFill="1" applyBorder="1" applyAlignment="1" applyProtection="1">
      <alignment horizontal="center" vertical="center"/>
      <protection locked="0"/>
    </xf>
    <xf numFmtId="14" fontId="54" fillId="0" borderId="1" xfId="0" applyNumberFormat="1" applyFont="1" applyFill="1" applyBorder="1"/>
    <xf numFmtId="14" fontId="54" fillId="0" borderId="1" xfId="0" applyNumberFormat="1" applyFont="1" applyBorder="1"/>
    <xf numFmtId="3" fontId="7" fillId="5" borderId="8" xfId="0" applyNumberFormat="1" applyFont="1" applyFill="1" applyBorder="1" applyAlignment="1" applyProtection="1">
      <alignment horizontal="center" vertical="center"/>
      <protection locked="0"/>
    </xf>
    <xf numFmtId="171" fontId="7" fillId="0" borderId="8" xfId="26" applyNumberFormat="1" applyFont="1" applyFill="1" applyBorder="1" applyAlignment="1" applyProtection="1">
      <alignment horizontal="center" vertical="center"/>
      <protection locked="0"/>
    </xf>
    <xf numFmtId="3" fontId="7" fillId="5" borderId="8" xfId="0" applyNumberFormat="1" applyFont="1" applyFill="1" applyBorder="1" applyAlignment="1" applyProtection="1">
      <alignment horizontal="left" vertical="center"/>
      <protection locked="0"/>
    </xf>
    <xf numFmtId="3" fontId="7" fillId="0" borderId="8" xfId="0" applyNumberFormat="1" applyFont="1" applyFill="1" applyBorder="1" applyAlignment="1" applyProtection="1">
      <alignment horizontal="left" vertical="center"/>
      <protection locked="0"/>
    </xf>
    <xf numFmtId="14" fontId="11" fillId="0" borderId="8" xfId="26" applyNumberFormat="1" applyFont="1" applyFill="1" applyBorder="1" applyAlignment="1">
      <alignment horizontal="left" vertical="center"/>
    </xf>
    <xf numFmtId="0" fontId="7" fillId="0" borderId="17" xfId="0" applyFont="1" applyFill="1" applyBorder="1" applyAlignment="1" applyProtection="1">
      <alignment horizontal="center" vertical="center"/>
    </xf>
    <xf numFmtId="0" fontId="7" fillId="0" borderId="17" xfId="0" applyFont="1" applyFill="1" applyBorder="1" applyAlignment="1" applyProtection="1">
      <alignment horizontal="left" vertical="center"/>
    </xf>
    <xf numFmtId="0" fontId="7" fillId="0" borderId="10" xfId="0" applyFont="1" applyFill="1" applyBorder="1" applyAlignment="1" applyProtection="1">
      <alignment horizontal="center" vertical="center"/>
    </xf>
    <xf numFmtId="0" fontId="7" fillId="0" borderId="10" xfId="0" applyFont="1" applyFill="1" applyBorder="1" applyAlignment="1" applyProtection="1">
      <alignment horizontal="left" vertical="center"/>
    </xf>
    <xf numFmtId="0" fontId="7" fillId="0" borderId="10" xfId="0" applyFont="1" applyFill="1" applyBorder="1" applyAlignment="1" applyProtection="1">
      <alignment horizontal="center" vertical="center"/>
      <protection locked="0"/>
    </xf>
    <xf numFmtId="14" fontId="54" fillId="0" borderId="10" xfId="0" applyNumberFormat="1" applyFont="1" applyFill="1" applyBorder="1"/>
    <xf numFmtId="14" fontId="54" fillId="0" borderId="10" xfId="0" applyNumberFormat="1" applyFont="1" applyBorder="1"/>
    <xf numFmtId="3" fontId="7" fillId="0" borderId="13" xfId="0" applyNumberFormat="1" applyFont="1" applyFill="1" applyBorder="1" applyAlignment="1" applyProtection="1">
      <alignment horizontal="center" vertical="center"/>
      <protection locked="0"/>
    </xf>
    <xf numFmtId="171" fontId="7" fillId="0" borderId="13" xfId="26" applyNumberFormat="1" applyFont="1" applyFill="1" applyBorder="1" applyAlignment="1" applyProtection="1">
      <alignment horizontal="center" vertical="center"/>
      <protection locked="0"/>
    </xf>
    <xf numFmtId="0" fontId="7" fillId="0" borderId="13" xfId="0" applyFont="1" applyFill="1" applyBorder="1" applyAlignment="1">
      <alignment horizontal="left" vertical="center"/>
    </xf>
    <xf numFmtId="14" fontId="7" fillId="28" borderId="13" xfId="0" applyNumberFormat="1" applyFont="1" applyFill="1" applyBorder="1" applyAlignment="1" applyProtection="1">
      <alignment horizontal="center" vertical="center"/>
      <protection locked="0"/>
    </xf>
    <xf numFmtId="0" fontId="7" fillId="25" borderId="13" xfId="0" applyFont="1" applyFill="1" applyBorder="1" applyAlignment="1" applyProtection="1">
      <alignment horizontal="center"/>
      <protection locked="0"/>
    </xf>
    <xf numFmtId="3" fontId="11" fillId="5" borderId="13" xfId="0" applyNumberFormat="1" applyFont="1" applyFill="1" applyBorder="1" applyAlignment="1" applyProtection="1">
      <alignment horizontal="left" vertical="center"/>
      <protection locked="0"/>
    </xf>
    <xf numFmtId="14" fontId="11" fillId="5" borderId="13" xfId="26" applyNumberFormat="1" applyFont="1" applyFill="1" applyBorder="1" applyAlignment="1">
      <alignment horizontal="center" vertical="center"/>
    </xf>
    <xf numFmtId="3" fontId="7" fillId="0" borderId="13" xfId="0" applyNumberFormat="1" applyFont="1" applyFill="1" applyBorder="1" applyAlignment="1" applyProtection="1">
      <alignment horizontal="left" vertical="center"/>
      <protection locked="0"/>
    </xf>
    <xf numFmtId="3" fontId="7" fillId="5" borderId="13" xfId="0" applyNumberFormat="1" applyFont="1" applyFill="1" applyBorder="1" applyAlignment="1" applyProtection="1">
      <alignment horizontal="left" vertical="center"/>
      <protection locked="0"/>
    </xf>
    <xf numFmtId="14" fontId="54" fillId="27" borderId="1" xfId="0" applyNumberFormat="1" applyFont="1" applyFill="1" applyBorder="1"/>
    <xf numFmtId="0" fontId="7" fillId="27" borderId="10" xfId="0" applyFont="1" applyFill="1" applyBorder="1" applyAlignment="1" applyProtection="1">
      <alignment horizontal="left" vertical="center"/>
      <protection locked="0"/>
    </xf>
    <xf numFmtId="14" fontId="7" fillId="27" borderId="10" xfId="0" applyNumberFormat="1" applyFont="1" applyFill="1" applyBorder="1" applyAlignment="1" applyProtection="1">
      <alignment horizontal="left" vertical="center"/>
      <protection locked="0"/>
    </xf>
    <xf numFmtId="3" fontId="7" fillId="25" borderId="10" xfId="0" applyNumberFormat="1" applyFont="1" applyFill="1" applyBorder="1" applyAlignment="1" applyProtection="1">
      <alignment horizontal="left" vertical="center"/>
      <protection locked="0"/>
    </xf>
    <xf numFmtId="3" fontId="11" fillId="25" borderId="10" xfId="0" applyNumberFormat="1" applyFont="1" applyFill="1" applyBorder="1" applyAlignment="1" applyProtection="1">
      <alignment horizontal="left" vertical="center"/>
      <protection locked="0"/>
    </xf>
    <xf numFmtId="3" fontId="55" fillId="0" borderId="1" xfId="0" applyNumberFormat="1" applyFont="1" applyBorder="1"/>
    <xf numFmtId="171" fontId="11" fillId="5" borderId="10" xfId="26" applyNumberFormat="1"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xf>
    <xf numFmtId="0" fontId="11" fillId="0" borderId="17" xfId="0" applyFont="1" applyFill="1" applyBorder="1" applyAlignment="1" applyProtection="1">
      <alignment horizontal="left" vertical="center"/>
    </xf>
    <xf numFmtId="0" fontId="17" fillId="16" borderId="13" xfId="0" applyFont="1" applyFill="1" applyBorder="1" applyAlignment="1" applyProtection="1">
      <alignment horizontal="center" vertical="center" wrapText="1"/>
    </xf>
    <xf numFmtId="0" fontId="16" fillId="15" borderId="18" xfId="16" applyNumberFormat="1" applyFont="1" applyFill="1" applyBorder="1" applyAlignment="1" applyProtection="1">
      <alignment horizontal="center" vertical="center" wrapText="1"/>
    </xf>
    <xf numFmtId="0" fontId="16" fillId="15" borderId="13" xfId="16" applyNumberFormat="1" applyFont="1" applyFill="1" applyBorder="1" applyAlignment="1" applyProtection="1">
      <alignment horizontal="center" vertical="center" wrapText="1"/>
    </xf>
    <xf numFmtId="175" fontId="7" fillId="0" borderId="0" xfId="3" applyNumberFormat="1" applyFont="1" applyBorder="1" applyAlignment="1" applyProtection="1">
      <protection locked="0"/>
    </xf>
    <xf numFmtId="175" fontId="7" fillId="0" borderId="10" xfId="3" applyNumberFormat="1" applyFont="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10" xfId="0" quotePrefix="1" applyFont="1" applyFill="1" applyBorder="1" applyAlignment="1" applyProtection="1">
      <alignment horizontal="center"/>
      <protection locked="0"/>
    </xf>
    <xf numFmtId="14" fontId="7" fillId="25" borderId="10" xfId="0" quotePrefix="1" applyNumberFormat="1" applyFont="1" applyFill="1" applyBorder="1" applyAlignment="1" applyProtection="1">
      <alignment horizontal="center"/>
      <protection locked="0"/>
    </xf>
    <xf numFmtId="0" fontId="7" fillId="27" borderId="10" xfId="0" applyFont="1" applyFill="1" applyBorder="1"/>
    <xf numFmtId="0" fontId="7" fillId="27" borderId="10" xfId="0" applyFont="1" applyFill="1" applyBorder="1" applyAlignment="1">
      <alignment horizontal="center"/>
    </xf>
    <xf numFmtId="0" fontId="7" fillId="0" borderId="0" xfId="0" applyFont="1"/>
    <xf numFmtId="0" fontId="7" fillId="0" borderId="10" xfId="0" applyFont="1" applyBorder="1"/>
    <xf numFmtId="0" fontId="7" fillId="5" borderId="10" xfId="0" applyFont="1" applyFill="1" applyBorder="1" applyAlignment="1" applyProtection="1">
      <alignment horizontal="right"/>
      <protection locked="0"/>
    </xf>
    <xf numFmtId="0" fontId="7" fillId="5" borderId="10" xfId="0" applyFont="1" applyFill="1" applyBorder="1" applyAlignment="1" applyProtection="1">
      <alignment horizontal="left"/>
      <protection locked="0"/>
    </xf>
    <xf numFmtId="14" fontId="7" fillId="0" borderId="10" xfId="0" applyNumberFormat="1" applyFont="1" applyFill="1" applyBorder="1" applyAlignment="1" applyProtection="1">
      <protection locked="0"/>
    </xf>
    <xf numFmtId="14" fontId="7" fillId="0" borderId="10" xfId="0" applyNumberFormat="1" applyFont="1" applyBorder="1"/>
    <xf numFmtId="14" fontId="7" fillId="0" borderId="0" xfId="0" applyNumberFormat="1" applyFont="1"/>
    <xf numFmtId="0" fontId="11" fillId="25" borderId="10" xfId="0" applyFont="1" applyFill="1" applyBorder="1" applyAlignment="1" applyProtection="1">
      <alignment horizontal="center" vertical="center"/>
      <protection locked="0"/>
    </xf>
    <xf numFmtId="14" fontId="7" fillId="25" borderId="10" xfId="0" applyNumberFormat="1" applyFont="1" applyFill="1" applyBorder="1" applyAlignment="1" applyProtection="1">
      <protection locked="0"/>
    </xf>
    <xf numFmtId="0" fontId="7" fillId="25" borderId="10" xfId="0" applyFont="1" applyFill="1" applyBorder="1" applyAlignment="1" applyProtection="1">
      <alignment horizontal="right"/>
      <protection locked="0"/>
    </xf>
    <xf numFmtId="14" fontId="7" fillId="27" borderId="10" xfId="0" applyNumberFormat="1" applyFont="1" applyFill="1" applyBorder="1"/>
    <xf numFmtId="0" fontId="7" fillId="0" borderId="10" xfId="0" applyFont="1" applyBorder="1" applyAlignment="1"/>
    <xf numFmtId="44" fontId="7" fillId="0" borderId="0" xfId="10" applyFont="1" applyBorder="1" applyAlignment="1" applyProtection="1">
      <protection locked="0"/>
    </xf>
    <xf numFmtId="0" fontId="11" fillId="0" borderId="10" xfId="0" applyFont="1" applyBorder="1"/>
    <xf numFmtId="183" fontId="7" fillId="0" borderId="0" xfId="10" applyNumberFormat="1" applyFont="1" applyBorder="1" applyAlignment="1" applyProtection="1">
      <protection locked="0"/>
    </xf>
    <xf numFmtId="183" fontId="7" fillId="0" borderId="0" xfId="0" applyNumberFormat="1" applyFont="1" applyBorder="1" applyAlignment="1" applyProtection="1">
      <protection locked="0"/>
    </xf>
    <xf numFmtId="183" fontId="7" fillId="27" borderId="0" xfId="10" applyNumberFormat="1" applyFont="1" applyFill="1" applyBorder="1" applyAlignment="1" applyProtection="1">
      <protection locked="0"/>
    </xf>
    <xf numFmtId="175" fontId="31" fillId="0" borderId="0" xfId="3" applyNumberFormat="1" applyBorder="1" applyAlignment="1" applyProtection="1">
      <alignment horizontal="left" indent="2"/>
      <protection locked="0"/>
    </xf>
    <xf numFmtId="0" fontId="7" fillId="25" borderId="0" xfId="0" applyFont="1" applyFill="1" applyBorder="1" applyAlignment="1" applyProtection="1">
      <protection locked="0"/>
    </xf>
    <xf numFmtId="14" fontId="7" fillId="27" borderId="10" xfId="0" applyNumberFormat="1" applyFont="1" applyFill="1" applyBorder="1" applyAlignment="1">
      <alignment horizontal="right"/>
    </xf>
    <xf numFmtId="0" fontId="7" fillId="25" borderId="10" xfId="0" applyFont="1" applyFill="1" applyBorder="1" applyAlignment="1" applyProtection="1">
      <alignment vertical="center"/>
      <protection locked="0"/>
    </xf>
    <xf numFmtId="0" fontId="7" fillId="27" borderId="0" xfId="0" applyFont="1" applyFill="1" applyAlignment="1">
      <alignment horizontal="center" vertical="center"/>
    </xf>
    <xf numFmtId="0" fontId="7" fillId="27" borderId="10" xfId="0" applyFont="1" applyFill="1" applyBorder="1" applyAlignment="1">
      <alignment horizontal="center" vertical="center"/>
    </xf>
    <xf numFmtId="14" fontId="7" fillId="25" borderId="10" xfId="0" applyNumberFormat="1" applyFont="1" applyFill="1" applyBorder="1" applyAlignment="1" applyProtection="1">
      <alignment horizontal="right" vertical="center"/>
      <protection locked="0"/>
    </xf>
    <xf numFmtId="0" fontId="7" fillId="0" borderId="0" xfId="0" applyFont="1" applyBorder="1" applyAlignment="1" applyProtection="1">
      <alignment horizontal="center"/>
      <protection locked="0"/>
    </xf>
    <xf numFmtId="0" fontId="7" fillId="27" borderId="0" xfId="0" applyFont="1" applyFill="1" applyAlignment="1">
      <alignment horizontal="center"/>
    </xf>
    <xf numFmtId="0" fontId="7" fillId="27" borderId="10" xfId="0" applyFont="1" applyFill="1" applyBorder="1" applyAlignment="1" applyProtection="1">
      <alignment horizontal="center"/>
      <protection locked="0"/>
    </xf>
    <xf numFmtId="175" fontId="7" fillId="0" borderId="0" xfId="0" applyNumberFormat="1" applyFont="1" applyBorder="1" applyAlignment="1" applyProtection="1">
      <alignment horizontal="center" vertical="center"/>
      <protection locked="0"/>
    </xf>
    <xf numFmtId="175" fontId="7" fillId="0" borderId="0" xfId="0" applyNumberFormat="1" applyFont="1" applyBorder="1" applyAlignment="1" applyProtection="1">
      <alignment horizontal="center"/>
      <protection locked="0"/>
    </xf>
    <xf numFmtId="0" fontId="7" fillId="27" borderId="0" xfId="0" applyFont="1" applyFill="1" applyBorder="1" applyAlignment="1" applyProtection="1">
      <protection locked="0"/>
    </xf>
    <xf numFmtId="167" fontId="31" fillId="27" borderId="0" xfId="3" applyFill="1" applyBorder="1" applyAlignment="1" applyProtection="1">
      <alignment horizontal="left" indent="2"/>
      <protection locked="0"/>
    </xf>
    <xf numFmtId="14" fontId="7" fillId="0" borderId="10" xfId="0" applyNumberFormat="1"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14" fontId="7" fillId="0" borderId="10" xfId="0" applyNumberFormat="1" applyFont="1" applyFill="1" applyBorder="1" applyAlignment="1">
      <alignment horizontal="right"/>
    </xf>
    <xf numFmtId="0" fontId="7" fillId="0" borderId="10" xfId="0" applyFont="1" applyFill="1" applyBorder="1"/>
    <xf numFmtId="14" fontId="7" fillId="0" borderId="10" xfId="0" applyNumberFormat="1" applyFont="1" applyFill="1" applyBorder="1"/>
    <xf numFmtId="0" fontId="7" fillId="0" borderId="10" xfId="0" applyFont="1" applyFill="1" applyBorder="1" applyAlignment="1" applyProtection="1">
      <alignment horizontal="right"/>
      <protection locked="0"/>
    </xf>
    <xf numFmtId="0" fontId="7" fillId="25" borderId="10" xfId="0" applyFont="1" applyFill="1" applyBorder="1" applyAlignment="1" applyProtection="1">
      <alignment horizontal="right" vertical="center"/>
      <protection locked="0"/>
    </xf>
    <xf numFmtId="9" fontId="31" fillId="0" borderId="10" xfId="24" applyBorder="1" applyAlignment="1" applyProtection="1">
      <protection locked="0"/>
    </xf>
    <xf numFmtId="9" fontId="31" fillId="0" borderId="0" xfId="24" applyBorder="1" applyAlignment="1" applyProtection="1">
      <protection locked="0"/>
    </xf>
    <xf numFmtId="9" fontId="31" fillId="0" borderId="10" xfId="24" applyBorder="1" applyAlignment="1" applyProtection="1">
      <alignment horizontal="center" vertical="center" wrapText="1"/>
      <protection hidden="1"/>
    </xf>
    <xf numFmtId="0" fontId="7" fillId="5" borderId="11" xfId="0" applyFont="1" applyFill="1" applyBorder="1" applyAlignment="1" applyProtection="1">
      <protection locked="0"/>
    </xf>
    <xf numFmtId="0" fontId="11" fillId="5" borderId="11" xfId="0" applyFont="1" applyFill="1" applyBorder="1" applyAlignment="1" applyProtection="1">
      <protection locked="0"/>
    </xf>
    <xf numFmtId="0" fontId="7" fillId="0" borderId="11" xfId="0" applyFont="1" applyFill="1" applyBorder="1" applyAlignment="1" applyProtection="1">
      <protection locked="0"/>
    </xf>
    <xf numFmtId="3" fontId="53" fillId="0" borderId="19" xfId="0" applyNumberFormat="1" applyFont="1" applyBorder="1"/>
    <xf numFmtId="0" fontId="7" fillId="25" borderId="11" xfId="0" applyFont="1" applyFill="1" applyBorder="1" applyAlignment="1" applyProtection="1">
      <protection locked="0"/>
    </xf>
    <xf numFmtId="0" fontId="56" fillId="5" borderId="10" xfId="0" applyFont="1" applyFill="1" applyBorder="1" applyAlignment="1" applyProtection="1">
      <protection locked="0"/>
    </xf>
    <xf numFmtId="0" fontId="57" fillId="5" borderId="10" xfId="0" applyFont="1" applyFill="1" applyBorder="1" applyAlignment="1" applyProtection="1">
      <protection locked="0"/>
    </xf>
    <xf numFmtId="0" fontId="56" fillId="0" borderId="10" xfId="0" applyFont="1" applyFill="1" applyBorder="1" applyAlignment="1" applyProtection="1">
      <protection locked="0"/>
    </xf>
    <xf numFmtId="0" fontId="56" fillId="25" borderId="10" xfId="0" applyFont="1" applyFill="1" applyBorder="1" applyAlignment="1" applyProtection="1">
      <protection locked="0"/>
    </xf>
    <xf numFmtId="0" fontId="56" fillId="0" borderId="10" xfId="0" applyFont="1" applyBorder="1"/>
    <xf numFmtId="14" fontId="7" fillId="0" borderId="10" xfId="0" applyNumberFormat="1" applyFont="1" applyBorder="1" applyAlignment="1">
      <alignment horizontal="right"/>
    </xf>
    <xf numFmtId="165" fontId="7" fillId="0" borderId="0" xfId="0" applyNumberFormat="1" applyFont="1" applyBorder="1" applyAlignment="1" applyProtection="1">
      <protection locked="0"/>
    </xf>
    <xf numFmtId="164" fontId="7" fillId="0" borderId="0" xfId="0" applyNumberFormat="1" applyFont="1" applyBorder="1" applyAlignment="1" applyProtection="1">
      <protection locked="0"/>
    </xf>
    <xf numFmtId="0" fontId="7" fillId="27" borderId="10" xfId="0" applyFont="1" applyFill="1" applyBorder="1" applyAlignment="1" applyProtection="1">
      <protection locked="0"/>
    </xf>
    <xf numFmtId="0" fontId="7" fillId="25" borderId="0" xfId="0" applyFont="1" applyFill="1" applyAlignment="1" applyProtection="1">
      <protection locked="0"/>
    </xf>
    <xf numFmtId="14" fontId="7" fillId="25" borderId="0" xfId="0" applyNumberFormat="1" applyFont="1" applyFill="1" applyAlignment="1" applyProtection="1">
      <protection locked="0"/>
    </xf>
    <xf numFmtId="0" fontId="39" fillId="27" borderId="0" xfId="20" applyFont="1" applyFill="1" applyAlignment="1" applyProtection="1">
      <alignment horizontal="center" vertical="center" wrapText="1"/>
      <protection hidden="1"/>
    </xf>
    <xf numFmtId="14" fontId="7" fillId="0" borderId="10" xfId="0" applyNumberFormat="1" applyFont="1" applyFill="1" applyBorder="1" applyAlignment="1">
      <alignment horizontal="center"/>
    </xf>
    <xf numFmtId="14" fontId="7" fillId="27" borderId="10" xfId="0" applyNumberFormat="1" applyFont="1" applyFill="1" applyBorder="1" applyAlignment="1">
      <alignment horizontal="center"/>
    </xf>
    <xf numFmtId="0" fontId="7" fillId="0" borderId="10" xfId="0" applyFont="1" applyFill="1" applyBorder="1" applyAlignment="1" applyProtection="1">
      <alignment vertical="center"/>
      <protection locked="0"/>
    </xf>
    <xf numFmtId="0" fontId="7" fillId="0" borderId="10" xfId="0" applyFont="1" applyFill="1" applyBorder="1" applyAlignment="1">
      <alignment horizontal="center" vertical="center"/>
    </xf>
    <xf numFmtId="0" fontId="7" fillId="0" borderId="10" xfId="0" applyFont="1" applyFill="1" applyBorder="1" applyAlignment="1">
      <alignment horizontal="center"/>
    </xf>
    <xf numFmtId="0" fontId="0" fillId="0" borderId="44" xfId="0" applyBorder="1"/>
    <xf numFmtId="0" fontId="0" fillId="0" borderId="47" xfId="0" applyBorder="1"/>
    <xf numFmtId="0" fontId="7" fillId="0" borderId="6"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22" xfId="0" applyFont="1" applyFill="1" applyBorder="1" applyAlignment="1" applyProtection="1">
      <alignment horizontal="center" vertical="center"/>
    </xf>
    <xf numFmtId="44" fontId="11" fillId="0" borderId="0" xfId="10" applyFont="1" applyBorder="1" applyAlignment="1" applyProtection="1">
      <protection locked="0"/>
    </xf>
    <xf numFmtId="14" fontId="7" fillId="0" borderId="10" xfId="0" applyNumberFormat="1" applyFont="1" applyFill="1" applyBorder="1" applyAlignment="1" applyProtection="1">
      <alignment horizontal="right"/>
      <protection locked="0"/>
    </xf>
    <xf numFmtId="14" fontId="7" fillId="5" borderId="10" xfId="0" applyNumberFormat="1" applyFont="1" applyFill="1" applyBorder="1" applyAlignment="1" applyProtection="1">
      <alignment horizontal="left"/>
      <protection locked="0"/>
    </xf>
    <xf numFmtId="171" fontId="7" fillId="27" borderId="1" xfId="26" applyNumberFormat="1" applyFont="1" applyFill="1" applyBorder="1" applyAlignment="1" applyProtection="1">
      <alignment horizontal="center" vertical="center"/>
    </xf>
    <xf numFmtId="0" fontId="11" fillId="25" borderId="10" xfId="0" applyFont="1" applyFill="1" applyBorder="1" applyAlignment="1" applyProtection="1">
      <alignment horizontal="right" vertical="center"/>
      <protection locked="0"/>
    </xf>
    <xf numFmtId="0" fontId="61" fillId="0" borderId="0" xfId="0" applyFont="1" applyAlignment="1">
      <alignment vertical="center"/>
    </xf>
    <xf numFmtId="0" fontId="62" fillId="0" borderId="0" xfId="0" applyFont="1"/>
    <xf numFmtId="14" fontId="11" fillId="32" borderId="10" xfId="26" applyNumberFormat="1" applyFont="1" applyFill="1" applyBorder="1" applyAlignment="1">
      <alignment horizontal="center" vertical="center"/>
    </xf>
    <xf numFmtId="14" fontId="11" fillId="34" borderId="10" xfId="26" applyNumberFormat="1" applyFont="1" applyFill="1" applyBorder="1" applyAlignment="1">
      <alignment horizontal="center" vertical="center"/>
    </xf>
    <xf numFmtId="0" fontId="7" fillId="32" borderId="10" xfId="0" applyFont="1" applyFill="1" applyBorder="1" applyAlignment="1" applyProtection="1">
      <alignment horizontal="center"/>
      <protection locked="0"/>
    </xf>
    <xf numFmtId="0" fontId="7" fillId="27" borderId="0" xfId="0" applyFont="1" applyFill="1"/>
    <xf numFmtId="17" fontId="7" fillId="25" borderId="10" xfId="0" applyNumberFormat="1" applyFont="1" applyFill="1" applyBorder="1" applyAlignment="1" applyProtection="1">
      <alignment horizontal="center"/>
      <protection locked="0"/>
    </xf>
    <xf numFmtId="0" fontId="0" fillId="0" borderId="54" xfId="0" applyBorder="1"/>
    <xf numFmtId="0" fontId="0" fillId="0" borderId="55" xfId="0" applyBorder="1"/>
    <xf numFmtId="0" fontId="0" fillId="0" borderId="0" xfId="0" pivotButton="1"/>
    <xf numFmtId="0" fontId="0" fillId="0" borderId="0" xfId="0" applyNumberFormat="1"/>
    <xf numFmtId="0" fontId="0" fillId="0" borderId="56" xfId="0" applyBorder="1"/>
    <xf numFmtId="0" fontId="0" fillId="0" borderId="35" xfId="0" applyNumberFormat="1" applyBorder="1"/>
    <xf numFmtId="0" fontId="0" fillId="0" borderId="56" xfId="0" applyNumberFormat="1" applyBorder="1"/>
    <xf numFmtId="0" fontId="0" fillId="0" borderId="57" xfId="0" applyBorder="1"/>
    <xf numFmtId="0" fontId="0" fillId="0" borderId="37" xfId="0" applyNumberFormat="1" applyBorder="1"/>
    <xf numFmtId="0" fontId="0" fillId="0" borderId="58" xfId="0" applyNumberFormat="1" applyBorder="1"/>
    <xf numFmtId="0" fontId="0" fillId="0" borderId="59" xfId="0" applyBorder="1"/>
    <xf numFmtId="0" fontId="0" fillId="0" borderId="59" xfId="0" applyNumberFormat="1" applyBorder="1"/>
    <xf numFmtId="0" fontId="0" fillId="0" borderId="60" xfId="0" applyNumberFormat="1" applyBorder="1"/>
    <xf numFmtId="0" fontId="7" fillId="0" borderId="5"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9" fontId="12" fillId="0" borderId="11" xfId="24" applyFont="1" applyFill="1" applyBorder="1" applyAlignment="1" applyProtection="1">
      <alignment horizontal="center" vertical="center"/>
      <protection locked="0"/>
    </xf>
    <xf numFmtId="0" fontId="17" fillId="21" borderId="13" xfId="0" applyFont="1" applyFill="1" applyBorder="1" applyAlignment="1" applyProtection="1">
      <alignment horizontal="center" vertical="center" wrapText="1"/>
    </xf>
    <xf numFmtId="3" fontId="17" fillId="21" borderId="13" xfId="0" applyNumberFormat="1" applyFont="1" applyFill="1" applyBorder="1" applyAlignment="1" applyProtection="1">
      <alignment horizontal="center" vertical="center" wrapText="1"/>
    </xf>
    <xf numFmtId="0" fontId="17" fillId="12" borderId="13" xfId="0" applyFont="1" applyFill="1" applyBorder="1" applyAlignment="1" applyProtection="1">
      <alignment horizontal="center" vertical="center" wrapText="1"/>
      <protection hidden="1"/>
    </xf>
    <xf numFmtId="177" fontId="17" fillId="12" borderId="13" xfId="12" applyNumberFormat="1" applyFont="1" applyFill="1" applyBorder="1" applyAlignment="1" applyProtection="1">
      <alignment horizontal="center" vertical="center" wrapText="1"/>
      <protection hidden="1"/>
    </xf>
    <xf numFmtId="177" fontId="16" fillId="12" borderId="13" xfId="12" applyNumberFormat="1" applyFont="1" applyFill="1" applyBorder="1" applyAlignment="1" applyProtection="1">
      <alignment horizontal="center" vertical="center" wrapText="1"/>
      <protection hidden="1"/>
    </xf>
    <xf numFmtId="0" fontId="11" fillId="0" borderId="0" xfId="0" applyFont="1" applyFill="1" applyAlignment="1" applyProtection="1">
      <protection locked="0"/>
    </xf>
    <xf numFmtId="171" fontId="7" fillId="0" borderId="10" xfId="26" applyNumberFormat="1" applyFont="1" applyFill="1" applyBorder="1" applyAlignment="1" applyProtection="1">
      <alignment horizontal="left" vertical="center"/>
      <protection locked="0"/>
    </xf>
    <xf numFmtId="0" fontId="7" fillId="0" borderId="10" xfId="0" applyFont="1" applyFill="1" applyBorder="1" applyAlignment="1"/>
    <xf numFmtId="0" fontId="11" fillId="0" borderId="10" xfId="0" applyFont="1" applyFill="1" applyBorder="1"/>
    <xf numFmtId="0" fontId="7" fillId="0" borderId="10" xfId="0" applyNumberFormat="1" applyFont="1" applyFill="1" applyBorder="1" applyAlignment="1" applyProtection="1">
      <protection locked="0"/>
    </xf>
    <xf numFmtId="0" fontId="11" fillId="0" borderId="10" xfId="0" applyFont="1" applyFill="1" applyBorder="1" applyAlignment="1" applyProtection="1">
      <alignment horizontal="center" vertical="center"/>
      <protection locked="0"/>
    </xf>
    <xf numFmtId="14" fontId="7" fillId="0" borderId="10" xfId="0" applyNumberFormat="1" applyFont="1" applyFill="1" applyBorder="1" applyAlignment="1" applyProtection="1">
      <alignment horizontal="right" vertical="center"/>
      <protection locked="0"/>
    </xf>
    <xf numFmtId="14" fontId="7" fillId="0" borderId="10" xfId="0" quotePrefix="1" applyNumberFormat="1" applyFont="1" applyFill="1" applyBorder="1" applyAlignment="1" applyProtection="1">
      <alignment horizontal="center"/>
      <protection locked="0"/>
    </xf>
    <xf numFmtId="0" fontId="8" fillId="22" borderId="8" xfId="16" applyFont="1" applyFill="1" applyBorder="1" applyAlignment="1" applyProtection="1">
      <alignment horizontal="center" vertical="center" wrapText="1"/>
    </xf>
    <xf numFmtId="0" fontId="8" fillId="22" borderId="9" xfId="16" applyFont="1" applyFill="1" applyBorder="1" applyAlignment="1" applyProtection="1">
      <alignment horizontal="center" vertical="center" wrapText="1"/>
    </xf>
    <xf numFmtId="3" fontId="8" fillId="22" borderId="9" xfId="16" applyNumberFormat="1" applyFont="1" applyFill="1" applyBorder="1" applyAlignment="1" applyProtection="1">
      <alignment horizontal="center" vertical="center" wrapText="1"/>
    </xf>
    <xf numFmtId="0" fontId="8" fillId="22" borderId="9" xfId="16" applyFont="1" applyFill="1" applyBorder="1" applyAlignment="1" applyProtection="1">
      <alignment horizontal="center" vertical="center"/>
    </xf>
    <xf numFmtId="0" fontId="8" fillId="15" borderId="10" xfId="16" applyNumberFormat="1" applyFont="1" applyFill="1" applyBorder="1" applyAlignment="1" applyProtection="1">
      <alignment horizontal="center" vertical="center" wrapText="1"/>
    </xf>
    <xf numFmtId="0" fontId="8" fillId="15" borderId="11" xfId="16" applyNumberFormat="1" applyFont="1" applyFill="1" applyBorder="1" applyAlignment="1" applyProtection="1">
      <alignment horizontal="center" vertical="center" wrapText="1"/>
    </xf>
    <xf numFmtId="0" fontId="8" fillId="23" borderId="13" xfId="0" applyFont="1" applyFill="1" applyBorder="1" applyAlignment="1" applyProtection="1">
      <alignment horizontal="center" vertical="center" wrapText="1"/>
    </xf>
    <xf numFmtId="14" fontId="8" fillId="23" borderId="13" xfId="0" applyNumberFormat="1" applyFont="1" applyFill="1" applyBorder="1" applyAlignment="1" applyProtection="1">
      <alignment horizontal="center" vertical="center" wrapText="1"/>
    </xf>
    <xf numFmtId="0" fontId="8" fillId="22" borderId="13" xfId="0" applyFont="1" applyFill="1" applyBorder="1" applyAlignment="1" applyProtection="1">
      <alignment horizontal="center" vertical="center" wrapText="1"/>
    </xf>
    <xf numFmtId="0" fontId="8" fillId="17" borderId="13" xfId="0" applyFont="1" applyFill="1" applyBorder="1" applyAlignment="1">
      <alignment horizontal="center" vertical="center" wrapText="1"/>
    </xf>
    <xf numFmtId="3" fontId="8" fillId="22" borderId="13" xfId="0" applyNumberFormat="1" applyFont="1" applyFill="1" applyBorder="1" applyAlignment="1" applyProtection="1">
      <alignment horizontal="center" vertical="center" wrapText="1"/>
    </xf>
    <xf numFmtId="0" fontId="8" fillId="17" borderId="9" xfId="0" applyFont="1" applyFill="1" applyBorder="1" applyAlignment="1" applyProtection="1">
      <alignment horizontal="center" vertical="center" wrapText="1"/>
      <protection hidden="1"/>
    </xf>
    <xf numFmtId="177" fontId="8" fillId="17" borderId="9" xfId="11" applyNumberFormat="1" applyFont="1" applyFill="1" applyBorder="1" applyAlignment="1" applyProtection="1">
      <alignment horizontal="center" vertical="center" wrapText="1"/>
      <protection hidden="1"/>
    </xf>
    <xf numFmtId="177" fontId="8" fillId="15" borderId="13" xfId="13" applyNumberFormat="1" applyFont="1" applyFill="1" applyBorder="1" applyAlignment="1" applyProtection="1">
      <alignment horizontal="center" vertical="center" wrapText="1"/>
      <protection hidden="1"/>
    </xf>
    <xf numFmtId="0" fontId="8" fillId="23" borderId="13" xfId="0" applyFont="1" applyFill="1" applyBorder="1" applyAlignment="1">
      <alignment horizontal="center" vertical="center" wrapText="1"/>
    </xf>
    <xf numFmtId="3" fontId="8" fillId="23" borderId="13" xfId="0" applyNumberFormat="1" applyFont="1" applyFill="1" applyBorder="1" applyAlignment="1" applyProtection="1">
      <alignment horizontal="center" vertical="center" wrapText="1"/>
    </xf>
    <xf numFmtId="0" fontId="8" fillId="33" borderId="9" xfId="0" applyFont="1" applyFill="1" applyBorder="1" applyAlignment="1" applyProtection="1">
      <alignment horizontal="center" vertical="center" wrapText="1"/>
      <protection hidden="1"/>
    </xf>
    <xf numFmtId="177" fontId="8" fillId="33" borderId="9" xfId="11" applyNumberFormat="1" applyFont="1" applyFill="1" applyBorder="1" applyAlignment="1" applyProtection="1">
      <alignment horizontal="center" vertical="center" wrapText="1"/>
      <protection hidden="1"/>
    </xf>
    <xf numFmtId="177" fontId="8" fillId="33" borderId="13" xfId="13" applyNumberFormat="1" applyFont="1" applyFill="1" applyBorder="1" applyAlignment="1" applyProtection="1">
      <alignment horizontal="center" vertical="center" wrapText="1"/>
      <protection hidden="1"/>
    </xf>
    <xf numFmtId="0" fontId="8" fillId="29" borderId="13" xfId="0" applyFont="1" applyFill="1" applyBorder="1" applyAlignment="1" applyProtection="1">
      <alignment horizontal="center" vertical="center" wrapText="1"/>
      <protection locked="0"/>
    </xf>
    <xf numFmtId="0" fontId="11" fillId="0" borderId="10" xfId="16" applyFont="1" applyFill="1" applyBorder="1" applyAlignment="1">
      <alignment vertical="center"/>
    </xf>
    <xf numFmtId="9" fontId="7" fillId="0" borderId="0" xfId="24" applyFont="1" applyBorder="1" applyAlignment="1" applyProtection="1">
      <protection locked="0"/>
    </xf>
    <xf numFmtId="175" fontId="7" fillId="0" borderId="0" xfId="3" applyNumberFormat="1" applyFont="1" applyBorder="1" applyAlignment="1" applyProtection="1">
      <alignment horizontal="left" vertical="center"/>
      <protection locked="0"/>
    </xf>
    <xf numFmtId="175" fontId="7" fillId="0" borderId="0" xfId="3" applyNumberFormat="1" applyFont="1" applyBorder="1" applyAlignment="1" applyProtection="1">
      <alignment horizontal="center" vertical="center"/>
      <protection locked="0"/>
    </xf>
    <xf numFmtId="175" fontId="7" fillId="0" borderId="0" xfId="3" applyNumberFormat="1" applyFont="1" applyBorder="1" applyAlignment="1" applyProtection="1">
      <alignment horizontal="center" vertical="center" wrapText="1"/>
      <protection locked="0"/>
    </xf>
    <xf numFmtId="44" fontId="7" fillId="0" borderId="0" xfId="10" applyFont="1"/>
    <xf numFmtId="175" fontId="7" fillId="0" borderId="10" xfId="3" applyNumberFormat="1" applyFont="1" applyBorder="1"/>
    <xf numFmtId="175" fontId="7" fillId="0" borderId="10" xfId="3" applyNumberFormat="1" applyFont="1" applyBorder="1" applyAlignment="1" applyProtection="1">
      <protection locked="0"/>
    </xf>
    <xf numFmtId="175" fontId="7" fillId="0" borderId="10" xfId="3" applyNumberFormat="1" applyFont="1" applyBorder="1" applyAlignment="1" applyProtection="1">
      <alignment horizontal="center" vertical="center" wrapText="1"/>
      <protection hidden="1"/>
    </xf>
    <xf numFmtId="175" fontId="7" fillId="0" borderId="10" xfId="3" applyNumberFormat="1" applyFont="1" applyBorder="1" applyAlignment="1" applyProtection="1">
      <alignment horizontal="center"/>
      <protection locked="0"/>
    </xf>
    <xf numFmtId="175" fontId="7" fillId="0" borderId="10" xfId="3" applyNumberFormat="1" applyFont="1" applyBorder="1" applyAlignment="1" applyProtection="1">
      <alignment horizontal="left"/>
      <protection locked="0"/>
    </xf>
    <xf numFmtId="175" fontId="7" fillId="0" borderId="10" xfId="3" applyNumberFormat="1" applyFont="1" applyBorder="1" applyAlignment="1" applyProtection="1">
      <alignment horizontal="right" vertical="center"/>
      <protection locked="0"/>
    </xf>
    <xf numFmtId="9" fontId="7" fillId="0" borderId="10" xfId="24" applyFont="1" applyFill="1" applyBorder="1" applyAlignment="1" applyProtection="1">
      <alignment horizontal="center"/>
      <protection locked="0"/>
    </xf>
    <xf numFmtId="9" fontId="7" fillId="0" borderId="10" xfId="24" applyNumberFormat="1" applyFont="1" applyFill="1" applyBorder="1" applyAlignment="1" applyProtection="1">
      <alignment horizontal="center"/>
      <protection locked="0"/>
    </xf>
    <xf numFmtId="9" fontId="7" fillId="0" borderId="0" xfId="24" applyFont="1" applyBorder="1" applyAlignment="1" applyProtection="1">
      <alignment horizontal="center"/>
      <protection locked="0"/>
    </xf>
    <xf numFmtId="9" fontId="7" fillId="0" borderId="10" xfId="24" applyNumberFormat="1" applyFont="1" applyBorder="1" applyAlignment="1" applyProtection="1">
      <alignment horizontal="center" vertical="center"/>
      <protection locked="0"/>
    </xf>
    <xf numFmtId="9" fontId="7" fillId="0" borderId="10" xfId="24" applyFont="1" applyBorder="1" applyAlignment="1" applyProtection="1">
      <alignment horizontal="center" vertical="center"/>
      <protection locked="0"/>
    </xf>
    <xf numFmtId="175" fontId="7" fillId="0" borderId="0" xfId="3" applyNumberFormat="1" applyFont="1"/>
    <xf numFmtId="0" fontId="7" fillId="0" borderId="0" xfId="0" applyFont="1" applyAlignment="1">
      <alignment horizontal="right"/>
    </xf>
    <xf numFmtId="0" fontId="7" fillId="0" borderId="10" xfId="0" applyFont="1" applyBorder="1" applyAlignment="1">
      <alignment horizontal="right"/>
    </xf>
    <xf numFmtId="175" fontId="7" fillId="0" borderId="10" xfId="3" applyNumberFormat="1" applyFont="1" applyBorder="1" applyAlignment="1">
      <alignment horizontal="right"/>
    </xf>
    <xf numFmtId="175" fontId="7" fillId="0" borderId="0" xfId="0" applyNumberFormat="1" applyFont="1"/>
    <xf numFmtId="4" fontId="0" fillId="0" borderId="0" xfId="0" applyNumberFormat="1"/>
    <xf numFmtId="179" fontId="12" fillId="32" borderId="10" xfId="15" applyNumberFormat="1" applyFont="1" applyFill="1" applyBorder="1" applyAlignment="1" applyProtection="1">
      <alignment horizontal="center" vertical="center"/>
      <protection locked="0"/>
    </xf>
    <xf numFmtId="179" fontId="12" fillId="27" borderId="10" xfId="15" applyNumberFormat="1" applyFont="1" applyFill="1" applyBorder="1" applyAlignment="1" applyProtection="1">
      <alignment horizontal="center" vertical="center"/>
      <protection locked="0"/>
    </xf>
    <xf numFmtId="3" fontId="8" fillId="2" borderId="1" xfId="26" applyNumberFormat="1" applyFont="1" applyFill="1" applyBorder="1" applyAlignment="1" applyProtection="1">
      <alignment horizontal="center" vertical="center"/>
    </xf>
    <xf numFmtId="3" fontId="9" fillId="2" borderId="5" xfId="16"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2" borderId="1" xfId="26" applyNumberFormat="1" applyFont="1" applyFill="1" applyBorder="1" applyAlignment="1" applyProtection="1">
      <alignment horizontal="center" vertical="center"/>
    </xf>
    <xf numFmtId="0" fontId="16" fillId="12" borderId="24" xfId="0" applyFont="1" applyFill="1" applyBorder="1" applyAlignment="1" applyProtection="1">
      <alignment horizontal="center" vertical="center" wrapText="1"/>
      <protection hidden="1"/>
    </xf>
    <xf numFmtId="0" fontId="16" fillId="12" borderId="15"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xf>
    <xf numFmtId="3" fontId="7" fillId="0" borderId="25" xfId="0" applyNumberFormat="1" applyFont="1" applyFill="1" applyBorder="1" applyAlignment="1" applyProtection="1">
      <alignment horizontal="center" vertical="center"/>
    </xf>
    <xf numFmtId="3" fontId="7" fillId="0" borderId="26" xfId="0" applyNumberFormat="1" applyFont="1" applyFill="1" applyBorder="1" applyAlignment="1" applyProtection="1">
      <alignment horizontal="center" vertical="center"/>
    </xf>
    <xf numFmtId="0" fontId="8" fillId="6" borderId="5" xfId="0" applyFont="1" applyFill="1" applyBorder="1" applyAlignment="1" applyProtection="1">
      <alignment horizontal="center" vertical="center" wrapText="1"/>
    </xf>
    <xf numFmtId="0" fontId="16" fillId="14" borderId="27" xfId="0" applyFont="1" applyFill="1" applyBorder="1" applyAlignment="1" applyProtection="1">
      <alignment horizontal="center" vertical="center"/>
    </xf>
    <xf numFmtId="0" fontId="9" fillId="35" borderId="28" xfId="0" applyFont="1" applyFill="1" applyBorder="1" applyAlignment="1" applyProtection="1">
      <alignment vertical="center" wrapText="1"/>
    </xf>
    <xf numFmtId="0" fontId="9" fillId="35" borderId="29" xfId="0" applyFont="1" applyFill="1" applyBorder="1" applyAlignment="1" applyProtection="1">
      <alignment vertical="center" wrapText="1"/>
    </xf>
    <xf numFmtId="0" fontId="10" fillId="16" borderId="28" xfId="0" applyFont="1" applyFill="1" applyBorder="1" applyAlignment="1" applyProtection="1">
      <alignment horizontal="center" vertical="center" wrapText="1"/>
      <protection locked="0"/>
    </xf>
    <xf numFmtId="0" fontId="10" fillId="16" borderId="15" xfId="0" applyFont="1" applyFill="1" applyBorder="1" applyAlignment="1" applyProtection="1">
      <alignment horizontal="center" vertical="center" wrapText="1"/>
      <protection locked="0"/>
    </xf>
    <xf numFmtId="0" fontId="10" fillId="16" borderId="29"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171" fontId="11" fillId="0" borderId="25" xfId="26" applyNumberFormat="1" applyFont="1" applyFill="1" applyBorder="1" applyAlignment="1" applyProtection="1">
      <alignment horizontal="center" vertical="center"/>
    </xf>
    <xf numFmtId="171" fontId="11" fillId="0" borderId="26" xfId="26" applyNumberFormat="1" applyFont="1" applyFill="1" applyBorder="1" applyAlignment="1" applyProtection="1">
      <alignment horizontal="center" vertical="center"/>
    </xf>
    <xf numFmtId="0" fontId="8" fillId="18" borderId="3" xfId="0" applyFont="1" applyFill="1" applyBorder="1" applyAlignment="1" applyProtection="1">
      <alignment horizontal="center" vertical="center" wrapText="1"/>
      <protection hidden="1"/>
    </xf>
    <xf numFmtId="0" fontId="8" fillId="18" borderId="0" xfId="0" applyFont="1" applyFill="1" applyBorder="1" applyAlignment="1" applyProtection="1">
      <alignment horizontal="center" vertical="center" wrapText="1"/>
      <protection hidden="1"/>
    </xf>
    <xf numFmtId="0" fontId="8" fillId="18" borderId="30" xfId="0" applyFont="1" applyFill="1" applyBorder="1" applyAlignment="1" applyProtection="1">
      <alignment horizontal="center" vertical="center" wrapText="1"/>
      <protection hidden="1"/>
    </xf>
    <xf numFmtId="0" fontId="8" fillId="19" borderId="5" xfId="0" applyFont="1" applyFill="1" applyBorder="1" applyAlignment="1" applyProtection="1">
      <alignment horizontal="center" vertical="center" wrapText="1"/>
    </xf>
    <xf numFmtId="0" fontId="8" fillId="20" borderId="3"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17" fillId="21" borderId="11" xfId="0" applyFont="1" applyFill="1" applyBorder="1" applyAlignment="1" applyProtection="1">
      <alignment horizontal="center" vertical="center" wrapText="1"/>
    </xf>
    <xf numFmtId="0" fontId="17" fillId="21" borderId="27" xfId="0" applyFont="1" applyFill="1" applyBorder="1" applyAlignment="1" applyProtection="1">
      <alignment horizontal="center" vertical="center" wrapText="1"/>
    </xf>
    <xf numFmtId="0" fontId="17" fillId="21" borderId="2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171" fontId="7" fillId="0" borderId="25" xfId="26" applyNumberFormat="1" applyFont="1" applyFill="1" applyBorder="1" applyAlignment="1" applyProtection="1">
      <alignment horizontal="center" vertical="center"/>
    </xf>
    <xf numFmtId="171" fontId="7" fillId="0" borderId="26" xfId="26" applyNumberFormat="1" applyFont="1" applyFill="1" applyBorder="1" applyAlignment="1" applyProtection="1">
      <alignment horizontal="center" vertical="center"/>
    </xf>
    <xf numFmtId="0" fontId="7" fillId="0" borderId="25" xfId="26" applyNumberFormat="1" applyFont="1" applyFill="1" applyBorder="1" applyAlignment="1" applyProtection="1">
      <alignment horizontal="center" vertical="center"/>
    </xf>
    <xf numFmtId="0" fontId="7" fillId="0" borderId="26" xfId="26" applyNumberFormat="1"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171" fontId="7" fillId="0" borderId="31" xfId="26" applyNumberFormat="1" applyFont="1" applyFill="1" applyBorder="1" applyAlignment="1" applyProtection="1">
      <alignment horizontal="center" vertical="center"/>
    </xf>
    <xf numFmtId="0" fontId="7" fillId="0" borderId="4" xfId="0" applyFont="1" applyFill="1" applyBorder="1" applyAlignment="1" applyProtection="1">
      <alignment vertical="center" wrapText="1"/>
    </xf>
    <xf numFmtId="0" fontId="7" fillId="0" borderId="17" xfId="0" applyFont="1" applyFill="1" applyBorder="1" applyAlignment="1" applyProtection="1">
      <alignment vertical="center" wrapText="1"/>
    </xf>
    <xf numFmtId="171" fontId="7" fillId="0" borderId="25" xfId="26" applyNumberFormat="1" applyFont="1" applyFill="1" applyBorder="1" applyAlignment="1" applyProtection="1">
      <alignment vertical="center"/>
    </xf>
    <xf numFmtId="171" fontId="7" fillId="0" borderId="26" xfId="26" applyNumberFormat="1" applyFont="1" applyFill="1" applyBorder="1" applyAlignment="1" applyProtection="1">
      <alignment vertical="center"/>
    </xf>
    <xf numFmtId="171" fontId="7" fillId="0" borderId="25" xfId="26" applyNumberFormat="1" applyFont="1" applyFill="1" applyBorder="1" applyAlignment="1" applyProtection="1">
      <alignment horizontal="center" vertical="center" wrapText="1"/>
    </xf>
    <xf numFmtId="171" fontId="7" fillId="0" borderId="26" xfId="26" applyNumberFormat="1" applyFont="1" applyFill="1" applyBorder="1" applyAlignment="1" applyProtection="1">
      <alignment horizontal="center" vertical="center" wrapText="1"/>
    </xf>
    <xf numFmtId="171" fontId="7" fillId="0" borderId="25" xfId="0" applyNumberFormat="1" applyFont="1" applyFill="1" applyBorder="1" applyAlignment="1" applyProtection="1">
      <alignment horizontal="center" vertical="center"/>
    </xf>
    <xf numFmtId="171" fontId="7" fillId="0" borderId="26" xfId="0" applyNumberFormat="1" applyFont="1" applyFill="1" applyBorder="1" applyAlignment="1" applyProtection="1">
      <alignment horizontal="center" vertical="center"/>
    </xf>
    <xf numFmtId="172" fontId="7" fillId="0" borderId="25" xfId="0" applyNumberFormat="1" applyFont="1" applyFill="1" applyBorder="1" applyAlignment="1" applyProtection="1">
      <alignment horizontal="center" vertical="center"/>
    </xf>
    <xf numFmtId="172" fontId="7" fillId="0" borderId="26" xfId="0" applyNumberFormat="1" applyFont="1" applyFill="1" applyBorder="1" applyAlignment="1" applyProtection="1">
      <alignment horizontal="center" vertical="center"/>
    </xf>
    <xf numFmtId="3" fontId="7" fillId="0" borderId="31" xfId="0" applyNumberFormat="1" applyFont="1" applyFill="1" applyBorder="1" applyAlignment="1" applyProtection="1">
      <alignment horizontal="center" vertical="center"/>
    </xf>
    <xf numFmtId="3" fontId="7" fillId="0" borderId="25" xfId="0" applyNumberFormat="1" applyFont="1" applyFill="1" applyBorder="1" applyAlignment="1" applyProtection="1">
      <alignment horizontal="center" vertical="center" wrapText="1"/>
    </xf>
    <xf numFmtId="3" fontId="7" fillId="0" borderId="26" xfId="0" applyNumberFormat="1" applyFont="1" applyFill="1" applyBorder="1" applyAlignment="1" applyProtection="1">
      <alignment horizontal="center" vertical="center" wrapText="1"/>
    </xf>
    <xf numFmtId="3" fontId="7" fillId="0" borderId="10"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174" fontId="7" fillId="0" borderId="25" xfId="3" applyNumberFormat="1" applyFont="1" applyFill="1" applyBorder="1" applyAlignment="1" applyProtection="1">
      <alignment horizontal="right" vertical="center"/>
    </xf>
    <xf numFmtId="174" fontId="7" fillId="0" borderId="26" xfId="3" applyNumberFormat="1" applyFont="1" applyFill="1" applyBorder="1" applyAlignment="1" applyProtection="1">
      <alignment horizontal="right" vertical="center"/>
    </xf>
    <xf numFmtId="0" fontId="17" fillId="22" borderId="10" xfId="0" applyFont="1" applyFill="1" applyBorder="1" applyAlignment="1" applyProtection="1">
      <alignment horizontal="center" vertical="center" wrapText="1"/>
    </xf>
    <xf numFmtId="0" fontId="16" fillId="17" borderId="10" xfId="0" applyFont="1" applyFill="1" applyBorder="1" applyAlignment="1" applyProtection="1">
      <alignment horizontal="center" vertical="center" wrapText="1"/>
      <protection hidden="1"/>
    </xf>
    <xf numFmtId="0" fontId="17" fillId="23" borderId="10" xfId="0" applyFont="1" applyFill="1" applyBorder="1" applyAlignment="1" applyProtection="1">
      <alignment horizontal="center" vertical="center" wrapText="1"/>
    </xf>
    <xf numFmtId="0" fontId="16" fillId="24" borderId="10" xfId="0" applyFont="1" applyFill="1" applyBorder="1" applyAlignment="1" applyProtection="1">
      <alignment horizontal="center" vertical="center" wrapText="1"/>
      <protection hidden="1"/>
    </xf>
    <xf numFmtId="171" fontId="7" fillId="0" borderId="10" xfId="26" applyNumberFormat="1" applyFont="1" applyFill="1" applyBorder="1" applyAlignment="1" applyProtection="1">
      <alignment horizontal="center" vertical="center"/>
    </xf>
    <xf numFmtId="0" fontId="16" fillId="22" borderId="27" xfId="0" applyFont="1" applyFill="1" applyBorder="1" applyAlignment="1" applyProtection="1">
      <alignment horizontal="center" vertical="center"/>
    </xf>
    <xf numFmtId="0" fontId="10" fillId="16" borderId="10" xfId="0" applyFont="1" applyFill="1" applyBorder="1" applyAlignment="1" applyProtection="1">
      <alignment horizontal="center" vertical="center" wrapText="1"/>
      <protection locked="0"/>
    </xf>
    <xf numFmtId="171" fontId="11" fillId="0" borderId="17" xfId="26" applyNumberFormat="1" applyFont="1" applyFill="1" applyBorder="1" applyAlignment="1" applyProtection="1">
      <alignment horizontal="center" vertical="center"/>
    </xf>
    <xf numFmtId="171" fontId="11" fillId="0" borderId="3" xfId="26" applyNumberFormat="1" applyFont="1" applyFill="1" applyBorder="1" applyAlignment="1" applyProtection="1">
      <alignment horizontal="center" vertical="center"/>
    </xf>
    <xf numFmtId="171" fontId="7" fillId="0" borderId="4" xfId="26" applyNumberFormat="1" applyFont="1" applyFill="1" applyBorder="1" applyAlignment="1" applyProtection="1">
      <alignment horizontal="center" vertical="center"/>
    </xf>
    <xf numFmtId="171" fontId="7" fillId="0" borderId="17" xfId="26" applyNumberFormat="1" applyFont="1" applyFill="1" applyBorder="1" applyAlignment="1" applyProtection="1">
      <alignment horizontal="center" vertical="center"/>
    </xf>
    <xf numFmtId="171" fontId="7" fillId="0" borderId="20" xfId="26" applyNumberFormat="1" applyFont="1" applyFill="1" applyBorder="1" applyAlignment="1" applyProtection="1">
      <alignment horizontal="center" vertical="center"/>
    </xf>
    <xf numFmtId="171" fontId="7" fillId="0" borderId="3" xfId="26" applyNumberFormat="1" applyFont="1" applyFill="1" applyBorder="1" applyAlignment="1" applyProtection="1">
      <alignment horizontal="center" vertical="center"/>
    </xf>
    <xf numFmtId="171" fontId="7" fillId="0" borderId="4" xfId="26" applyNumberFormat="1" applyFont="1" applyFill="1" applyBorder="1" applyAlignment="1" applyProtection="1">
      <alignment vertical="center"/>
    </xf>
    <xf numFmtId="171" fontId="7" fillId="0" borderId="17" xfId="26" applyNumberFormat="1" applyFont="1" applyFill="1" applyBorder="1" applyAlignment="1" applyProtection="1">
      <alignment vertical="center"/>
    </xf>
    <xf numFmtId="171" fontId="7" fillId="0" borderId="20" xfId="26" applyNumberFormat="1" applyFont="1" applyFill="1" applyBorder="1" applyAlignment="1" applyProtection="1">
      <alignment vertical="center"/>
    </xf>
    <xf numFmtId="171" fontId="7" fillId="0" borderId="3" xfId="26" applyNumberFormat="1" applyFont="1" applyFill="1" applyBorder="1" applyAlignment="1" applyProtection="1">
      <alignment vertical="center"/>
    </xf>
    <xf numFmtId="171" fontId="7" fillId="0" borderId="10" xfId="0" applyNumberFormat="1" applyFont="1" applyFill="1" applyBorder="1" applyAlignment="1" applyProtection="1">
      <alignment horizontal="center" vertical="center"/>
    </xf>
    <xf numFmtId="172" fontId="7" fillId="0" borderId="17" xfId="0" applyNumberFormat="1" applyFont="1" applyFill="1" applyBorder="1" applyAlignment="1" applyProtection="1">
      <alignment horizontal="center" vertical="center"/>
    </xf>
    <xf numFmtId="172" fontId="7" fillId="0" borderId="3" xfId="0" applyNumberFormat="1" applyFont="1" applyFill="1" applyBorder="1" applyAlignment="1" applyProtection="1">
      <alignment horizontal="center" vertical="center"/>
    </xf>
    <xf numFmtId="171" fontId="7" fillId="0" borderId="6" xfId="26" applyNumberFormat="1" applyFont="1" applyFill="1" applyBorder="1" applyAlignment="1" applyProtection="1">
      <alignment horizontal="center" vertical="center"/>
    </xf>
    <xf numFmtId="171" fontId="7" fillId="0" borderId="32" xfId="26" applyNumberFormat="1" applyFont="1" applyFill="1" applyBorder="1" applyAlignment="1" applyProtection="1">
      <alignment horizontal="center" vertical="center"/>
    </xf>
    <xf numFmtId="174" fontId="7" fillId="0" borderId="4" xfId="3" applyNumberFormat="1" applyFont="1" applyFill="1" applyBorder="1" applyAlignment="1" applyProtection="1">
      <alignment horizontal="right" vertical="center"/>
    </xf>
    <xf numFmtId="174" fontId="7" fillId="0" borderId="17" xfId="3" applyNumberFormat="1" applyFont="1" applyFill="1" applyBorder="1" applyAlignment="1" applyProtection="1">
      <alignment horizontal="right" vertical="center"/>
    </xf>
    <xf numFmtId="174" fontId="7" fillId="0" borderId="20" xfId="3" applyNumberFormat="1" applyFont="1" applyFill="1" applyBorder="1" applyAlignment="1" applyProtection="1">
      <alignment horizontal="right" vertical="center"/>
    </xf>
    <xf numFmtId="174" fontId="7" fillId="0" borderId="3" xfId="3" applyNumberFormat="1" applyFont="1" applyFill="1" applyBorder="1" applyAlignment="1" applyProtection="1">
      <alignment horizontal="right" vertical="center"/>
    </xf>
    <xf numFmtId="0" fontId="8" fillId="33" borderId="11" xfId="0" applyFont="1" applyFill="1" applyBorder="1" applyAlignment="1" applyProtection="1">
      <alignment horizontal="center" vertical="center" wrapText="1"/>
      <protection hidden="1"/>
    </xf>
    <xf numFmtId="0" fontId="8" fillId="33" borderId="27" xfId="0" applyFont="1" applyFill="1" applyBorder="1" applyAlignment="1" applyProtection="1">
      <alignment horizontal="center" vertical="center" wrapText="1"/>
      <protection hidden="1"/>
    </xf>
    <xf numFmtId="0" fontId="8" fillId="33" borderId="23" xfId="0" applyFont="1" applyFill="1" applyBorder="1" applyAlignment="1" applyProtection="1">
      <alignment horizontal="center" vertical="center" wrapText="1"/>
      <protection hidden="1"/>
    </xf>
    <xf numFmtId="3" fontId="63" fillId="23" borderId="11" xfId="16" applyNumberFormat="1" applyFont="1" applyFill="1" applyBorder="1" applyAlignment="1" applyProtection="1">
      <alignment horizontal="center" vertical="center"/>
    </xf>
    <xf numFmtId="3" fontId="63" fillId="23" borderId="27" xfId="16" applyNumberFormat="1" applyFont="1" applyFill="1" applyBorder="1" applyAlignment="1" applyProtection="1">
      <alignment horizontal="center" vertical="center"/>
    </xf>
    <xf numFmtId="3" fontId="63" fillId="23" borderId="23" xfId="16" applyNumberFormat="1" applyFont="1" applyFill="1" applyBorder="1" applyAlignment="1" applyProtection="1">
      <alignment horizontal="center" vertical="center"/>
    </xf>
    <xf numFmtId="0" fontId="8" fillId="22" borderId="11" xfId="0" applyFont="1" applyFill="1" applyBorder="1" applyAlignment="1" applyProtection="1">
      <alignment horizontal="center" vertical="center" wrapText="1"/>
    </xf>
    <xf numFmtId="0" fontId="8" fillId="22" borderId="27" xfId="0" applyFont="1" applyFill="1" applyBorder="1" applyAlignment="1" applyProtection="1">
      <alignment horizontal="center" vertical="center" wrapText="1"/>
    </xf>
    <xf numFmtId="0" fontId="8" fillId="22" borderId="23" xfId="0" applyFont="1" applyFill="1" applyBorder="1" applyAlignment="1" applyProtection="1">
      <alignment horizontal="center" vertical="center" wrapText="1"/>
    </xf>
    <xf numFmtId="0" fontId="8" fillId="17" borderId="11" xfId="0" applyFont="1" applyFill="1" applyBorder="1" applyAlignment="1" applyProtection="1">
      <alignment horizontal="center" vertical="center" wrapText="1"/>
      <protection hidden="1"/>
    </xf>
    <xf numFmtId="0" fontId="8" fillId="17" borderId="27" xfId="0" applyFont="1" applyFill="1" applyBorder="1" applyAlignment="1" applyProtection="1">
      <alignment horizontal="center" vertical="center" wrapText="1"/>
      <protection hidden="1"/>
    </xf>
    <xf numFmtId="0" fontId="8" fillId="17" borderId="23" xfId="0" applyFont="1" applyFill="1" applyBorder="1" applyAlignment="1" applyProtection="1">
      <alignment horizontal="center" vertical="center" wrapText="1"/>
      <protection hidden="1"/>
    </xf>
    <xf numFmtId="0" fontId="8" fillId="22" borderId="27" xfId="0" applyFont="1" applyFill="1" applyBorder="1" applyAlignment="1" applyProtection="1">
      <alignment horizontal="center" vertical="center"/>
    </xf>
    <xf numFmtId="0" fontId="8" fillId="23" borderId="11" xfId="0" applyFont="1" applyFill="1" applyBorder="1" applyAlignment="1" applyProtection="1">
      <alignment horizontal="center" vertical="center" wrapText="1"/>
    </xf>
    <xf numFmtId="0" fontId="8" fillId="23" borderId="27" xfId="0" applyFont="1" applyFill="1" applyBorder="1" applyAlignment="1" applyProtection="1">
      <alignment horizontal="center" vertical="center" wrapText="1"/>
    </xf>
    <xf numFmtId="0" fontId="8" fillId="23" borderId="23"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71" fontId="7" fillId="0" borderId="5" xfId="26" applyNumberFormat="1" applyFont="1" applyFill="1" applyBorder="1" applyAlignment="1" applyProtection="1">
      <alignment horizontal="center" vertical="center"/>
    </xf>
    <xf numFmtId="171" fontId="7" fillId="0" borderId="21" xfId="26" applyNumberFormat="1" applyFont="1" applyFill="1" applyBorder="1" applyAlignment="1" applyProtection="1">
      <alignment horizontal="center" vertical="center"/>
    </xf>
    <xf numFmtId="44" fontId="7" fillId="0" borderId="0" xfId="10" applyFont="1" applyAlignment="1">
      <alignment horizontal="center"/>
    </xf>
    <xf numFmtId="172" fontId="7" fillId="0" borderId="4" xfId="0" applyNumberFormat="1" applyFont="1" applyFill="1" applyBorder="1" applyAlignment="1" applyProtection="1">
      <alignment horizontal="center" vertical="center"/>
    </xf>
    <xf numFmtId="172" fontId="7" fillId="0" borderId="20" xfId="0" applyNumberFormat="1" applyFont="1" applyFill="1" applyBorder="1" applyAlignment="1" applyProtection="1">
      <alignment horizontal="center" vertical="center"/>
    </xf>
    <xf numFmtId="171" fontId="7" fillId="0" borderId="4" xfId="0" applyNumberFormat="1" applyFont="1" applyFill="1" applyBorder="1" applyAlignment="1" applyProtection="1">
      <alignment horizontal="center" vertical="center"/>
    </xf>
    <xf numFmtId="171" fontId="7" fillId="0" borderId="17" xfId="0" applyNumberFormat="1" applyFont="1" applyFill="1" applyBorder="1" applyAlignment="1" applyProtection="1">
      <alignment horizontal="center" vertical="center"/>
    </xf>
    <xf numFmtId="171" fontId="7" fillId="0" borderId="20" xfId="0" applyNumberFormat="1" applyFont="1" applyFill="1" applyBorder="1" applyAlignment="1" applyProtection="1">
      <alignment horizontal="center" vertical="center"/>
    </xf>
    <xf numFmtId="171" fontId="7" fillId="0" borderId="3" xfId="0" applyNumberFormat="1" applyFont="1" applyFill="1" applyBorder="1" applyAlignment="1" applyProtection="1">
      <alignment horizontal="center" vertical="center"/>
    </xf>
    <xf numFmtId="171" fontId="11" fillId="0" borderId="4" xfId="26" applyNumberFormat="1" applyFont="1" applyFill="1" applyBorder="1" applyAlignment="1" applyProtection="1">
      <alignment horizontal="center" vertical="center"/>
    </xf>
    <xf numFmtId="171" fontId="11" fillId="0" borderId="20" xfId="26" applyNumberFormat="1" applyFont="1" applyFill="1" applyBorder="1" applyAlignment="1" applyProtection="1">
      <alignment horizontal="center" vertical="center"/>
    </xf>
    <xf numFmtId="0" fontId="0" fillId="0" borderId="0" xfId="0" applyAlignment="1">
      <alignment horizontal="left" vertical="center" wrapText="1"/>
    </xf>
    <xf numFmtId="0" fontId="0" fillId="0" borderId="61" xfId="0" applyBorder="1" applyAlignment="1">
      <alignment horizontal="left" vertical="center" wrapText="1"/>
    </xf>
    <xf numFmtId="0" fontId="29" fillId="10" borderId="7" xfId="0" applyFont="1" applyFill="1" applyBorder="1" applyAlignment="1">
      <alignment horizontal="center" vertical="center" wrapText="1"/>
    </xf>
    <xf numFmtId="0" fontId="30" fillId="10" borderId="7" xfId="0" applyFont="1" applyFill="1" applyBorder="1" applyAlignment="1">
      <alignment horizontal="center" vertical="center"/>
    </xf>
    <xf numFmtId="0" fontId="30" fillId="10" borderId="7" xfId="0" applyFont="1" applyFill="1" applyBorder="1" applyAlignment="1">
      <alignment horizontal="center" vertical="center" wrapText="1"/>
    </xf>
    <xf numFmtId="0" fontId="52" fillId="27" borderId="0" xfId="0" applyFont="1" applyFill="1" applyAlignment="1" applyProtection="1">
      <alignment horizontal="left" vertical="center" wrapText="1"/>
    </xf>
    <xf numFmtId="0" fontId="52" fillId="27" borderId="0" xfId="0" applyFont="1" applyFill="1" applyAlignment="1" applyProtection="1">
      <alignment horizontal="left" vertical="center"/>
    </xf>
    <xf numFmtId="0" fontId="52" fillId="27" borderId="0" xfId="0" applyFont="1" applyFill="1" applyAlignment="1" applyProtection="1">
      <alignment horizontal="left"/>
    </xf>
    <xf numFmtId="0" fontId="60" fillId="31" borderId="51" xfId="20" applyFont="1" applyFill="1" applyBorder="1" applyAlignment="1" applyProtection="1">
      <alignment horizontal="center" vertical="center" wrapText="1"/>
      <protection hidden="1"/>
    </xf>
    <xf numFmtId="0" fontId="60" fillId="31" borderId="52" xfId="20" applyFont="1" applyFill="1" applyBorder="1" applyAlignment="1" applyProtection="1">
      <alignment horizontal="center" vertical="center" wrapText="1"/>
      <protection hidden="1"/>
    </xf>
    <xf numFmtId="0" fontId="60" fillId="31" borderId="53" xfId="20" applyFont="1" applyFill="1" applyBorder="1" applyAlignment="1" applyProtection="1">
      <alignment horizontal="center" vertical="center" wrapText="1"/>
      <protection hidden="1"/>
    </xf>
    <xf numFmtId="0" fontId="51" fillId="31" borderId="0" xfId="20" applyFont="1" applyFill="1" applyAlignment="1" applyProtection="1">
      <alignment horizontal="center" vertical="center"/>
    </xf>
    <xf numFmtId="0" fontId="35" fillId="13" borderId="0" xfId="20" applyFont="1" applyFill="1" applyAlignment="1" applyProtection="1">
      <alignment horizontal="right" vertical="center" wrapText="1"/>
      <protection hidden="1"/>
    </xf>
    <xf numFmtId="0" fontId="40" fillId="11" borderId="0" xfId="20" applyFont="1" applyFill="1" applyAlignment="1" applyProtection="1">
      <alignment horizontal="right" vertical="center" wrapText="1"/>
      <protection hidden="1"/>
    </xf>
    <xf numFmtId="0" fontId="39" fillId="27" borderId="0" xfId="20" applyFont="1" applyFill="1" applyAlignment="1" applyProtection="1">
      <alignment horizontal="center" vertical="center" wrapText="1"/>
      <protection hidden="1"/>
    </xf>
    <xf numFmtId="0" fontId="43" fillId="27" borderId="0" xfId="20" applyFont="1" applyFill="1" applyAlignment="1" applyProtection="1">
      <alignment horizontal="left" vertical="center"/>
      <protection hidden="1"/>
    </xf>
    <xf numFmtId="0" fontId="47" fillId="27" borderId="0" xfId="20" applyFont="1" applyFill="1" applyAlignment="1" applyProtection="1">
      <alignment horizontal="left" vertical="center"/>
      <protection hidden="1"/>
    </xf>
    <xf numFmtId="0" fontId="60" fillId="31" borderId="38" xfId="22" applyFont="1" applyFill="1" applyBorder="1" applyAlignment="1" applyProtection="1">
      <alignment horizontal="center" vertical="center" wrapText="1"/>
      <protection hidden="1"/>
    </xf>
    <xf numFmtId="0" fontId="60" fillId="31" borderId="49" xfId="22" applyFont="1" applyFill="1" applyBorder="1" applyAlignment="1" applyProtection="1">
      <alignment horizontal="center" vertical="center" wrapText="1"/>
      <protection hidden="1"/>
    </xf>
    <xf numFmtId="0" fontId="60" fillId="31" borderId="50" xfId="22" applyFont="1" applyFill="1" applyBorder="1" applyAlignment="1" applyProtection="1">
      <alignment horizontal="center" vertical="center" wrapText="1"/>
      <protection hidden="1"/>
    </xf>
    <xf numFmtId="0" fontId="48" fillId="36" borderId="34" xfId="16" applyFont="1" applyFill="1" applyBorder="1" applyAlignment="1" applyProtection="1">
      <alignment horizontal="center" vertical="center" wrapText="1"/>
    </xf>
  </cellXfs>
  <cellStyles count="28">
    <cellStyle name="Euro" xfId="1"/>
    <cellStyle name="Excel Built-in Normal 2" xfId="2"/>
    <cellStyle name="Millares" xfId="3" builtinId="3"/>
    <cellStyle name="Millares 2" xfId="4"/>
    <cellStyle name="Millares 3" xfId="5"/>
    <cellStyle name="Millares 4" xfId="6"/>
    <cellStyle name="Millares 5" xfId="7"/>
    <cellStyle name="Millares 6" xfId="8"/>
    <cellStyle name="Millares 7" xfId="9"/>
    <cellStyle name="Moneda" xfId="10" builtinId="4"/>
    <cellStyle name="Moneda 2" xfId="11"/>
    <cellStyle name="Moneda 2 2" xfId="12"/>
    <cellStyle name="Moneda 2 2 2" xfId="13"/>
    <cellStyle name="Moneda 3" xfId="14"/>
    <cellStyle name="Moneda 4" xfId="15"/>
    <cellStyle name="Normal" xfId="0" builtinId="0"/>
    <cellStyle name="Normal 2" xfId="16"/>
    <cellStyle name="Normal 3" xfId="17"/>
    <cellStyle name="Normal 4" xfId="18"/>
    <cellStyle name="Normal 5" xfId="19"/>
    <cellStyle name="Normal 5 2" xfId="20"/>
    <cellStyle name="Normal 6" xfId="21"/>
    <cellStyle name="Normal 7" xfId="22"/>
    <cellStyle name="Normal_CRP Septiembre" xfId="23"/>
    <cellStyle name="Porcentaje" xfId="24" builtinId="5"/>
    <cellStyle name="Porcentual 2" xfId="25"/>
    <cellStyle name="TableStyleLight1" xfId="26"/>
    <cellStyle name="TableStyleLight1 2"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27</xdr:row>
      <xdr:rowOff>171450</xdr:rowOff>
    </xdr:to>
    <xdr:sp macro="" textlink="">
      <xdr:nvSpPr>
        <xdr:cNvPr id="162932" name="shapetype_202" hidden="1"/>
        <xdr:cNvSpPr txBox="1">
          <a:spLocks noChangeArrowheads="1"/>
        </xdr:cNvSpPr>
      </xdr:nvSpPr>
      <xdr:spPr bwMode="auto">
        <a:xfrm>
          <a:off x="0" y="0"/>
          <a:ext cx="8115300" cy="55911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20</xdr:col>
      <xdr:colOff>0</xdr:colOff>
      <xdr:row>27</xdr:row>
      <xdr:rowOff>171450</xdr:rowOff>
    </xdr:to>
    <xdr:sp macro="" textlink="">
      <xdr:nvSpPr>
        <xdr:cNvPr id="162933" name="shapetype_202" hidden="1"/>
        <xdr:cNvSpPr txBox="1">
          <a:spLocks noChangeArrowheads="1"/>
        </xdr:cNvSpPr>
      </xdr:nvSpPr>
      <xdr:spPr bwMode="auto">
        <a:xfrm>
          <a:off x="0" y="0"/>
          <a:ext cx="8115300" cy="55911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20</xdr:col>
      <xdr:colOff>0</xdr:colOff>
      <xdr:row>27</xdr:row>
      <xdr:rowOff>171450</xdr:rowOff>
    </xdr:to>
    <xdr:sp macro="" textlink="">
      <xdr:nvSpPr>
        <xdr:cNvPr id="162934" name="shapetype_202" hidden="1"/>
        <xdr:cNvSpPr txBox="1">
          <a:spLocks noChangeArrowheads="1"/>
        </xdr:cNvSpPr>
      </xdr:nvSpPr>
      <xdr:spPr bwMode="auto">
        <a:xfrm>
          <a:off x="0" y="0"/>
          <a:ext cx="8115300" cy="55911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20</xdr:col>
      <xdr:colOff>0</xdr:colOff>
      <xdr:row>27</xdr:row>
      <xdr:rowOff>171450</xdr:rowOff>
    </xdr:to>
    <xdr:sp macro="" textlink="">
      <xdr:nvSpPr>
        <xdr:cNvPr id="162935" name="shapetype_202" hidden="1"/>
        <xdr:cNvSpPr txBox="1">
          <a:spLocks noChangeArrowheads="1"/>
        </xdr:cNvSpPr>
      </xdr:nvSpPr>
      <xdr:spPr bwMode="auto">
        <a:xfrm>
          <a:off x="0" y="0"/>
          <a:ext cx="8115300" cy="5591175"/>
        </a:xfrm>
        <a:prstGeom prst="rect">
          <a:avLst/>
        </a:prstGeom>
        <a:solidFill>
          <a:srgbClr val="FFFFFF"/>
        </a:solidFill>
        <a:ln w="9360" cap="sq">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18</xdr:row>
      <xdr:rowOff>219075</xdr:rowOff>
    </xdr:to>
    <xdr:sp macro="" textlink="">
      <xdr:nvSpPr>
        <xdr:cNvPr id="163956" name="shapetype_202" hidden="1"/>
        <xdr:cNvSpPr txBox="1">
          <a:spLocks noChangeArrowheads="1"/>
        </xdr:cNvSpPr>
      </xdr:nvSpPr>
      <xdr:spPr bwMode="auto">
        <a:xfrm>
          <a:off x="0" y="0"/>
          <a:ext cx="8972550" cy="40290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18</xdr:row>
      <xdr:rowOff>219075</xdr:rowOff>
    </xdr:to>
    <xdr:sp macro="" textlink="">
      <xdr:nvSpPr>
        <xdr:cNvPr id="163957" name="shapetype_202" hidden="1"/>
        <xdr:cNvSpPr txBox="1">
          <a:spLocks noChangeArrowheads="1"/>
        </xdr:cNvSpPr>
      </xdr:nvSpPr>
      <xdr:spPr bwMode="auto">
        <a:xfrm>
          <a:off x="0" y="0"/>
          <a:ext cx="8972550" cy="40290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18</xdr:row>
      <xdr:rowOff>219075</xdr:rowOff>
    </xdr:to>
    <xdr:sp macro="" textlink="">
      <xdr:nvSpPr>
        <xdr:cNvPr id="163958" name="shapetype_202" hidden="1"/>
        <xdr:cNvSpPr txBox="1">
          <a:spLocks noChangeArrowheads="1"/>
        </xdr:cNvSpPr>
      </xdr:nvSpPr>
      <xdr:spPr bwMode="auto">
        <a:xfrm>
          <a:off x="0" y="0"/>
          <a:ext cx="8972550" cy="40290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18</xdr:row>
      <xdr:rowOff>219075</xdr:rowOff>
    </xdr:to>
    <xdr:sp macro="" textlink="">
      <xdr:nvSpPr>
        <xdr:cNvPr id="163959" name="shapetype_202" hidden="1"/>
        <xdr:cNvSpPr txBox="1">
          <a:spLocks noChangeArrowheads="1"/>
        </xdr:cNvSpPr>
      </xdr:nvSpPr>
      <xdr:spPr bwMode="auto">
        <a:xfrm>
          <a:off x="0" y="0"/>
          <a:ext cx="8972550" cy="4029075"/>
        </a:xfrm>
        <a:prstGeom prst="rect">
          <a:avLst/>
        </a:prstGeom>
        <a:solidFill>
          <a:srgbClr val="FFFFFF"/>
        </a:solidFill>
        <a:ln w="9360" cap="sq">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24</xdr:row>
      <xdr:rowOff>219075</xdr:rowOff>
    </xdr:to>
    <xdr:sp macro="" textlink="">
      <xdr:nvSpPr>
        <xdr:cNvPr id="164980" name="shapetype_202" hidden="1"/>
        <xdr:cNvSpPr txBox="1">
          <a:spLocks noChangeArrowheads="1"/>
        </xdr:cNvSpPr>
      </xdr:nvSpPr>
      <xdr:spPr bwMode="auto">
        <a:xfrm>
          <a:off x="0" y="0"/>
          <a:ext cx="9429750" cy="10953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24</xdr:row>
      <xdr:rowOff>219075</xdr:rowOff>
    </xdr:to>
    <xdr:sp macro="" textlink="">
      <xdr:nvSpPr>
        <xdr:cNvPr id="164981" name="shapetype_202" hidden="1"/>
        <xdr:cNvSpPr txBox="1">
          <a:spLocks noChangeArrowheads="1"/>
        </xdr:cNvSpPr>
      </xdr:nvSpPr>
      <xdr:spPr bwMode="auto">
        <a:xfrm>
          <a:off x="0" y="0"/>
          <a:ext cx="9429750" cy="10953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24</xdr:row>
      <xdr:rowOff>219075</xdr:rowOff>
    </xdr:to>
    <xdr:sp macro="" textlink="">
      <xdr:nvSpPr>
        <xdr:cNvPr id="164982" name="shapetype_202" hidden="1"/>
        <xdr:cNvSpPr txBox="1">
          <a:spLocks noChangeArrowheads="1"/>
        </xdr:cNvSpPr>
      </xdr:nvSpPr>
      <xdr:spPr bwMode="auto">
        <a:xfrm>
          <a:off x="0" y="0"/>
          <a:ext cx="9429750" cy="109537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24</xdr:row>
      <xdr:rowOff>219075</xdr:rowOff>
    </xdr:to>
    <xdr:sp macro="" textlink="">
      <xdr:nvSpPr>
        <xdr:cNvPr id="164983" name="shapetype_202" hidden="1"/>
        <xdr:cNvSpPr txBox="1">
          <a:spLocks noChangeArrowheads="1"/>
        </xdr:cNvSpPr>
      </xdr:nvSpPr>
      <xdr:spPr bwMode="auto">
        <a:xfrm>
          <a:off x="0" y="0"/>
          <a:ext cx="9429750" cy="1095375"/>
        </a:xfrm>
        <a:prstGeom prst="rect">
          <a:avLst/>
        </a:prstGeom>
        <a:solidFill>
          <a:srgbClr val="FFFFFF"/>
        </a:solidFill>
        <a:ln w="9360" cap="sq">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16</xdr:row>
      <xdr:rowOff>219075</xdr:rowOff>
    </xdr:to>
    <xdr:sp macro="" textlink="">
      <xdr:nvSpPr>
        <xdr:cNvPr id="166004" name="shapetype_202" hidden="1"/>
        <xdr:cNvSpPr txBox="1">
          <a:spLocks noChangeArrowheads="1"/>
        </xdr:cNvSpPr>
      </xdr:nvSpPr>
      <xdr:spPr bwMode="auto">
        <a:xfrm>
          <a:off x="0" y="0"/>
          <a:ext cx="8486775" cy="1257300"/>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16</xdr:row>
      <xdr:rowOff>219075</xdr:rowOff>
    </xdr:to>
    <xdr:sp macro="" textlink="">
      <xdr:nvSpPr>
        <xdr:cNvPr id="166005" name="shapetype_202" hidden="1"/>
        <xdr:cNvSpPr txBox="1">
          <a:spLocks noChangeArrowheads="1"/>
        </xdr:cNvSpPr>
      </xdr:nvSpPr>
      <xdr:spPr bwMode="auto">
        <a:xfrm>
          <a:off x="0" y="0"/>
          <a:ext cx="8486775" cy="1257300"/>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16</xdr:row>
      <xdr:rowOff>219075</xdr:rowOff>
    </xdr:to>
    <xdr:sp macro="" textlink="">
      <xdr:nvSpPr>
        <xdr:cNvPr id="166006" name="shapetype_202" hidden="1"/>
        <xdr:cNvSpPr txBox="1">
          <a:spLocks noChangeArrowheads="1"/>
        </xdr:cNvSpPr>
      </xdr:nvSpPr>
      <xdr:spPr bwMode="auto">
        <a:xfrm>
          <a:off x="0" y="0"/>
          <a:ext cx="8486775" cy="1257300"/>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16</xdr:row>
      <xdr:rowOff>219075</xdr:rowOff>
    </xdr:to>
    <xdr:sp macro="" textlink="">
      <xdr:nvSpPr>
        <xdr:cNvPr id="166007" name="shapetype_202" hidden="1"/>
        <xdr:cNvSpPr txBox="1">
          <a:spLocks noChangeArrowheads="1"/>
        </xdr:cNvSpPr>
      </xdr:nvSpPr>
      <xdr:spPr bwMode="auto">
        <a:xfrm>
          <a:off x="0" y="0"/>
          <a:ext cx="8486775" cy="1257300"/>
        </a:xfrm>
        <a:prstGeom prst="rect">
          <a:avLst/>
        </a:prstGeom>
        <a:solidFill>
          <a:srgbClr val="FFFFFF"/>
        </a:solidFill>
        <a:ln w="9360" cap="sq">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15</xdr:row>
      <xdr:rowOff>219075</xdr:rowOff>
    </xdr:to>
    <xdr:sp macro="" textlink="">
      <xdr:nvSpPr>
        <xdr:cNvPr id="167028" name="shapetype_202" hidden="1"/>
        <xdr:cNvSpPr txBox="1">
          <a:spLocks noChangeArrowheads="1"/>
        </xdr:cNvSpPr>
      </xdr:nvSpPr>
      <xdr:spPr bwMode="auto">
        <a:xfrm>
          <a:off x="0" y="0"/>
          <a:ext cx="8486775" cy="4686300"/>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15</xdr:row>
      <xdr:rowOff>219075</xdr:rowOff>
    </xdr:to>
    <xdr:sp macro="" textlink="">
      <xdr:nvSpPr>
        <xdr:cNvPr id="167029" name="shapetype_202" hidden="1"/>
        <xdr:cNvSpPr txBox="1">
          <a:spLocks noChangeArrowheads="1"/>
        </xdr:cNvSpPr>
      </xdr:nvSpPr>
      <xdr:spPr bwMode="auto">
        <a:xfrm>
          <a:off x="0" y="0"/>
          <a:ext cx="8486775" cy="4686300"/>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15</xdr:row>
      <xdr:rowOff>219075</xdr:rowOff>
    </xdr:to>
    <xdr:sp macro="" textlink="">
      <xdr:nvSpPr>
        <xdr:cNvPr id="167030" name="shapetype_202" hidden="1"/>
        <xdr:cNvSpPr txBox="1">
          <a:spLocks noChangeArrowheads="1"/>
        </xdr:cNvSpPr>
      </xdr:nvSpPr>
      <xdr:spPr bwMode="auto">
        <a:xfrm>
          <a:off x="0" y="0"/>
          <a:ext cx="8486775" cy="4686300"/>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9</xdr:col>
      <xdr:colOff>0</xdr:colOff>
      <xdr:row>15</xdr:row>
      <xdr:rowOff>219075</xdr:rowOff>
    </xdr:to>
    <xdr:sp macro="" textlink="">
      <xdr:nvSpPr>
        <xdr:cNvPr id="167031" name="shapetype_202" hidden="1"/>
        <xdr:cNvSpPr txBox="1">
          <a:spLocks noChangeArrowheads="1"/>
        </xdr:cNvSpPr>
      </xdr:nvSpPr>
      <xdr:spPr bwMode="auto">
        <a:xfrm>
          <a:off x="0" y="0"/>
          <a:ext cx="8486775" cy="4686300"/>
        </a:xfrm>
        <a:prstGeom prst="rect">
          <a:avLst/>
        </a:prstGeom>
        <a:solidFill>
          <a:srgbClr val="FFFFFF"/>
        </a:solidFill>
        <a:ln w="9360" cap="sq">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542925</xdr:colOff>
      <xdr:row>2</xdr:row>
      <xdr:rowOff>200025</xdr:rowOff>
    </xdr:to>
    <xdr:sp macro="" textlink="">
      <xdr:nvSpPr>
        <xdr:cNvPr id="167994" name="shapetype_202" hidden="1"/>
        <xdr:cNvSpPr txBox="1">
          <a:spLocks noChangeArrowheads="1"/>
        </xdr:cNvSpPr>
      </xdr:nvSpPr>
      <xdr:spPr bwMode="auto">
        <a:xfrm>
          <a:off x="0" y="0"/>
          <a:ext cx="9172575" cy="1724025"/>
        </a:xfrm>
        <a:prstGeom prst="rect">
          <a:avLst/>
        </a:prstGeom>
        <a:solidFill>
          <a:srgbClr val="FFFFFF"/>
        </a:solidFill>
        <a:ln w="9360" cap="sq">
          <a:solidFill>
            <a:srgbClr val="000000"/>
          </a:solidFill>
          <a:miter lim="800000"/>
          <a:headEnd/>
          <a:tailEnd/>
        </a:ln>
      </xdr:spPr>
    </xdr:sp>
    <xdr:clientData/>
  </xdr:twoCellAnchor>
  <xdr:twoCellAnchor>
    <xdr:from>
      <xdr:col>0</xdr:col>
      <xdr:colOff>0</xdr:colOff>
      <xdr:row>0</xdr:row>
      <xdr:rowOff>0</xdr:rowOff>
    </xdr:from>
    <xdr:to>
      <xdr:col>7</xdr:col>
      <xdr:colOff>542925</xdr:colOff>
      <xdr:row>2</xdr:row>
      <xdr:rowOff>200025</xdr:rowOff>
    </xdr:to>
    <xdr:sp macro="" textlink="">
      <xdr:nvSpPr>
        <xdr:cNvPr id="167995" name="shapetype_202" hidden="1"/>
        <xdr:cNvSpPr txBox="1">
          <a:spLocks noChangeArrowheads="1"/>
        </xdr:cNvSpPr>
      </xdr:nvSpPr>
      <xdr:spPr bwMode="auto">
        <a:xfrm>
          <a:off x="0" y="0"/>
          <a:ext cx="9172575" cy="1724025"/>
        </a:xfrm>
        <a:prstGeom prst="rect">
          <a:avLst/>
        </a:prstGeom>
        <a:solidFill>
          <a:srgbClr val="FFFFFF"/>
        </a:solidFill>
        <a:ln w="9360" cap="sq">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119064</xdr:rowOff>
    </xdr:from>
    <xdr:to>
      <xdr:col>23</xdr:col>
      <xdr:colOff>1123950</xdr:colOff>
      <xdr:row>4</xdr:row>
      <xdr:rowOff>1</xdr:rowOff>
    </xdr:to>
    <xdr:sp macro="" textlink="">
      <xdr:nvSpPr>
        <xdr:cNvPr id="2" name="Rectangle 2"/>
        <xdr:cNvSpPr>
          <a:spLocks noChangeArrowheads="1"/>
        </xdr:cNvSpPr>
      </xdr:nvSpPr>
      <xdr:spPr bwMode="auto">
        <a:xfrm>
          <a:off x="219075" y="119064"/>
          <a:ext cx="16649700" cy="928687"/>
        </a:xfrm>
        <a:prstGeom prst="rect">
          <a:avLst/>
        </a:prstGeom>
        <a:gradFill flip="none" rotWithShape="1">
          <a:gsLst>
            <a:gs pos="0">
              <a:srgbClr val="8A103C"/>
            </a:gs>
            <a:gs pos="100000">
              <a:srgbClr val="BA1651"/>
            </a:gs>
          </a:gsLst>
          <a:lin ang="16200000" scaled="1"/>
          <a:tileRect/>
        </a:gradFill>
        <a:ln w="12700">
          <a:noFill/>
          <a:miter lim="800000"/>
          <a:headEnd/>
          <a:tailEnd/>
        </a:ln>
      </xdr:spPr>
      <xdr:txBody>
        <a:bodyPr vertOverflow="clip" wrap="square" lIns="182880" tIns="45720" rIns="182880" bIns="45720" anchor="ctr" upright="1"/>
        <a:lstStyle/>
        <a:p>
          <a:pPr marL="0" indent="0" algn="l" rtl="0">
            <a:lnSpc>
              <a:spcPts val="1900"/>
            </a:lnSpc>
            <a:defRPr sz="1000"/>
          </a:pPr>
          <a:r>
            <a:rPr lang="es-CO" sz="1800" b="1" i="0" u="none" strike="noStrike" baseline="0">
              <a:solidFill>
                <a:srgbClr val="FFFFFF"/>
              </a:solidFill>
              <a:latin typeface="Arial Rounded MT Bold"/>
              <a:ea typeface="+mn-ea"/>
              <a:cs typeface="+mn-cs"/>
            </a:rPr>
            <a:t>Informe Ejecutivo Avance de Metas PDL </a:t>
          </a:r>
        </a:p>
        <a:p>
          <a:pPr marL="0" indent="0" algn="l" rtl="0">
            <a:lnSpc>
              <a:spcPts val="1200"/>
            </a:lnSpc>
            <a:defRPr sz="1000"/>
          </a:pPr>
          <a:r>
            <a:rPr lang="es-ES_tradnl" sz="1200" b="1" i="0" u="none" strike="noStrike" baseline="0">
              <a:solidFill>
                <a:schemeClr val="bg1"/>
              </a:solidFill>
              <a:latin typeface="Arial Rounded MT Bold"/>
              <a:ea typeface="+mn-ea"/>
              <a:cs typeface="+mn-cs"/>
            </a:rPr>
            <a:t>Corte 31 de Diciembre de 2016</a:t>
          </a:r>
          <a:endParaRPr lang="es-CO" sz="1200" b="1" i="0" u="none" strike="noStrike" baseline="0">
            <a:solidFill>
              <a:schemeClr val="bg1"/>
            </a:solidFill>
            <a:latin typeface="Arial Rounded MT Bold"/>
            <a:ea typeface="+mn-ea"/>
            <a:cs typeface="+mn-cs"/>
          </a:endParaRPr>
        </a:p>
        <a:p>
          <a:pPr marL="0" indent="0" algn="l" rtl="0">
            <a:lnSpc>
              <a:spcPts val="1300"/>
            </a:lnSpc>
            <a:defRPr sz="1000"/>
          </a:pPr>
          <a:r>
            <a:rPr lang="es-CO" sz="1200" b="1" i="0" u="none" strike="noStrike" baseline="0">
              <a:solidFill>
                <a:schemeClr val="bg1"/>
              </a:solidFill>
              <a:latin typeface="Arial Rounded MT Bold"/>
              <a:ea typeface="+mn-ea"/>
              <a:cs typeface="+mn-cs"/>
            </a:rPr>
            <a:t>Basado en información MUSI 2013-2016</a:t>
          </a:r>
        </a:p>
        <a:p>
          <a:pPr marL="0" indent="0" algn="l" rtl="0">
            <a:lnSpc>
              <a:spcPts val="1100"/>
            </a:lnSpc>
            <a:defRPr sz="1000"/>
          </a:pPr>
          <a:r>
            <a:rPr lang="es-CO" sz="1050" b="1" i="0" u="none" strike="noStrike" baseline="0">
              <a:solidFill>
                <a:srgbClr val="FFFF00"/>
              </a:solidFill>
              <a:latin typeface="Arial Rounded MT Bold"/>
              <a:ea typeface="+mn-ea"/>
              <a:cs typeface="+mn-cs"/>
            </a:rPr>
            <a:t>Dirección de Planes de Desarrrollo y Fortalecimiento Local-SDP</a:t>
          </a:r>
        </a:p>
        <a:p>
          <a:pPr marL="0" indent="0" algn="l" rtl="0">
            <a:lnSpc>
              <a:spcPts val="2600"/>
            </a:lnSpc>
            <a:defRPr sz="1000"/>
          </a:pPr>
          <a:endParaRPr lang="es-CO" sz="2600" b="1" i="0" u="none" strike="noStrike" baseline="0">
            <a:solidFill>
              <a:srgbClr val="FFFFFF"/>
            </a:solidFill>
            <a:latin typeface="Arial Rounded MT Bold"/>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dor\Mis%20documentos\Downloads\MUSI+BOSA+2+de+may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aptop\Desktop\SDP\LOCALIDADES\Informe%202013%20-%20I\MUSI%20-%20Seguimiento%20ponderado%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udinAdriana\Downloads\Informe%20Ejecutivo%20Avance%20de%20Metas%20PDL%20-MU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Unificada de Seguimiento"/>
      <sheetName val="PMR"/>
      <sheetName val="Hoja2"/>
      <sheetName val="Hoja1"/>
    </sheetNames>
    <sheetDataSet>
      <sheetData sheetId="0" refreshError="1"/>
      <sheetData sheetId="1" refreshError="1"/>
      <sheetData sheetId="2" refreshError="1"/>
      <sheetData sheetId="3" refreshError="1">
        <row r="43">
          <cell r="A43" t="str">
            <v>Anulado</v>
          </cell>
        </row>
        <row r="44">
          <cell r="A44" t="str">
            <v>Por iniciar</v>
          </cell>
        </row>
        <row r="45">
          <cell r="A45" t="str">
            <v>En ejecución</v>
          </cell>
        </row>
        <row r="46">
          <cell r="A46" t="str">
            <v>En proceso de liquidación</v>
          </cell>
        </row>
        <row r="47">
          <cell r="A47" t="str">
            <v>Liquidado</v>
          </cell>
        </row>
        <row r="48">
          <cell r="A48" t="str">
            <v>Caducado</v>
          </cell>
        </row>
        <row r="49">
          <cell r="A49" t="str">
            <v>Suspendido</v>
          </cell>
        </row>
        <row r="50">
          <cell r="A50" t="str">
            <v>Declaratoria de incumplimiento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Unificada de Seguimiento"/>
      <sheetName val="Hoja2"/>
      <sheetName val="Hoja1"/>
      <sheetName val="Insumo PMR"/>
      <sheetName val="PMR"/>
      <sheetName val="Insumo Ponderacion"/>
      <sheetName val="APC"/>
      <sheetName val="APR"/>
    </sheetNames>
    <sheetDataSet>
      <sheetData sheetId="0" refreshError="1"/>
      <sheetData sheetId="1" refreshError="1"/>
      <sheetData sheetId="2" refreshError="1">
        <row r="2">
          <cell r="A2" t="str">
            <v>1. AMBIENTE</v>
          </cell>
        </row>
        <row r="3">
          <cell r="A3" t="str">
            <v>2. CULTURA</v>
          </cell>
        </row>
        <row r="4">
          <cell r="A4" t="str">
            <v>4. EDUCACIÓN</v>
          </cell>
        </row>
        <row r="5">
          <cell r="A5" t="str">
            <v xml:space="preserve">5. GOBIERNO </v>
          </cell>
        </row>
        <row r="6">
          <cell r="A6" t="str">
            <v>6. PLANEACIÓN</v>
          </cell>
        </row>
        <row r="7">
          <cell r="A7" t="str">
            <v>7. HABITAT</v>
          </cell>
        </row>
        <row r="8">
          <cell r="A8" t="str">
            <v>8. MOVILIDAD</v>
          </cell>
        </row>
        <row r="9">
          <cell r="A9" t="str">
            <v>9. SALUD</v>
          </cell>
        </row>
        <row r="10">
          <cell r="A10" t="str">
            <v>10. SDIS</v>
          </cell>
        </row>
        <row r="11">
          <cell r="A11" t="str">
            <v>11. SECRETARÍA GENERAL</v>
          </cell>
        </row>
        <row r="12">
          <cell r="A12" t="str">
            <v>12. SECRETARÍA DE LA MUJER</v>
          </cell>
        </row>
        <row r="16">
          <cell r="A16" t="str">
            <v>Licitación pública</v>
          </cell>
        </row>
        <row r="17">
          <cell r="A17" t="str">
            <v>Selección abreviada subasta inversa</v>
          </cell>
        </row>
        <row r="18">
          <cell r="A18" t="str">
            <v>Selección abreviada menor cuantía</v>
          </cell>
        </row>
        <row r="19">
          <cell r="A19" t="str">
            <v>Concurso de méritos</v>
          </cell>
        </row>
        <row r="20">
          <cell r="A20" t="str">
            <v>Contratación directa</v>
          </cell>
        </row>
        <row r="21">
          <cell r="A21" t="str">
            <v>Mínima Cuantía</v>
          </cell>
        </row>
        <row r="26">
          <cell r="A26" t="str">
            <v>Convenio Interadministrativo</v>
          </cell>
        </row>
        <row r="27">
          <cell r="A27" t="str">
            <v xml:space="preserve">Convenio de Asociación </v>
          </cell>
        </row>
        <row r="28">
          <cell r="A28" t="str">
            <v>Convenio Marco</v>
          </cell>
        </row>
        <row r="29">
          <cell r="A29" t="str">
            <v xml:space="preserve">Contrato de prestación de servicios </v>
          </cell>
        </row>
        <row r="30">
          <cell r="A30" t="str">
            <v>Aceptacion de oferta</v>
          </cell>
        </row>
        <row r="31">
          <cell r="A31" t="str">
            <v>Consultoria / Interventoría</v>
          </cell>
        </row>
        <row r="32">
          <cell r="A32" t="str">
            <v>Arrendamiento y adquisición de inmuebles</v>
          </cell>
        </row>
        <row r="33">
          <cell r="A33" t="str">
            <v>Compraventa</v>
          </cell>
        </row>
        <row r="34">
          <cell r="A34" t="str">
            <v>Contrato de Obra</v>
          </cell>
        </row>
        <row r="35">
          <cell r="A35" t="str">
            <v>Contrato de seguros</v>
          </cell>
        </row>
        <row r="36">
          <cell r="A36" t="str">
            <v>Contrato de suministro</v>
          </cell>
        </row>
        <row r="37">
          <cell r="A37" t="str">
            <v>Promesa de compraventas (inmuebles)</v>
          </cell>
        </row>
        <row r="51">
          <cell r="A51" t="str">
            <v>Anulado</v>
          </cell>
        </row>
        <row r="52">
          <cell r="A52" t="str">
            <v>Por iniciar</v>
          </cell>
        </row>
        <row r="53">
          <cell r="A53" t="str">
            <v>En ejecución</v>
          </cell>
        </row>
        <row r="54">
          <cell r="A54" t="str">
            <v>En proceso de liquidación</v>
          </cell>
        </row>
        <row r="55">
          <cell r="A55" t="str">
            <v>Liquidado</v>
          </cell>
        </row>
        <row r="56">
          <cell r="A56" t="str">
            <v>Caducado</v>
          </cell>
        </row>
        <row r="57">
          <cell r="A57" t="str">
            <v>Suspendido</v>
          </cell>
        </row>
        <row r="58">
          <cell r="A58" t="str">
            <v>Declaratoria de incumplimiento</v>
          </cell>
        </row>
        <row r="63">
          <cell r="A63" t="str">
            <v>Dotacion (restringida mobiliario)</v>
          </cell>
        </row>
        <row r="64">
          <cell r="A64" t="str">
            <v>Servicios personales</v>
          </cell>
        </row>
        <row r="65">
          <cell r="A65" t="str">
            <v>Gestión Documental</v>
          </cell>
        </row>
        <row r="66">
          <cell r="A66" t="str">
            <v>Seguros de metrología (pesas y medidas)</v>
          </cell>
        </row>
        <row r="67">
          <cell r="A67" t="str">
            <v>Implementación de  puntos wifi en la localidad</v>
          </cell>
        </row>
        <row r="68">
          <cell r="A68" t="str">
            <v>Demoliciones</v>
          </cell>
        </row>
        <row r="69">
          <cell r="A69" t="str">
            <v>Sistemas de calidad y mejoramiento institucional(piga)</v>
          </cell>
        </row>
        <row r="70">
          <cell r="A70" t="str">
            <v>Infraestructura Tecnologica (lo que no se cubre con SDH)</v>
          </cell>
        </row>
        <row r="71">
          <cell r="A71" t="str">
            <v>Fallos judiciales</v>
          </cell>
        </row>
        <row r="72">
          <cell r="A72" t="str">
            <v>Pagos ediles</v>
          </cell>
        </row>
        <row r="73">
          <cell r="A73" t="str">
            <v>Adquisición de equipo de intervención vial (consulta con SDH)</v>
          </cell>
        </row>
        <row r="74">
          <cell r="A74" t="str">
            <v>Recolección de escombros</v>
          </cell>
        </row>
        <row r="75">
          <cell r="A75" t="str">
            <v>Compra de vehiculos</v>
          </cell>
        </row>
        <row r="76">
          <cell r="A76" t="str">
            <v>Apoyo logistico para el fortalecimiento administrativo</v>
          </cell>
        </row>
        <row r="81">
          <cell r="D81" t="str">
            <v>Personas vinculadas a acciones de promoción del buen trato</v>
          </cell>
        </row>
        <row r="82">
          <cell r="D82" t="str">
            <v>Equipamientos para la atención a la primera infancia dotados</v>
          </cell>
        </row>
        <row r="83">
          <cell r="D83" t="str">
            <v>Equipamientos para la atención a la primera infancia adecuados</v>
          </cell>
        </row>
        <row r="84">
          <cell r="D84" t="str">
            <v xml:space="preserve">Personas vinculadas a acciones de promoción y prevención en salud </v>
          </cell>
        </row>
        <row r="85">
          <cell r="D85" t="str">
            <v>Personas benficiadas con ayudas técnicas</v>
          </cell>
        </row>
        <row r="86">
          <cell r="D86" t="str">
            <v xml:space="preserve">Focos intervenidos para el control de vectores y plagas </v>
          </cell>
        </row>
        <row r="87">
          <cell r="D87" t="str">
            <v>Planteles educativos dotados</v>
          </cell>
        </row>
        <row r="88">
          <cell r="D88" t="str">
            <v>Número de bibliotecas locales y barriales dotadas para programas de promoción a la lectura</v>
          </cell>
        </row>
        <row r="89">
          <cell r="D89" t="str">
            <v>Estudiantes vinculados a actividades extraescolares</v>
          </cell>
        </row>
        <row r="90">
          <cell r="D90" t="str">
            <v>Foros educativos realizados</v>
          </cell>
        </row>
        <row r="91">
          <cell r="D91" t="str">
            <v>Personas vinculadas a programas de educación para adultos</v>
          </cell>
        </row>
        <row r="92">
          <cell r="D92" t="str">
            <v>Personas beneficiadas con acciones de gestión para acceder a la educación superior</v>
          </cell>
        </row>
        <row r="93">
          <cell r="D93" t="str">
            <v>Número de cupos en programas de educación superior promovidos en las IED</v>
          </cell>
        </row>
        <row r="94">
          <cell r="D94" t="str">
            <v>Personas vinculadas a procesos de prevención de la violencia y discriminación de género</v>
          </cell>
        </row>
        <row r="95">
          <cell r="D95" t="str">
            <v xml:space="preserve">Personas vinculadas a procesos de reconocimiento de la identidad de género, orientación y diversidad sexual, grupo étnico y etario. </v>
          </cell>
        </row>
        <row r="96">
          <cell r="D96" t="str">
            <v>Personas vinculadas a estrategias de prevencion de las violencias, violencia intrafamiliar y la discriminación</v>
          </cell>
        </row>
        <row r="97">
          <cell r="D97" t="str">
            <v>Centros noche dotados</v>
          </cell>
        </row>
        <row r="98">
          <cell r="D98" t="str">
            <v>Iniciativas juveniles apoyadas</v>
          </cell>
        </row>
        <row r="99">
          <cell r="D99" t="str">
            <v>Personas con subsidio tipo C  beneficiadas</v>
          </cell>
        </row>
        <row r="100">
          <cell r="D100" t="str">
            <v>Personas vinculadas a procesos de promoción en derechos humanos</v>
          </cell>
        </row>
        <row r="101">
          <cell r="D101" t="str">
            <v>Personas vínculadas a acciones de promoción de  rutas de acceso a la justicia formal</v>
          </cell>
        </row>
        <row r="102">
          <cell r="D102" t="str">
            <v>Personas vinculadas a procesos de resolución alternativa de conflictos</v>
          </cell>
        </row>
        <row r="103">
          <cell r="D103" t="str">
            <v>Eventos culturales realizados</v>
          </cell>
        </row>
        <row r="104">
          <cell r="D104" t="str">
            <v>Personas vinculadas a la oferta cultural</v>
          </cell>
        </row>
        <row r="105">
          <cell r="D105" t="str">
            <v>Personas capacitadas en formación informal artística, cultural y del patrimonio</v>
          </cell>
        </row>
        <row r="106">
          <cell r="D106" t="str">
            <v>Iniciativas culturales apoyadas</v>
          </cell>
        </row>
        <row r="107">
          <cell r="D107" t="str">
            <v>Escenarios culturales dotados</v>
          </cell>
        </row>
        <row r="108">
          <cell r="D108" t="str">
            <v>Corredores cuturales, y/o turisticos diseñados y/o intervenidos</v>
          </cell>
        </row>
        <row r="109">
          <cell r="D109" t="str">
            <v>Espacios recuperados o apropiados culturalmente</v>
          </cell>
        </row>
        <row r="110">
          <cell r="D110" t="str">
            <v>Personas vinculadas a escuelas de formación deportiva</v>
          </cell>
        </row>
        <row r="111">
          <cell r="D111" t="str">
            <v>Eventos de recreación y deporte realizados</v>
          </cell>
        </row>
        <row r="112">
          <cell r="D112" t="str">
            <v xml:space="preserve">Personas vinculadas a la oferta recreativa y deportiva </v>
          </cell>
        </row>
        <row r="113">
          <cell r="D113" t="str">
            <v>Iniciativas deportivas apoyadas</v>
          </cell>
        </row>
        <row r="114">
          <cell r="D114" t="str">
            <v>Materiales y elementos para la práctica recreativa y deportiva  entregados</v>
          </cell>
        </row>
        <row r="115">
          <cell r="D115" t="str">
            <v xml:space="preserve">Parques vecinales y/o de bolsillo intervenidos </v>
          </cell>
        </row>
        <row r="116">
          <cell r="D116" t="str">
            <v>Parques vecinales construidos</v>
          </cell>
        </row>
        <row r="117">
          <cell r="D117" t="str">
            <v>Parques de bolisllo construidos</v>
          </cell>
        </row>
        <row r="118">
          <cell r="D118" t="str">
            <v>Metros lineales de acueducto y alcantarilladlo rural intervenidos</v>
          </cell>
        </row>
        <row r="119">
          <cell r="D119" t="str">
            <v>Personas beneficiadas con asesoría y acompañamiento en soluciones de vivienda y mejoramiento de barrios</v>
          </cell>
        </row>
        <row r="120">
          <cell r="D120" t="str">
            <v>Corredores ambientales diseñados y/o intervenidos</v>
          </cell>
        </row>
        <row r="121">
          <cell r="D121" t="str">
            <v>Personas vinculadas en acciones para la conservación o recuperación de los espacios del agua y la protección del ambiente</v>
          </cell>
        </row>
        <row r="122">
          <cell r="D122" t="str">
            <v>Organizaciones apoyadas para la protección del ambiente</v>
          </cell>
        </row>
        <row r="123">
          <cell r="D123" t="str">
            <v>Personas vinculadas a procesos de sensibilización sobre contaminación atmosférica, visual  y auditiva.</v>
          </cell>
        </row>
        <row r="124">
          <cell r="D124" t="str">
            <v>Número de  personas vinculadas  a los procesos de  fortalecimiento de los PRAES y PROCEDAS de la localidad.</v>
          </cell>
        </row>
        <row r="125">
          <cell r="D125" t="str">
            <v>Espacios ambientales intervenidos</v>
          </cell>
        </row>
        <row r="126">
          <cell r="D126" t="str">
            <v>Km/carril de malla vial local recuperados</v>
          </cell>
        </row>
        <row r="127">
          <cell r="D127" t="str">
            <v>Km/carril de malla vial rural recuperados</v>
          </cell>
        </row>
        <row r="128">
          <cell r="D128" t="str">
            <v>Km/carril de malla vial local construidos.</v>
          </cell>
        </row>
        <row r="129">
          <cell r="D129" t="str">
            <v>Km/carril de malla vial rural construidos.</v>
          </cell>
        </row>
        <row r="130">
          <cell r="D130" t="str">
            <v>m2 de espacio público  construidos.</v>
          </cell>
        </row>
        <row r="131">
          <cell r="D131" t="str">
            <v>m2 de espacio público recuperado</v>
          </cell>
        </row>
        <row r="132">
          <cell r="D132" t="str">
            <v>Dotaciones con elementos de mobiliario urbano realizadas</v>
          </cell>
        </row>
        <row r="133">
          <cell r="D133" t="str">
            <v>Acciones realizadas para promover el uso de medios alternativos de movilidad</v>
          </cell>
        </row>
        <row r="134">
          <cell r="D134" t="str">
            <v>Porcentaje de obras para el manejo de riesgo realizadas frente a las solicitadas</v>
          </cell>
        </row>
        <row r="135">
          <cell r="D135" t="str">
            <v>Habitantes sensibilizados en gestión local del riesgo</v>
          </cell>
        </row>
        <row r="136">
          <cell r="D136" t="str">
            <v xml:space="preserve">Dotaciones realizadas al CLE </v>
          </cell>
        </row>
        <row r="137">
          <cell r="D137" t="str">
            <v>Personas vinculadas a campañas de promoción de reciclaje y disposición diferenciada de residuos sólidos</v>
          </cell>
        </row>
        <row r="138">
          <cell r="D138" t="str">
            <v>Iniciativas ambientales y de aprovechamiento de residuos  apoyadas</v>
          </cell>
        </row>
        <row r="139">
          <cell r="D139" t="str">
            <v>Arboles sembrados</v>
          </cell>
        </row>
        <row r="140">
          <cell r="D140" t="str">
            <v>Número de personas beneficiadas con campañas para el manejo y cuidado de animales</v>
          </cell>
        </row>
        <row r="141">
          <cell r="D141" t="str">
            <v xml:space="preserve">Personas  vinculadas a procesos de presupestos participativos </v>
          </cell>
        </row>
        <row r="142">
          <cell r="D142" t="str">
            <v>Personas vinculadas a procesos de promoción de la política de juventud</v>
          </cell>
        </row>
        <row r="143">
          <cell r="D143" t="str">
            <v>Salones comunales dotados</v>
          </cell>
        </row>
        <row r="144">
          <cell r="D144" t="str">
            <v>Salones comunales construidos</v>
          </cell>
        </row>
        <row r="145">
          <cell r="D145" t="str">
            <v>Organizaciones sociales fortalecidas para la participación</v>
          </cell>
        </row>
        <row r="146">
          <cell r="D146" t="str">
            <v>Medios comunitarios apoyados</v>
          </cell>
        </row>
        <row r="147">
          <cell r="D147" t="str">
            <v>Personas vinculadas en exigibilidad de derecho a la salud</v>
          </cell>
        </row>
        <row r="148">
          <cell r="D148" t="str">
            <v>Porcentaje de solicitudes sobre inspeccción, vigilancia y control para la convivencia intervenidas frente a las solicitadas</v>
          </cell>
        </row>
        <row r="149">
          <cell r="D149" t="str">
            <v>Personas vinculadas a la promoción de espacios y/o campañas  para mejorar la convivencia y seguridad ciudadana</v>
          </cell>
        </row>
        <row r="150">
          <cell r="D150" t="str">
            <v>Acciones realizadas para mejorar la seguridad</v>
          </cell>
        </row>
        <row r="151">
          <cell r="D151" t="str">
            <v>Personas vinculadas en campañas para promover la participación y el control social</v>
          </cell>
        </row>
        <row r="152">
          <cell r="D152" t="str">
            <v>Acciones realizadas para la rendición de cuentas</v>
          </cell>
        </row>
        <row r="153">
          <cell r="D153" t="str">
            <v>Personas vinculadas a acciones para la prevención del consumo de SPA y otras sustancias</v>
          </cell>
        </row>
        <row r="154">
          <cell r="D154" t="str">
            <v>Personas vinculadas a  campañas de apoyo para mejorar la convivencia frente a las infracciones de control urbanístico y legal funcionamiento de los establecimientos de comercio</v>
          </cell>
        </row>
        <row r="155">
          <cell r="D155" t="str">
            <v>Ediles con pago de honorarios cubierto</v>
          </cell>
        </row>
        <row r="156">
          <cell r="D156" t="str">
            <v>Estrategias realizadas de fortalecimiento institucional</v>
          </cell>
        </row>
        <row r="157">
          <cell r="D157" t="str">
            <v>Equipamiento institucional intervenido para el desarrollo de una infraestructura institucional acorde a las necesidades de la Localidad</v>
          </cell>
        </row>
        <row r="158">
          <cell r="D158" t="str">
            <v>No agrega</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Hoja1"/>
    </sheetNames>
    <sheetDataSet>
      <sheetData sheetId="0" refreshError="1"/>
      <sheetData sheetId="1" refreshError="1">
        <row r="4">
          <cell r="B4" t="str">
            <v>USAQUÉN</v>
          </cell>
        </row>
        <row r="5">
          <cell r="B5" t="str">
            <v>CHAPINERO</v>
          </cell>
        </row>
        <row r="6">
          <cell r="B6" t="str">
            <v>SANTA FE</v>
          </cell>
        </row>
        <row r="7">
          <cell r="B7" t="str">
            <v>SAN CRISTÓBAL</v>
          </cell>
        </row>
        <row r="8">
          <cell r="B8" t="str">
            <v>USME</v>
          </cell>
        </row>
        <row r="9">
          <cell r="B9" t="str">
            <v>TUNJUELITO</v>
          </cell>
        </row>
        <row r="10">
          <cell r="B10" t="str">
            <v>BOSA</v>
          </cell>
        </row>
        <row r="11">
          <cell r="B11" t="str">
            <v>KENNEDY</v>
          </cell>
        </row>
        <row r="12">
          <cell r="B12" t="str">
            <v>FONTIBÓN</v>
          </cell>
        </row>
        <row r="13">
          <cell r="B13" t="str">
            <v>ENGATIVÁ</v>
          </cell>
        </row>
        <row r="14">
          <cell r="B14" t="str">
            <v>SUBA</v>
          </cell>
        </row>
        <row r="15">
          <cell r="B15" t="str">
            <v>BARRIOS UNIDOS</v>
          </cell>
        </row>
        <row r="16">
          <cell r="B16" t="str">
            <v>TEUSAQUILLO</v>
          </cell>
        </row>
        <row r="17">
          <cell r="B17" t="str">
            <v>LOS MÁRTIRES</v>
          </cell>
        </row>
        <row r="18">
          <cell r="B18" t="str">
            <v>ANTONIO NARIÑO</v>
          </cell>
        </row>
        <row r="19">
          <cell r="B19" t="str">
            <v>PUENTE ARANDA</v>
          </cell>
        </row>
        <row r="20">
          <cell r="B20" t="str">
            <v>LA CANDELARIA</v>
          </cell>
        </row>
        <row r="21">
          <cell r="B21" t="str">
            <v>RAFAEL URIBE URIBE</v>
          </cell>
        </row>
        <row r="22">
          <cell r="B22" t="str">
            <v>CIUDAD BOLÍVAR</v>
          </cell>
        </row>
        <row r="23">
          <cell r="B23" t="str">
            <v>SUMAPAZ</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Ludin Adriana Galeano Gómez" refreshedDate="42124.657837962965" createdVersion="1" refreshedVersion="4" recordCount="42" upgradeOnRefresh="1">
  <cacheSource type="worksheet">
    <worksheetSource ref="A1:F43" sheet="APR"/>
  </cacheSource>
  <cacheFields count="6">
    <cacheField name="Cod. Eje" numFmtId="0">
      <sharedItems containsSemiMixedTypes="0" containsString="0" containsNumber="1" containsInteger="1" minValue="1" maxValue="3" count="3">
        <n v="1"/>
        <n v="2"/>
        <n v="3"/>
      </sharedItems>
    </cacheField>
    <cacheField name="Cod. Programa" numFmtId="0">
      <sharedItems containsSemiMixedTypes="0" containsString="0" containsNumber="1" containsInteger="1" minValue="1" maxValue="32"/>
    </cacheField>
    <cacheField name="Cod. Meta Plan" numFmtId="0">
      <sharedItems containsSemiMixedTypes="0" containsString="0" containsNumber="1" containsInteger="1" minValue="102" maxValue="143"/>
    </cacheField>
    <cacheField name="Meta Plan" numFmtId="0">
      <sharedItems/>
    </cacheField>
    <cacheField name="% Avance Meta Plan Consolidado (Ejecución real)" numFmtId="0">
      <sharedItems containsSemiMixedTypes="0" containsString="0" containsNumber="1" minValue="0" maxValue="3.3333333333333335"/>
    </cacheField>
    <cacheField name="Nivel de Avance (Ejecución real)" numFmtId="0">
      <sharedItems count="3">
        <s v="Medio"/>
        <s v="Alto"/>
        <s v="Baj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udin Adriana Galeano Gómez" refreshedDate="42509.613758333333" createdVersion="1" refreshedVersion="4" recordCount="42" upgradeOnRefresh="1">
  <cacheSource type="worksheet">
    <worksheetSource ref="A1:F43" sheet="APC"/>
  </cacheSource>
  <cacheFields count="6">
    <cacheField name="Cod. Eje" numFmtId="0">
      <sharedItems containsSemiMixedTypes="0" containsString="0" containsNumber="1" containsInteger="1" minValue="1" maxValue="3" count="3">
        <n v="1"/>
        <n v="2"/>
        <n v="3"/>
      </sharedItems>
    </cacheField>
    <cacheField name="Cod. Programa" numFmtId="0">
      <sharedItems containsSemiMixedTypes="0" containsString="0" containsNumber="1" containsInteger="1" minValue="1" maxValue="32"/>
    </cacheField>
    <cacheField name="Cod. Meta Plan" numFmtId="0">
      <sharedItems containsSemiMixedTypes="0" containsString="0" containsNumber="1" containsInteger="1" minValue="102" maxValue="143"/>
    </cacheField>
    <cacheField name="Meta Plan" numFmtId="0">
      <sharedItems/>
    </cacheField>
    <cacheField name="% Avance Meta Plan Consolidado (Contratado)" numFmtId="0">
      <sharedItems containsSemiMixedTypes="0" containsString="0" containsNumber="1" minValue="0" maxValue="6.333333333333333"/>
    </cacheField>
    <cacheField name="Nivel de Avance (Contratado)" numFmtId="0">
      <sharedItems count="3">
        <s v="Alto"/>
        <s v="Bajo"/>
        <s v="Medio"/>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udin Adriana Galeano Gómez" refreshedDate="42752.472333101854" createdVersion="5" refreshedVersion="5" minRefreshableVersion="3" recordCount="42">
  <cacheSource type="worksheet">
    <worksheetSource ref="G2:Y44" sheet="MUSI"/>
  </cacheSource>
  <cacheFields count="19">
    <cacheField name="Cod. Meta PLAN" numFmtId="0">
      <sharedItems containsSemiMixedTypes="0" containsString="0" containsNumber="1" containsInteger="1" minValue="102" maxValue="143" count="42">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sharedItems>
    </cacheField>
    <cacheField name="Meta Plan de Desarrollo" numFmtId="0">
      <sharedItems count="42" longText="1">
        <s v="Dotar 30 equipamientos de elementos necesarios para la atención integral a la primera infancia"/>
        <s v="Vincular 2.000 niños y niñas de  0 a 5 años a través de  la prevención y estimulación para la primera infancia"/>
        <s v="Vincular 12.000 personas de la localidad y su ruralidad mediante programas de promoción y prevención en salud"/>
        <s v="Vincular 1.200 personas de la localidad mediante estrategias de prevención, promoción y sensibilización en educación sexual y reproductiva e Infecciones de Transmisión Sexual con enfoque diferencial"/>
        <s v="Vincular 320 personas en condición de discapacidad a través del Banco de Ayudas Técnicas"/>
        <s v="Vincular 400 personas mediante programas de Educación flexible y diferencial para adultos de la localidad"/>
        <s v="Vincular 1.000 personas escolarizadas entre ellas en condición de discapacidad, mediante actividades de aprendizaje y reforzamiento escolar (lectoescritura, idiomas, arte, agricultura urbana y campesina y aprovechamiento del tiempo libre) en los IEDS de la localidad"/>
        <s v="Dotar 8 IEDS con medios didácticos apropiados a su Proyecto Educativo Institucional-PEI, laboratorios y mobiliario"/>
        <s v="Vincular 3.000 personas con el fortalecimiento de las instituciones educativas a través de la realización de un foro educativo anual"/>
        <s v="Vincular 200 mujeres  en programas con enfoque diferencial, mecanismos de protección, capacitación para la  prevención de violencia contra las mujeres y visibilización de la política pública de la mujer y género"/>
        <s v="Beneficiar  900 adultos mayores anualmente  mediante la entrega de subsidios económicos"/>
        <s v="Vincular 220 personas en situación de fragilidad social (adulto mayor trabajadores (as) sexuales y/o habitante de calle) con programas y/o procesos que busquen mejorar sus condiciones de vida"/>
        <s v="Vincular 5.000 personas 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
        <s v="Vincular 1.000 personas  mediante acciones de prevención de casos de violencia intrafamiliar y explotación infantil con enfoque diferencial y otros tipos de violencias por discriminación"/>
        <s v="Apropiar 2 espacios culturales significativos de la localidad a través de corredores culturales e inventario patrimonial tangible e intangible"/>
        <s v="Realizar 9 eventos culturales anuales en  los que se visibilicen las prácticas culturales de la localidad: Día  de la afrocolombianidad, Día del campesino, Festival de la chicha, Festival de Hip Hop, Festival de la alegría, Día del Adulto Mayor, Día de la discapacidad, Festival de la diversidad y el festival de integración comunal"/>
        <s v="Vincular 4.500 personas en eventos y formación deportiva que permitan la integración de niños, niñas, jóvenes, adolescentes, adultos y adultos mayores"/>
        <s v="Vincular 350 niñas, niños y adolescentes anualmente a través de la práctica de grupos orquestales y formación artística y/o cultural"/>
        <s v="Dotar 4 bibliotecas comunitarias con  elementos, materiales, mobiliario y apoyos logísticos"/>
        <s v="Recuperar 3 ríos y/o quebradas de la localidad de Santa Fe para el desarrollo integral – ambiental"/>
        <s v="Recuperar 25 puntos críticos identificados en el diagnóstico ambiental local que afectan el medio ambiente con procesos de atención, recuperación, organización y educación ambiental"/>
        <s v="Recuperar 10 hectáreas ambientalmente estratégicas a través de acciones de rehabilitación ecológica y procesos de sustentabilidad campesina"/>
        <s v="Vincular  500 personas a través de la Planificación Agroforestal y el fortalecimiento de la asistencia técnica para armonizar con el desarrollo sostenible"/>
        <s v="Mantener 64 Km/Carril  de la malla vial local"/>
        <s v="Rehabilitar 19 Km/Carril  de la malla vial local"/>
        <s v="Mantener y rehabilitar 12.000 M2 de espacio público"/>
        <s v="Vincular 400 personas con programas para la prevención de riesgos"/>
        <s v="Realizar 1 dotación al Comité Local de Emergencias - CLE de elementos para la atención del riesgo"/>
        <s v="Vincular 400 personas mediante procesos de sensibilización y estrategias para el manejo de residuos sólidos"/>
        <s v="Vincular 160 personas mediante acciones pedagógicas y de sensibilización a través de jornadas de apropiación del entorno"/>
        <s v="Vincular  600 personas en los ejercicios de los presupuestos participativos en la localidad de Santa Fe"/>
        <s v="Fortalecer 60 Organizaciones Sociales  a través del apoyo de las acciones  y propuestas para el mejoramiento de las expresiones sociales"/>
        <s v="Dotar y/o adecuar 15 salones comunales con elementos, materiales y mobiliario para el desarrollo de la participación en la toma de decisiones"/>
        <s v="Vincular 400 personas en el fortalecimiento y consolidación del control social de las ciudadanas y ciudadanos"/>
        <s v="Vincular 800 personas 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
        <s v="Vincular 800 personas con acciones para motivar el cumplimiento voluntario de normas en la localidad"/>
        <s v="Vincular 800 personas con estrategias para promocionar la defensa del espacio público en la localidad"/>
        <s v="Fortalecer 1 Comité de Participación Comunitaria en Salud - COPACOS"/>
        <s v="Realizar 1 fortalecimiento a la función administrativa y desarrollo institucional anualmente"/>
        <s v="Realizar a los 7 ediles de la localidad el pago de honorarios correspondiente a sesiones ordinarias, extraordinarias y comisiones permanentes y el fortalecimiento de la función administrativa y desarrollo institucional de la JAL de Santa Fe"/>
        <s v="Implementar 1 Sistema Integrado de Gestión en la administración local"/>
        <s v="Vincular 4.000 personas a través de procesos de Tecnologías de la información, la comunicación y medios comunicativos"/>
      </sharedItems>
    </cacheField>
    <cacheField name="Cod. Indicador" numFmtId="0">
      <sharedItems containsMixedTypes="1" containsNumber="1" containsInteger="1" minValue="1" maxValue="76"/>
    </cacheField>
    <cacheField name="Indicador Unificado" numFmtId="0">
      <sharedItems/>
    </cacheField>
    <cacheField name="No. Proyecto (código presupuestal)" numFmtId="0">
      <sharedItems containsSemiMixedTypes="0" containsString="0" containsNumber="1" containsInteger="1" minValue="1147" maxValue="1178"/>
    </cacheField>
    <cacheField name="Nombre Proyecto" numFmtId="0">
      <sharedItems/>
    </cacheField>
    <cacheField name="Cod. Meta proyecto" numFmtId="0">
      <sharedItems containsSemiMixedTypes="0" containsString="0" containsNumber="1" containsInteger="1" minValue="1" maxValue="4"/>
    </cacheField>
    <cacheField name="Proceso" numFmtId="0">
      <sharedItems/>
    </cacheField>
    <cacheField name="Magnitud" numFmtId="0">
      <sharedItems containsSemiMixedTypes="0" containsString="0" containsNumber="1" containsInteger="1" minValue="1" maxValue="12000"/>
    </cacheField>
    <cacheField name="Unidad de Medida" numFmtId="0">
      <sharedItems/>
    </cacheField>
    <cacheField name="Descripción" numFmtId="0">
      <sharedItems longText="1"/>
    </cacheField>
    <cacheField name="Sector (Seleccionar de la Lista)" numFmtId="3">
      <sharedItems/>
    </cacheField>
    <cacheField name="Producto" numFmtId="0">
      <sharedItems/>
    </cacheField>
    <cacheField name="Tipo de Meta" numFmtId="0">
      <sharedItems/>
    </cacheField>
    <cacheField name="Ponderación de la meta de proyecto frente a la meta del Plan" numFmtId="0">
      <sharedItems containsSemiMixedTypes="0" containsString="0" containsNumber="1" containsInteger="1" minValue="1" maxValue="1"/>
    </cacheField>
    <cacheField name="Avance Acumulado contratado (Meta de Proyecto) %" numFmtId="9">
      <sharedItems containsSemiMixedTypes="0" containsString="0" containsNumber="1" minValue="7.7968750000000003E-2" maxValue="7.333333333333333"/>
    </cacheField>
    <cacheField name="% AVANCE META PLAN CONSOLIDADO (contratado)" numFmtId="9">
      <sharedItems containsSemiMixedTypes="0" containsString="0" containsNumber="1" minValue="7.7968750000000003E-2" maxValue="7.333333333333333"/>
    </cacheField>
    <cacheField name="Avance Acumulado real (Meta de Proyecto) %" numFmtId="9">
      <sharedItems containsSemiMixedTypes="0" containsString="0" containsNumber="1" minValue="0" maxValue="9.3333333333333339"/>
    </cacheField>
    <cacheField name="% AVANCE META PLAN CONSOLIDADO (ejecución real)" numFmtId="9">
      <sharedItems containsSemiMixedTypes="0" containsString="0" containsNumber="1" minValue="0" maxValue="9.3333333333333339"/>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udin Adriana Galeano Gómez" refreshedDate="42752.476352893522" createdVersion="5" refreshedVersion="5" recordCount="42">
  <cacheSource type="worksheet">
    <worksheetSource ref="A2:AO44" sheet="MUSI"/>
  </cacheSource>
  <cacheFields count="41">
    <cacheField name="No." numFmtId="0">
      <sharedItems containsSemiMixedTypes="0" containsString="0" containsNumber="1" containsInteger="1" minValue="3" maxValue="3"/>
    </cacheField>
    <cacheField name="LOCALIDAD" numFmtId="0">
      <sharedItems/>
    </cacheField>
    <cacheField name="Cod. Eje" numFmtId="0">
      <sharedItems containsSemiMixedTypes="0" containsString="0" containsNumber="1" containsInteger="1" minValue="1" maxValue="3"/>
    </cacheField>
    <cacheField name="Eje" numFmtId="0">
      <sharedItems/>
    </cacheField>
    <cacheField name="Cod. Program" numFmtId="0">
      <sharedItems containsSemiMixedTypes="0" containsString="0" containsNumber="1" containsInteger="1" minValue="1" maxValue="32"/>
    </cacheField>
    <cacheField name="Programa" numFmtId="0">
      <sharedItems/>
    </cacheField>
    <cacheField name="Cod. Meta PLAN" numFmtId="0">
      <sharedItems containsSemiMixedTypes="0" containsString="0" containsNumber="1" containsInteger="1" minValue="102" maxValue="143"/>
    </cacheField>
    <cacheField name="Meta Plan de Desarrollo" numFmtId="0">
      <sharedItems longText="1"/>
    </cacheField>
    <cacheField name="Cod. Indicador" numFmtId="0">
      <sharedItems containsMixedTypes="1" containsNumber="1" containsInteger="1" minValue="1" maxValue="76" count="31">
        <n v="2"/>
        <n v="1"/>
        <n v="4"/>
        <n v="5"/>
        <n v="11"/>
        <n v="9"/>
        <n v="7"/>
        <s v="N/A"/>
        <n v="14"/>
        <n v="19"/>
        <n v="15"/>
        <n v="16"/>
        <n v="29"/>
        <n v="23"/>
        <n v="32"/>
        <n v="25"/>
        <n v="27"/>
        <n v="45"/>
        <n v="41"/>
        <n v="46"/>
        <n v="51"/>
        <n v="55"/>
        <n v="56"/>
        <n v="57"/>
        <n v="61"/>
        <n v="65"/>
        <n v="63"/>
        <n v="71"/>
        <n v="69"/>
        <n v="76"/>
        <n v="75"/>
      </sharedItems>
    </cacheField>
    <cacheField name="Indicador Unificado" numFmtId="0">
      <sharedItems count="31">
        <s v="Equipamientos para la atención a la primera infancia dotados"/>
        <s v="Personas vinculadas a acciones de promoción del buen trato"/>
        <s v="Personas vinculadas a acciones de promoción y prevención en salud"/>
        <s v="Personas benficiadas con ayudas técnicas"/>
        <s v="Personas vinculadas a programas de educación para adultos"/>
        <s v="Estudiantes vinculados a actividades extraescolares"/>
        <s v="Planteles educativos dotados"/>
        <s v="No agrega"/>
        <s v="Personas vinculadas a procesos de prevención de la violencia y discriminación de género"/>
        <s v="Personas con subsidio tipo C  beneficiadas"/>
        <s v="Personas vinculadas a procesos de reconocimiento de la identidad de género, orientación y diversidad sexual, grupo étnico y etario."/>
        <s v="Personas vinculadas a estrategias de prevencion de las violencias, violencia intrafamiliar y la discriminación"/>
        <s v="Espacios recuperados o apropiados culturalmente"/>
        <s v="Eventos culturales realizados"/>
        <s v="Personas vinculadas a la oferta recreativa y deportiva"/>
        <s v="Personas capacitadas en formación informal artística, cultural y del patrimonio"/>
        <s v="Escenarios culturales dotados"/>
        <s v="Espacios ambientales intervenidos"/>
        <s v="Personas vinculadas en acciones para la conservación o recuperación de los espacios del agua y la protección del ambiente"/>
        <s v="Km/carril de malla vial local recuperados"/>
        <s v="m2 de espacio público recuperado"/>
        <s v="Habitantes sensibilizados en gestión local del riesgo"/>
        <s v="Dotaciones realizadas al CLE"/>
        <s v="Personas vinculadas a campañas de promoción de reciclaje y disposición diferenciada de residuos sólidos"/>
        <s v="Personas  vinculadas a procesos de presupestos participativos"/>
        <s v="Organizaciones sociales fortalecidas para la participación"/>
        <s v="Salones comunales dotados"/>
        <s v="Personas vinculadas en campañas para promover la participación y el control social"/>
        <s v="Personas vinculadas a la promoción de espacios y/o campañas  para mejorar la convivencia y seguridad ciudadana"/>
        <s v="Estrategias realizadas de fortalecimiento institucional"/>
        <s v="Ediles con pago de honorarios cubierto"/>
      </sharedItems>
    </cacheField>
    <cacheField name="No. Proyecto (código presupuestal)" numFmtId="0">
      <sharedItems containsSemiMixedTypes="0" containsString="0" containsNumber="1" containsInteger="1" minValue="1147" maxValue="1178"/>
    </cacheField>
    <cacheField name="Nombre Proyecto" numFmtId="0">
      <sharedItems/>
    </cacheField>
    <cacheField name="Cod. Meta proyecto" numFmtId="0">
      <sharedItems containsSemiMixedTypes="0" containsString="0" containsNumber="1" containsInteger="1" minValue="1" maxValue="4"/>
    </cacheField>
    <cacheField name="Proceso" numFmtId="0">
      <sharedItems/>
    </cacheField>
    <cacheField name="Magnitud" numFmtId="0">
      <sharedItems containsSemiMixedTypes="0" containsString="0" containsNumber="1" containsInteger="1" minValue="1" maxValue="12000"/>
    </cacheField>
    <cacheField name="Unidad de Medida" numFmtId="0">
      <sharedItems/>
    </cacheField>
    <cacheField name="Descripción" numFmtId="0">
      <sharedItems longText="1"/>
    </cacheField>
    <cacheField name="Sector (Seleccionar de la Lista)" numFmtId="3">
      <sharedItems count="10">
        <s v="10. SDIS"/>
        <s v="9. SALUD"/>
        <s v="4. EDUCACIÓN"/>
        <s v="N/A"/>
        <s v="12. SECRETARÍA DE LA MUJER"/>
        <s v="5. GOBIERNO"/>
        <s v="2. CULTURA Y RECREACIÓN"/>
        <s v="1. AMBIENTE"/>
        <s v="8. MOVILIDAD"/>
        <s v="7. HABITAT"/>
      </sharedItems>
    </cacheField>
    <cacheField name="Producto" numFmtId="0">
      <sharedItems count="21">
        <s v="Adecuación , habilitación y dotación de jardines"/>
        <s v="Protección integral a niños y niñas y adolescentes"/>
        <s v="Promoción, prevención e intervención en salud"/>
        <s v="Validación Escolar"/>
        <s v="Actividades Extraescolares"/>
        <s v="Infraestructura y dotación escolar"/>
        <s v="N/A"/>
        <s v="Espacios y procesos de participación ciudadana fortalecidos"/>
        <s v="Protección  integral a personas y familias en situación de vulneración"/>
        <s v="Infraestructura y dotación a centros artísticos y culturales"/>
        <s v="Espacios artísticos y culturales"/>
        <s v="Eventos y actividades recreativas y deportivas"/>
        <s v="Formación artística y cultural"/>
        <s v="Calidad ambiental y preservación del patrimonio natural"/>
        <s v="Vías Locales"/>
        <s v="Espacio Publico"/>
        <s v="Gestión para la prevención y mitigación del riesgo"/>
        <s v="Manejo integral de residuos sólidos"/>
        <s v="Espacios para el control social"/>
        <s v="Prevención, atención y gestión del conflicto en la localidad"/>
        <s v="Fortalecimiento institucional"/>
      </sharedItems>
    </cacheField>
    <cacheField name="Tipo de Meta" numFmtId="0">
      <sharedItems/>
    </cacheField>
    <cacheField name="Ponderación de la meta de proyecto frente a la meta del Plan" numFmtId="0">
      <sharedItems containsSemiMixedTypes="0" containsString="0" containsNumber="1" containsInteger="1" minValue="1" maxValue="1"/>
    </cacheField>
    <cacheField name="Avance Acumulado contratado (Meta de Proyecto) %" numFmtId="9">
      <sharedItems containsSemiMixedTypes="0" containsString="0" containsNumber="1" minValue="7.7968750000000003E-2" maxValue="7.333333333333333"/>
    </cacheField>
    <cacheField name="% AVANCE META PLAN CONSOLIDADO (contratado)" numFmtId="9">
      <sharedItems containsSemiMixedTypes="0" containsString="0" containsNumber="1" minValue="7.7968750000000003E-2" maxValue="7.333333333333333"/>
    </cacheField>
    <cacheField name="Avance Acumulado real (Meta de Proyecto) %" numFmtId="9">
      <sharedItems containsSemiMixedTypes="0" containsString="0" containsNumber="1" minValue="0" maxValue="9.3333333333333339"/>
    </cacheField>
    <cacheField name="% AVANCE META PLAN CONSOLIDADO (ejecución real)" numFmtId="9">
      <sharedItems containsSemiMixedTypes="0" containsString="0" containsNumber="1" minValue="0" maxValue="9.3333333333333339"/>
    </cacheField>
    <cacheField name="Linea Base (PMR)" numFmtId="0">
      <sharedItems containsString="0" containsBlank="1" containsNumber="1" containsInteger="1" minValue="0" maxValue="1795"/>
    </cacheField>
    <cacheField name="2,013" numFmtId="0">
      <sharedItems containsString="0" containsBlank="1" containsNumber="1" containsInteger="1" minValue="1" maxValue="3000"/>
    </cacheField>
    <cacheField name="2,014" numFmtId="0">
      <sharedItems containsString="0" containsBlank="1" containsNumber="1" minValue="0.5" maxValue="3000"/>
    </cacheField>
    <cacheField name="2,015" numFmtId="0">
      <sharedItems containsSemiMixedTypes="0" containsString="0" containsNumber="1" minValue="0.5" maxValue="3000"/>
    </cacheField>
    <cacheField name="2,016" numFmtId="0">
      <sharedItems containsString="0" containsBlank="1" containsNumber="1" containsInteger="1" minValue="1" maxValue="3000"/>
    </cacheField>
    <cacheField name="Total" numFmtId="0">
      <sharedItems containsSemiMixedTypes="0" containsString="0" containsNumber="1" containsInteger="1" minValue="1" maxValue="12000"/>
    </cacheField>
    <cacheField name="2,0132" numFmtId="0">
      <sharedItems containsSemiMixedTypes="0" containsString="0" containsNumber="1" minValue="0" maxValue="3000"/>
    </cacheField>
    <cacheField name="2,0142" numFmtId="0">
      <sharedItems containsSemiMixedTypes="0" containsString="0" containsNumber="1" minValue="0" maxValue="5600"/>
    </cacheField>
    <cacheField name="2,0152" numFmtId="0">
      <sharedItems containsSemiMixedTypes="0" containsString="0" containsNumber="1" containsInteger="1" minValue="0" maxValue="3000"/>
    </cacheField>
    <cacheField name="2,0162" numFmtId="0">
      <sharedItems containsSemiMixedTypes="0" containsString="0" containsNumber="1" minValue="0" maxValue="7000"/>
    </cacheField>
    <cacheField name="Ejecucion fisica ACUMULADA" numFmtId="0">
      <sharedItems containsSemiMixedTypes="0" containsString="0" containsNumber="1" minValue="0.75" maxValue="15960"/>
    </cacheField>
    <cacheField name="2,0133" numFmtId="0">
      <sharedItems containsSemiMixedTypes="0" containsString="0" containsNumber="1" minValue="0" maxValue="5656"/>
    </cacheField>
    <cacheField name="2,0143" numFmtId="0">
      <sharedItems containsSemiMixedTypes="0" containsString="0" containsNumber="1" containsInteger="1" minValue="0" maxValue="5600"/>
    </cacheField>
    <cacheField name="2,0153" numFmtId="0">
      <sharedItems containsSemiMixedTypes="0" containsString="0" containsNumber="1" minValue="0" maxValue="3000"/>
    </cacheField>
    <cacheField name="2,0163" numFmtId="0">
      <sharedItems containsString="0" containsBlank="1" containsNumber="1" containsInteger="1" minValue="0" maxValue="2700"/>
    </cacheField>
    <cacheField name="Ejecucion fisica real ACUMULADA" numFmtId="0">
      <sharedItems containsSemiMixedTypes="0" containsString="0" containsNumber="1" minValue="0" maxValue="1342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udin Adriana Galeano Gómez" refreshedDate="42752.479474537038" createdVersion="5" refreshedVersion="5" recordCount="42">
  <cacheSource type="worksheet">
    <worksheetSource ref="A2:AY44" sheet="MUSI"/>
  </cacheSource>
  <cacheFields count="51">
    <cacheField name="No." numFmtId="0">
      <sharedItems containsSemiMixedTypes="0" containsString="0" containsNumber="1" containsInteger="1" minValue="3" maxValue="3"/>
    </cacheField>
    <cacheField name="LOCALIDAD" numFmtId="0">
      <sharedItems/>
    </cacheField>
    <cacheField name="Cod. Eje" numFmtId="0">
      <sharedItems containsSemiMixedTypes="0" containsString="0" containsNumber="1" containsInteger="1" minValue="1" maxValue="3" count="3">
        <n v="1"/>
        <n v="2"/>
        <n v="3"/>
      </sharedItems>
    </cacheField>
    <cacheField name="Eje" numFmtId="0">
      <sharedItems/>
    </cacheField>
    <cacheField name="Cod. Program" numFmtId="0">
      <sharedItems containsSemiMixedTypes="0" containsString="0" containsNumber="1" containsInteger="1" minValue="1" maxValue="32" count="17">
        <n v="1"/>
        <n v="2"/>
        <n v="3"/>
        <n v="4"/>
        <n v="5"/>
        <n v="8"/>
        <n v="17"/>
        <n v="19"/>
        <n v="20"/>
        <n v="21"/>
        <n v="22"/>
        <n v="24"/>
        <n v="26"/>
        <n v="27"/>
        <n v="30"/>
        <n v="31"/>
        <n v="32"/>
      </sharedItems>
    </cacheField>
    <cacheField name="Programa" numFmtId="0">
      <sharedItems/>
    </cacheField>
    <cacheField name="Cod. Meta PLAN" numFmtId="0">
      <sharedItems containsSemiMixedTypes="0" containsString="0" containsNumber="1" containsInteger="1" minValue="102" maxValue="143"/>
    </cacheField>
    <cacheField name="Meta Plan de Desarrollo" numFmtId="0">
      <sharedItems count="46" longText="1">
        <s v="Dotar 30 equipamientos de elementos necesarios para la atención integral a la primera infancia"/>
        <s v="Vincular 2.000 niños y niñas de  0 a 5 años a través de  la prevención y estimulación para la primera infancia"/>
        <s v="Vincular 12.000 personas de la localidad y su ruralidad mediante programas de promoción y prevención en salud"/>
        <s v="Vincular 1.200 personas de la localidad mediante estrategias de prevención, promoción y sensibilización en educación sexual y reproductiva e Infecciones de Transmisión Sexual con enfoque diferencial"/>
        <s v="Vincular 320 personas en condición de discapacidad a través del Banco de Ayudas Técnicas"/>
        <s v="Vincular 400 personas mediante programas de Educación flexible y diferencial para adultos de la localidad"/>
        <s v="Vincular 1.000 personas escolarizadas entre ellas en condición de discapacidad, mediante actividades de aprendizaje y reforzamiento escolar (lectoescritura, idiomas, arte, agricultura urbana y campesina y aprovechamiento del tiempo libre) en los IEDS de la localidad"/>
        <s v="Dotar 8 IEDS con medios didácticos apropiados a su Proyecto Educativo Institucional-PEI, laboratorios y mobiliario"/>
        <s v="Vincular 3.000 personas con el fortalecimiento de las instituciones educativas a través de la realización de un foro educativo anual"/>
        <s v="Vincular 200 mujeres  en programas con enfoque diferencial, mecanismos de protección, capacitación para la  prevención de violencia contra las mujeres y visibilización de la política pública de la mujer y género"/>
        <s v="Beneficiar  900 adultos mayores anualmente  mediante la entrega de subsidios económicos"/>
        <s v="Vincular 220 personas en situación de fragilidad social (adulto mayor trabajadores (as) sexuales y/o habitante de calle) con programas y/o procesos que busquen mejorar sus condiciones de vida"/>
        <s v="Vincular 5.000 personas 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
        <s v="Vincular 1.000 personas  mediante acciones de prevención de casos de violencia intrafamiliar y explotación infantil con enfoque diferencial y otros tipos de violencias por discriminación"/>
        <s v="Apropiar 2 espacios culturales significativos de la localidad a través de corredores culturales e inventario patrimonial tangible e intangible"/>
        <s v="Realizar 9 eventos culturales anuales en  los que se visibilicen las prácticas culturales de la localidad: Día  de la afrocolombianidad, Día del campesino, Festival de la chicha, Festival de Hip Hop, Festival de la alegría, Día del Adulto Mayor, Día de la discapacidad, Festival de la diversidad y el festival de integración comunal"/>
        <s v="Vincular 4.500 personas en eventos y formación deportiva que permitan la integración de niños, niñas, jóvenes, adolescentes, adultos y adultos mayores"/>
        <s v="Vincular 350 niñas, niños y adolescentes anualmente a través de la práctica de grupos orquestales y formación artística y/o cultural"/>
        <s v="Dotar 4 bibliotecas comunitarias con  elementos, materiales, mobiliario y apoyos logísticos"/>
        <s v="Recuperar 3 ríos y/o quebradas de la localidad de Santa Fe para el desarrollo integral – ambiental"/>
        <s v="Recuperar 25 puntos críticos identificados en el diagnóstico ambiental local que afectan el medio ambiente con procesos de atención, recuperación, organización y educación ambiental"/>
        <s v="Recuperar 10 hectáreas ambientalmente estratégicas a través de acciones de rehabilitación ecológica y procesos de sustentabilidad campesina"/>
        <s v="Vincular  500 personas a través de la Planificación Agroforestal y el fortalecimiento de la asistencia técnica para armonizar con el desarrollo sostenible"/>
        <s v="Mantener 64 Km/Carril  de la malla vial local"/>
        <s v="Rehabilitar 19 Km/Carril  de la malla vial local"/>
        <s v="Mantener y rehabilitar 12.000 M2 de espacio público"/>
        <s v="Vincular 400 personas con programas para la prevención de riesgos"/>
        <s v="Realizar 1 dotación al Comité Local de Emergencias - CLE de elementos para la atención del riesgo"/>
        <s v="Vincular 400 personas mediante procesos de sensibilización y estrategias para el manejo de residuos sólidos"/>
        <s v="Vincular 160 personas mediante acciones pedagógicas y de sensibilización a través de jornadas de apropiación del entorno"/>
        <s v="Vincular  600 personas en los ejercicios de los presupuestos participativos en la localidad de Santa Fe"/>
        <s v="Fortalecer 60 Organizaciones Sociales  a través del apoyo de las acciones  y propuestas para el mejoramiento de las expresiones sociales"/>
        <s v="Dotar y/o adecuar 15 salones comunales con elementos, materiales y mobiliario para el desarrollo de la participación en la toma de decisiones"/>
        <s v="Vincular 400 personas en el fortalecimiento y consolidación del control social de las ciudadanas y ciudadanos"/>
        <s v="Vincular 800 personas 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
        <s v="Vincular 800 personas con acciones para motivar el cumplimiento voluntario de normas en la localidad"/>
        <s v="Vincular 800 personas con estrategias para promocionar la defensa del espacio público en la localidad"/>
        <s v="Fortalecer 1 Comité de Participación Comunitaria en Salud - COPACOS"/>
        <s v="Realizar 1 fortalecimiento a la función administrativa y desarrollo institucional anualmente"/>
        <s v="Realizar a los 7 ediles de la localidad el pago de honorarios correspondiente a sesiones ordinarias, extraordinarias y comisiones permanentes y el fortalecimiento de la función administrativa y desarrollo institucional de la JAL de Santa Fe"/>
        <s v="Implementar 1 Sistema Integrado de Gestión en la administración local"/>
        <s v="Vincular 4.000 personas a través de procesos de Tecnologías de la información, la comunicación y medios comunicativos"/>
        <s v="Realizar 9 eventos culturales anuales en  los que se visibilicen las prácticas culturales de la localidad: Día  de la afrocolombianidad, Día del campesino, Festival de la chicha, Festival de Hip Hop, Festival de la alegría, Día del Adulto Mayor, Día de la" u="1"/>
        <s v="Vincular 1.000 personas escolarizadas entre ellas en condición de discapacidad, mediante actividades de aprendizaje y reforzamiento escolar (lectoescritura, idiomas, arte, agricultura urbana y campesina y aprovechamiento del tiempo libre) en los IEDS de l" u="1"/>
        <s v="Vincular 5.000 personas de la localidad a través procesos de prevención de la discriminación y exclusión, y  procesos que generen reconocimiento, sensibilización y visibilización de los derechos de las personas de los sectores pertenecientes a las polític" u="1"/>
        <s v="Vincular 800 personas en procesos para el mejoramiento de las condiciones de seguridad y convivencia  de los sectores prioritarios o puntos críticos de la localidad, fomentando la construcción de territorios de paz, la promoción de la resolución de confli" u="1"/>
      </sharedItems>
    </cacheField>
    <cacheField name="Cod. Indicador" numFmtId="0">
      <sharedItems containsMixedTypes="1" containsNumber="1" containsInteger="1" minValue="1" maxValue="76"/>
    </cacheField>
    <cacheField name="Indicador Unificado" numFmtId="0">
      <sharedItems/>
    </cacheField>
    <cacheField name="No. Proyecto (código presupuestal)" numFmtId="0">
      <sharedItems containsSemiMixedTypes="0" containsString="0" containsNumber="1" containsInteger="1" minValue="1147" maxValue="1178" count="18">
        <n v="1147"/>
        <n v="1149"/>
        <n v="1150"/>
        <n v="1164"/>
        <n v="1157"/>
        <n v="1161"/>
        <n v="1163"/>
        <n v="1165"/>
        <n v="1168"/>
        <n v="1170"/>
        <n v="1172"/>
        <n v="1174"/>
        <n v="1177"/>
        <n v="1178"/>
        <n v="1167"/>
        <n v="1175"/>
        <n v="1171"/>
        <n v="1173"/>
      </sharedItems>
    </cacheField>
    <cacheField name="Nombre Proyecto" numFmtId="0">
      <sharedItems/>
    </cacheField>
    <cacheField name="Cod. Meta proyecto" numFmtId="0">
      <sharedItems containsSemiMixedTypes="0" containsString="0" containsNumber="1" containsInteger="1" minValue="1" maxValue="4"/>
    </cacheField>
    <cacheField name="Proceso" numFmtId="0">
      <sharedItems/>
    </cacheField>
    <cacheField name="Magnitud" numFmtId="0">
      <sharedItems containsSemiMixedTypes="0" containsString="0" containsNumber="1" containsInteger="1" minValue="1" maxValue="12000"/>
    </cacheField>
    <cacheField name="Unidad de Medida" numFmtId="0">
      <sharedItems/>
    </cacheField>
    <cacheField name="Descripción" numFmtId="0">
      <sharedItems longText="1"/>
    </cacheField>
    <cacheField name="Sector (Seleccionar de la Lista)" numFmtId="3">
      <sharedItems/>
    </cacheField>
    <cacheField name="Producto" numFmtId="0">
      <sharedItems/>
    </cacheField>
    <cacheField name="Tipo de Meta" numFmtId="0">
      <sharedItems count="2">
        <s v="SUMA"/>
        <s v="CONSTANTE"/>
      </sharedItems>
    </cacheField>
    <cacheField name="Ponderación de la meta de proyecto frente a la meta del Plan" numFmtId="0">
      <sharedItems containsSemiMixedTypes="0" containsString="0" containsNumber="1" containsInteger="1" minValue="1" maxValue="1"/>
    </cacheField>
    <cacheField name="Avance Acumulado contratado (Meta de Proyecto) %" numFmtId="9">
      <sharedItems containsSemiMixedTypes="0" containsString="0" containsNumber="1" minValue="7.7968750000000003E-2" maxValue="7.333333333333333"/>
    </cacheField>
    <cacheField name="% AVANCE META PLAN CONSOLIDADO (contratado)" numFmtId="9">
      <sharedItems containsSemiMixedTypes="0" containsString="0" containsNumber="1" minValue="7.7968750000000003E-2" maxValue="7.333333333333333"/>
    </cacheField>
    <cacheField name="Avance Acumulado real (Meta de Proyecto) %" numFmtId="9">
      <sharedItems containsSemiMixedTypes="0" containsString="0" containsNumber="1" minValue="0" maxValue="9.3333333333333339"/>
    </cacheField>
    <cacheField name="% AVANCE META PLAN CONSOLIDADO (ejecución real)" numFmtId="9">
      <sharedItems containsSemiMixedTypes="0" containsString="0" containsNumber="1" minValue="0" maxValue="9.3333333333333339"/>
    </cacheField>
    <cacheField name="Linea Base (PMR)" numFmtId="0">
      <sharedItems containsString="0" containsBlank="1" containsNumber="1" containsInteger="1" minValue="0" maxValue="1795"/>
    </cacheField>
    <cacheField name="2,013" numFmtId="0">
      <sharedItems containsString="0" containsBlank="1" containsNumber="1" containsInteger="1" minValue="1" maxValue="3000"/>
    </cacheField>
    <cacheField name="2,014" numFmtId="0">
      <sharedItems containsString="0" containsBlank="1" containsNumber="1" minValue="0.5" maxValue="3000"/>
    </cacheField>
    <cacheField name="2,015" numFmtId="0">
      <sharedItems containsSemiMixedTypes="0" containsString="0" containsNumber="1" minValue="0.5" maxValue="3000"/>
    </cacheField>
    <cacheField name="2,016" numFmtId="0">
      <sharedItems containsString="0" containsBlank="1" containsNumber="1" containsInteger="1" minValue="1" maxValue="3000"/>
    </cacheField>
    <cacheField name="Total" numFmtId="0">
      <sharedItems containsSemiMixedTypes="0" containsString="0" containsNumber="1" containsInteger="1" minValue="1" maxValue="12000"/>
    </cacheField>
    <cacheField name="2,0132" numFmtId="0">
      <sharedItems containsSemiMixedTypes="0" containsString="0" containsNumber="1" minValue="0" maxValue="3000"/>
    </cacheField>
    <cacheField name="2,0142" numFmtId="0">
      <sharedItems containsSemiMixedTypes="0" containsString="0" containsNumber="1" minValue="0" maxValue="5600"/>
    </cacheField>
    <cacheField name="2,0152" numFmtId="0">
      <sharedItems containsSemiMixedTypes="0" containsString="0" containsNumber="1" containsInteger="1" minValue="0" maxValue="3000"/>
    </cacheField>
    <cacheField name="2,0162" numFmtId="0">
      <sharedItems containsSemiMixedTypes="0" containsString="0" containsNumber="1" minValue="0" maxValue="7000"/>
    </cacheField>
    <cacheField name="Ejecucion fisica ACUMULADA" numFmtId="0">
      <sharedItems containsSemiMixedTypes="0" containsString="0" containsNumber="1" minValue="0.75" maxValue="15960"/>
    </cacheField>
    <cacheField name="2,0133" numFmtId="0">
      <sharedItems containsSemiMixedTypes="0" containsString="0" containsNumber="1" minValue="0" maxValue="5656"/>
    </cacheField>
    <cacheField name="2,0143" numFmtId="0">
      <sharedItems containsSemiMixedTypes="0" containsString="0" containsNumber="1" containsInteger="1" minValue="0" maxValue="5600"/>
    </cacheField>
    <cacheField name="2,0153" numFmtId="0">
      <sharedItems containsSemiMixedTypes="0" containsString="0" containsNumber="1" minValue="0" maxValue="3000"/>
    </cacheField>
    <cacheField name="2,0163" numFmtId="0">
      <sharedItems containsString="0" containsBlank="1" containsNumber="1" containsInteger="1" minValue="0" maxValue="2700" count="7">
        <n v="0"/>
        <m/>
        <n v="530"/>
        <n v="2700"/>
        <n v="1"/>
        <n v="9"/>
        <n v="7"/>
      </sharedItems>
    </cacheField>
    <cacheField name="Ejecucion fisica real ACUMULADA" numFmtId="0">
      <sharedItems containsSemiMixedTypes="0" containsString="0" containsNumber="1" minValue="0" maxValue="13425"/>
    </cacheField>
    <cacheField name="2,0134" numFmtId="171">
      <sharedItems containsSemiMixedTypes="0" containsString="0" containsNumber="1" containsInteger="1" minValue="0" maxValue="4620000000"/>
    </cacheField>
    <cacheField name="2,0144" numFmtId="171">
      <sharedItems containsSemiMixedTypes="0" containsString="0" containsNumber="1" containsInteger="1" minValue="0" maxValue="4573579496"/>
    </cacheField>
    <cacheField name="2,0154" numFmtId="171">
      <sharedItems containsSemiMixedTypes="0" containsString="0" containsNumber="1" containsInteger="1" minValue="0" maxValue="6124021803"/>
    </cacheField>
    <cacheField name="2,0164" numFmtId="171">
      <sharedItems containsSemiMixedTypes="0" containsString="0" containsNumber="1" containsInteger="1" minValue="0" maxValue="7582150000"/>
    </cacheField>
    <cacheField name="Total2" numFmtId="171">
      <sharedItems containsSemiMixedTypes="0" containsString="0" containsNumber="1" containsInteger="1" minValue="20000000" maxValue="17706171803"/>
    </cacheField>
    <cacheField name="2,0135" numFmtId="171">
      <sharedItems containsString="0" containsBlank="1" containsNumber="1" containsInteger="1" minValue="0" maxValue="2813927335"/>
    </cacheField>
    <cacheField name="2,0145" numFmtId="171">
      <sharedItems containsSemiMixedTypes="0" containsString="0" containsNumber="1" minValue="0" maxValue="1771771445"/>
    </cacheField>
    <cacheField name="2,0155" numFmtId="171">
      <sharedItems containsSemiMixedTypes="0" containsString="0" containsNumber="1" containsInteger="1" minValue="0" maxValue="2479501306"/>
    </cacheField>
    <cacheField name="2,0165" numFmtId="171">
      <sharedItems containsSemiMixedTypes="0" containsString="0" containsNumber="1" containsInteger="1" minValue="0" maxValue="1539899990"/>
    </cacheField>
    <cacheField name="Total3" numFmtId="171">
      <sharedItems containsSemiMixedTypes="0" containsString="0" containsNumber="1" minValue="0" maxValue="53141237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
  <r>
    <x v="0"/>
    <n v="1"/>
    <n v="102"/>
    <s v="Dotar 30 equipamientos de elementos necesarios para la atención integral a la primera infancia"/>
    <n v="0.6333333333333333"/>
    <x v="0"/>
  </r>
  <r>
    <x v="0"/>
    <n v="1"/>
    <n v="103"/>
    <s v="Vincular 2.000 niños y niñas de  0 a 5 años a través de  la prevención y estimulación para la primera infancia"/>
    <n v="0.72"/>
    <x v="1"/>
  </r>
  <r>
    <x v="0"/>
    <n v="2"/>
    <n v="104"/>
    <s v="Vincular 12.000 personas de la localidad y su ruralidad mediante programas de promoción y prevención en salud"/>
    <n v="0.25"/>
    <x v="2"/>
  </r>
  <r>
    <x v="0"/>
    <n v="2"/>
    <n v="105"/>
    <s v="Vincular 1.200 personas de la localidad mediante estrategias de prevención, promoción y sensibilización en educación sexual y reproductiva e Infecciones de Transmisión Sexual con enfoque diferencial"/>
    <n v="0.25"/>
    <x v="2"/>
  </r>
  <r>
    <x v="0"/>
    <n v="2"/>
    <n v="106"/>
    <s v="Vincular 320 personas en condición de discapacidad a través del Banco de Ayudas Técnicas"/>
    <n v="0.24687500000000001"/>
    <x v="2"/>
  </r>
  <r>
    <x v="0"/>
    <n v="3"/>
    <n v="107"/>
    <s v="Vincular 400 personas mediante programas de Educación flexible y diferencial para adultos de la localidad"/>
    <n v="0.32500000000000001"/>
    <x v="0"/>
  </r>
  <r>
    <x v="0"/>
    <n v="3"/>
    <n v="108"/>
    <s v="Vincular 1.000 personas escolarizadas entre ellas en condición de discapacidad, mediante actividades de aprendizaje y reforzamiento escolar (lectoescritura, idiomas, arte, agricultura urbana y campesina y aprovechamiento del tiempo libre) en los IEDS de l"/>
    <n v="0.9"/>
    <x v="1"/>
  </r>
  <r>
    <x v="0"/>
    <n v="3"/>
    <n v="109"/>
    <s v="Dotar 8 IEDS con medios didácticos apropiados a su Proyecto Educativo Institucional-PEI, laboratorios y mobiliario"/>
    <n v="0"/>
    <x v="2"/>
  </r>
  <r>
    <x v="0"/>
    <n v="3"/>
    <n v="110"/>
    <s v="Vincular 3.000 personas con el fortalecimiento de las instituciones educativas a través de la realización de un foro educativo anual"/>
    <n v="0.48333333333333334"/>
    <x v="0"/>
  </r>
  <r>
    <x v="0"/>
    <n v="4"/>
    <n v="111"/>
    <s v="Vincular 200 mujeres  en programas con enfoque diferencial, mecanismos de protección, capacitación para la  prevención de violencia contra las mujeres y visibilización de la política pública de la mujer y género"/>
    <n v="0"/>
    <x v="2"/>
  </r>
  <r>
    <x v="0"/>
    <n v="5"/>
    <n v="112"/>
    <s v="Beneficiar  900 adultos mayores anualmente  mediante la entrega de subsidios económicos"/>
    <n v="0.91666666666666663"/>
    <x v="1"/>
  </r>
  <r>
    <x v="0"/>
    <n v="5"/>
    <n v="113"/>
    <s v="Vincular 220 personas en situación de fragilidad social (adulto mayor trabajadores (as) sexuales y/o habitante de calle) con programas y/o procesos que busquen mejorar sus condiciones de vida"/>
    <n v="0.95454545454545459"/>
    <x v="1"/>
  </r>
  <r>
    <x v="0"/>
    <n v="5"/>
    <n v="114"/>
    <s v="Vincular 5.000 personas de la localidad a través procesos de prevención de la discriminación y exclusión, y  procesos que generen reconocimiento, sensibilización y visibilización de los derechos de las personas de los sectores pertenecientes a las polític"/>
    <n v="0.31"/>
    <x v="0"/>
  </r>
  <r>
    <x v="0"/>
    <n v="5"/>
    <n v="115"/>
    <s v="Vincular 1.000 personas  mediante acciones de prevención de casos de violencia intrafamiliar y explotación infantil con enfoque diferencial y otros tipos de violencias por discriminación"/>
    <n v="0.28100000000000003"/>
    <x v="2"/>
  </r>
  <r>
    <x v="0"/>
    <n v="8"/>
    <n v="116"/>
    <s v="Apropiar 2 espacios culturales significativos de la localidad a través de corredores culturales e inventario patrimonial tangible e intangible"/>
    <n v="1"/>
    <x v="1"/>
  </r>
  <r>
    <x v="0"/>
    <n v="8"/>
    <n v="117"/>
    <s v="Realizar 9 eventos culturales anuales en  los que se visibilicen las prácticas culturales de la localidad: Día  de la afrocolombianidad, Día del campesino, Festival de la chicha, Festival de Hip Hop, Festival de la alegría, Día del Adulto Mayor, Día de la"/>
    <n v="0.55555555555555558"/>
    <x v="0"/>
  </r>
  <r>
    <x v="0"/>
    <n v="8"/>
    <n v="118"/>
    <s v="Vincular 4.500 personas en eventos y formación deportiva que permitan la integración de niños, niñas, jóvenes, adolescentes, adultos y adultos mayores"/>
    <n v="0.71111111111111114"/>
    <x v="1"/>
  </r>
  <r>
    <x v="0"/>
    <n v="8"/>
    <n v="119"/>
    <s v="Vincular 350 niñas, niños y adolescentes anualmente a través de la práctica de grupos orquestales y formación artística y/o cultural"/>
    <n v="0.5178571428571429"/>
    <x v="0"/>
  </r>
  <r>
    <x v="0"/>
    <n v="8"/>
    <n v="120"/>
    <s v="Dotar 4 bibliotecas comunitarias con  elementos, materiales, mobiliario y apoyos logísticos"/>
    <n v="0"/>
    <x v="2"/>
  </r>
  <r>
    <x v="1"/>
    <n v="17"/>
    <n v="121"/>
    <s v="Recuperar 3 ríos y/o quebradas de la localidad de Santa Fe para el desarrollo integral – ambiental"/>
    <n v="3.3333333333333335"/>
    <x v="1"/>
  </r>
  <r>
    <x v="1"/>
    <n v="17"/>
    <n v="122"/>
    <s v="Recuperar 25 puntos críticos identificados en el diagnóstico ambiental local que afectan el medio ambiente con procesos de atención, recuperación, organización y educación ambiental"/>
    <n v="0.32"/>
    <x v="0"/>
  </r>
  <r>
    <x v="1"/>
    <n v="17"/>
    <n v="123"/>
    <s v="Recuperar 10 hectáreas ambientalmente estratégicas a través de acciones de rehabilitación ecológica y procesos de sustentabilidad campesina"/>
    <n v="0.6"/>
    <x v="0"/>
  </r>
  <r>
    <x v="1"/>
    <n v="17"/>
    <n v="124"/>
    <s v="Vincular  500 personas a través de la Planificación Agroforestal y el fortalecimiento de la asistencia técnica para armonizar con el desarrollo sostenible"/>
    <n v="0.25"/>
    <x v="2"/>
  </r>
  <r>
    <x v="1"/>
    <n v="19"/>
    <n v="125"/>
    <s v="Mantener 64 Km/Carril  de la malla vial local"/>
    <n v="7.8125E-2"/>
    <x v="2"/>
  </r>
  <r>
    <x v="1"/>
    <n v="19"/>
    <n v="126"/>
    <s v="Rehabilitar 19 Km/Carril  de la malla vial local"/>
    <n v="0.21052631578947367"/>
    <x v="2"/>
  </r>
  <r>
    <x v="1"/>
    <n v="19"/>
    <n v="127"/>
    <s v="Mantener y rehabilitar 12.000 M2 de espacio público"/>
    <n v="0.93799999999999994"/>
    <x v="1"/>
  </r>
  <r>
    <x v="1"/>
    <n v="20"/>
    <n v="128"/>
    <s v="Vincular 400 personas con programas para la prevención de riesgos"/>
    <n v="0.5"/>
    <x v="0"/>
  </r>
  <r>
    <x v="1"/>
    <n v="20"/>
    <n v="129"/>
    <s v="Realizar 1 dotación al Comité Local de Emergencias - CLE de elementos para la atención del riesgo"/>
    <n v="0.75"/>
    <x v="1"/>
  </r>
  <r>
    <x v="1"/>
    <n v="21"/>
    <n v="130"/>
    <s v="Vincular 400 personas mediante procesos de sensibilización y estrategias para el manejo de residuos sólidos"/>
    <n v="0.25"/>
    <x v="2"/>
  </r>
  <r>
    <x v="1"/>
    <n v="22"/>
    <n v="131"/>
    <s v="Vincular 160 personas mediante acciones pedagógicas y de sensibilización a través de jornadas de apropiación del entorno"/>
    <n v="3.125"/>
    <x v="1"/>
  </r>
  <r>
    <x v="2"/>
    <n v="24"/>
    <n v="132"/>
    <s v="Vincular  600 personas en los ejercicios de los presupuestos participativos en la localidad de Santa Fe"/>
    <n v="0"/>
    <x v="2"/>
  </r>
  <r>
    <x v="2"/>
    <n v="24"/>
    <n v="133"/>
    <s v="Fortalecer 60 Organizaciones Sociales  a través del apoyo de las acciones  y propuestas para el mejoramiento de las expresiones sociales"/>
    <n v="0.25"/>
    <x v="2"/>
  </r>
  <r>
    <x v="2"/>
    <n v="24"/>
    <n v="134"/>
    <s v="Dotar y/o adecuar 15 salones comunales con elementos, materiales y mobiliario para el desarrollo de la participación en la toma de decisiones"/>
    <n v="0.53333333333333333"/>
    <x v="0"/>
  </r>
  <r>
    <x v="2"/>
    <n v="26"/>
    <n v="135"/>
    <s v="Vincular 400 personas en el fortalecimiento y consolidación del control social de las ciudadanas y ciudadanos"/>
    <n v="0"/>
    <x v="2"/>
  </r>
  <r>
    <x v="2"/>
    <n v="27"/>
    <n v="136"/>
    <s v="Vincular 800 personas en procesos para el mejoramiento de las condiciones de seguridad y convivencia  de los sectores prioritarios o puntos críticos de la localidad, fomentando la construcción de territorios de paz, la promoción de la resolución de confli"/>
    <n v="0.25"/>
    <x v="2"/>
  </r>
  <r>
    <x v="2"/>
    <n v="27"/>
    <n v="137"/>
    <s v="Vincular 800 personas con acciones para motivar el cumplimiento voluntario de normas en la localidad"/>
    <n v="0.46875"/>
    <x v="0"/>
  </r>
  <r>
    <x v="2"/>
    <n v="27"/>
    <n v="138"/>
    <s v="Vincular 800 personas con estrategias para promocionar la defensa del espacio público en la localidad"/>
    <n v="6.25E-2"/>
    <x v="2"/>
  </r>
  <r>
    <x v="2"/>
    <n v="30"/>
    <n v="139"/>
    <s v="Fortalecer 1 Comité de Participación Comunitaria en Salud - COPACOS"/>
    <n v="0.5"/>
    <x v="0"/>
  </r>
  <r>
    <x v="2"/>
    <n v="31"/>
    <n v="140"/>
    <s v="Realizar 1 fortalecimiento a la función administrativa y desarrollo institucional anualmente"/>
    <n v="0.5"/>
    <x v="0"/>
  </r>
  <r>
    <x v="2"/>
    <n v="31"/>
    <n v="141"/>
    <s v="Realizar a los 7 ediles de la localidad el pago de honorarios correspondiente a sesiones ordinarias, extraordinarias y comisiones permanentes y el fortalecimiento de la función administrativa y desarrollo institucional de la JAL de Santa Fe"/>
    <n v="0.5"/>
    <x v="0"/>
  </r>
  <r>
    <x v="2"/>
    <n v="31"/>
    <n v="142"/>
    <s v="Implementar 1 Sistema Integrado de Gestión en la administración local"/>
    <n v="0.5"/>
    <x v="0"/>
  </r>
  <r>
    <x v="2"/>
    <n v="32"/>
    <n v="143"/>
    <s v="Vincular 4.000 personas a través de procesos de Tecnologías de la información, la comunicación y medios comunicativos"/>
    <n v="0.25"/>
    <x v="2"/>
  </r>
</pivotCacheRecords>
</file>

<file path=xl/pivotCache/pivotCacheRecords2.xml><?xml version="1.0" encoding="utf-8"?>
<pivotCacheRecords xmlns="http://schemas.openxmlformats.org/spreadsheetml/2006/main" xmlns:r="http://schemas.openxmlformats.org/officeDocument/2006/relationships" count="42">
  <r>
    <x v="0"/>
    <n v="1"/>
    <n v="102"/>
    <s v="Dotar 30 equipamientos de elementos necesarios para la atención integral a la primera infancia"/>
    <n v="0.9"/>
    <x v="0"/>
  </r>
  <r>
    <x v="0"/>
    <n v="1"/>
    <n v="103"/>
    <s v="Vincular 2.000 niños y niñas de  0 a 5 años a través de  la prevención y estimulación para la primera infancia"/>
    <n v="0.92300000000000004"/>
    <x v="0"/>
  </r>
  <r>
    <x v="0"/>
    <n v="2"/>
    <n v="104"/>
    <s v="Vincular 12.000 personas de la localidad y su ruralidad mediante programas de promoción y prevención en salud"/>
    <n v="0.75"/>
    <x v="0"/>
  </r>
  <r>
    <x v="0"/>
    <n v="2"/>
    <n v="105"/>
    <s v="Vincular 1.200 personas de la localidad mediante estrategias de prevención, promoción y sensibilización en educación sexual y reproductiva e Infecciones de Transmisión Sexual con enfoque diferencial"/>
    <n v="0.75"/>
    <x v="0"/>
  </r>
  <r>
    <x v="0"/>
    <n v="2"/>
    <n v="106"/>
    <s v="Vincular 320 personas en condición de discapacidad a través del Banco de Ayudas Técnicas"/>
    <n v="0.84375"/>
    <x v="0"/>
  </r>
  <r>
    <x v="0"/>
    <n v="3"/>
    <n v="107"/>
    <s v="Vincular 400 personas mediante programas de Educación flexible y diferencial para adultos de la localidad"/>
    <n v="0.98750000000000004"/>
    <x v="0"/>
  </r>
  <r>
    <x v="0"/>
    <n v="3"/>
    <n v="108"/>
    <s v="Vincular 1.000 personas escolarizadas entre ellas en condición de discapacidad, mediante actividades de aprendizaje y reforzamiento escolar (lectoescritura, idiomas, arte, agricultura urbana y campesina y aprovechamiento del tiempo libre) en los IEDS de l"/>
    <n v="1.2"/>
    <x v="0"/>
  </r>
  <r>
    <x v="0"/>
    <n v="3"/>
    <n v="109"/>
    <s v="Dotar 8 IEDS con medios didácticos apropiados a su Proyecto Educativo Institucional-PEI, laboratorios y mobiliario"/>
    <n v="1.125"/>
    <x v="0"/>
  </r>
  <r>
    <x v="0"/>
    <n v="3"/>
    <n v="110"/>
    <s v="Vincular 3.000 personas con el fortalecimiento de las instituciones educativas a través de la realización de un foro educativo anual"/>
    <n v="0.76666666666666672"/>
    <x v="0"/>
  </r>
  <r>
    <x v="0"/>
    <n v="4"/>
    <n v="111"/>
    <s v="Vincular 200 mujeres  en programas con enfoque diferencial, mecanismos de protección, capacitación para la  prevención de violencia contra las mujeres y visibilización de la política pública de la mujer y género"/>
    <n v="0"/>
    <x v="1"/>
  </r>
  <r>
    <x v="0"/>
    <n v="5"/>
    <n v="112"/>
    <s v="Beneficiar  900 adultos mayores anualmente  mediante la entrega de subsidios económicos"/>
    <n v="1.2222222222222223"/>
    <x v="0"/>
  </r>
  <r>
    <x v="0"/>
    <n v="5"/>
    <n v="113"/>
    <s v="Vincular 220 personas en situación de fragilidad social (adulto mayor trabajadores (as) sexuales y/o habitante de calle) con programas y/o procesos que busquen mejorar sus condiciones de vida"/>
    <n v="0.95454545454545459"/>
    <x v="0"/>
  </r>
  <r>
    <x v="0"/>
    <n v="5"/>
    <n v="114"/>
    <s v="Vincular 5.000 personas de la localidad a través procesos de prevención de la discriminación y exclusión, y  procesos que generen reconocimiento, sensibilización y visibilización de los derechos de las personas de los sectores pertenecientes a las polític"/>
    <n v="0.86"/>
    <x v="0"/>
  </r>
  <r>
    <x v="0"/>
    <n v="5"/>
    <n v="115"/>
    <s v="Vincular 1.000 personas  mediante acciones de prevención de casos de violencia intrafamiliar y explotación infantil con enfoque diferencial y otros tipos de violencias por discriminación"/>
    <n v="0.9"/>
    <x v="0"/>
  </r>
  <r>
    <x v="0"/>
    <n v="8"/>
    <n v="116"/>
    <s v="Apropiar 2 espacios culturales significativos de la localidad a través de corredores culturales e inventario patrimonial tangible e intangible"/>
    <n v="1.5"/>
    <x v="0"/>
  </r>
  <r>
    <x v="0"/>
    <n v="8"/>
    <n v="117"/>
    <s v="Realizar 9 eventos culturales anuales en  los que se visibilicen las prácticas culturales de la localidad: Día  de la afrocolombianidad, Día del campesino, Festival de la chicha, Festival de Hip Hop, Festival de la alegría, Día del Adulto Mayor, Día de la"/>
    <n v="0.91666666666666663"/>
    <x v="0"/>
  </r>
  <r>
    <x v="0"/>
    <n v="8"/>
    <n v="118"/>
    <s v="Vincular 4.500 personas en eventos y formación deportiva que permitan la integración de niños, niñas, jóvenes, adolescentes, adultos y adultos mayores"/>
    <n v="1.2177777777777778"/>
    <x v="0"/>
  </r>
  <r>
    <x v="0"/>
    <n v="8"/>
    <n v="119"/>
    <s v="Vincular 350 niñas, niños y adolescentes anualmente a través de la práctica de grupos orquestales y formación artística y/o cultural"/>
    <n v="0.6964285714285714"/>
    <x v="2"/>
  </r>
  <r>
    <x v="0"/>
    <n v="8"/>
    <n v="120"/>
    <s v="Dotar 4 bibliotecas comunitarias con  elementos, materiales, mobiliario y apoyos logísticos"/>
    <n v="0.75"/>
    <x v="0"/>
  </r>
  <r>
    <x v="1"/>
    <n v="17"/>
    <n v="121"/>
    <s v="Recuperar 3 ríos y/o quebradas de la localidad de Santa Fe para el desarrollo integral – ambiental"/>
    <n v="6.333333333333333"/>
    <x v="0"/>
  </r>
  <r>
    <x v="1"/>
    <n v="17"/>
    <n v="122"/>
    <s v="Recuperar 25 puntos críticos identificados en el diagnóstico ambiental local que afectan el medio ambiente con procesos de atención, recuperación, organización y educación ambiental"/>
    <n v="1"/>
    <x v="0"/>
  </r>
  <r>
    <x v="1"/>
    <n v="17"/>
    <n v="123"/>
    <s v="Recuperar 10 hectáreas ambientalmente estratégicas a través de acciones de rehabilitación ecológica y procesos de sustentabilidad campesina"/>
    <n v="0.75"/>
    <x v="0"/>
  </r>
  <r>
    <x v="1"/>
    <n v="17"/>
    <n v="124"/>
    <s v="Vincular  500 personas a través de la Planificación Agroforestal y el fortalecimiento de la asistencia técnica para armonizar con el desarrollo sostenible"/>
    <n v="0.25"/>
    <x v="1"/>
  </r>
  <r>
    <x v="1"/>
    <n v="19"/>
    <n v="125"/>
    <s v="Mantener 64 Km/Carril  de la malla vial local"/>
    <n v="7.7968750000000003E-2"/>
    <x v="1"/>
  </r>
  <r>
    <x v="1"/>
    <n v="19"/>
    <n v="126"/>
    <s v="Rehabilitar 19 Km/Carril  de la malla vial local"/>
    <n v="0.31578947368421051"/>
    <x v="2"/>
  </r>
  <r>
    <x v="1"/>
    <n v="19"/>
    <n v="127"/>
    <s v="Mantener y rehabilitar 12.000 M2 de espacio público"/>
    <n v="0.7466666666666667"/>
    <x v="0"/>
  </r>
  <r>
    <x v="1"/>
    <n v="20"/>
    <n v="128"/>
    <s v="Vincular 400 personas con programas para la prevención de riesgos"/>
    <n v="0.5"/>
    <x v="2"/>
  </r>
  <r>
    <x v="1"/>
    <n v="20"/>
    <n v="129"/>
    <s v="Realizar 1 dotación al Comité Local de Emergencias - CLE de elementos para la atención del riesgo"/>
    <n v="2.5"/>
    <x v="0"/>
  </r>
  <r>
    <x v="1"/>
    <n v="21"/>
    <n v="130"/>
    <s v="Vincular 400 personas mediante procesos de sensibilización y estrategias para el manejo de residuos sólidos"/>
    <n v="0.875"/>
    <x v="0"/>
  </r>
  <r>
    <x v="1"/>
    <n v="22"/>
    <n v="131"/>
    <s v="Vincular 160 personas mediante acciones pedagógicas y de sensibilización a través de jornadas de apropiación del entorno"/>
    <n v="0.5"/>
    <x v="2"/>
  </r>
  <r>
    <x v="2"/>
    <n v="24"/>
    <n v="132"/>
    <s v="Vincular  600 personas en los ejercicios de los presupuestos participativos en la localidad de Santa Fe"/>
    <n v="0.25"/>
    <x v="1"/>
  </r>
  <r>
    <x v="2"/>
    <n v="24"/>
    <n v="133"/>
    <s v="Fortalecer 60 Organizaciones Sociales  a través del apoyo de las acciones  y propuestas para el mejoramiento de las expresiones sociales"/>
    <n v="1.3333333333333333"/>
    <x v="0"/>
  </r>
  <r>
    <x v="2"/>
    <n v="24"/>
    <n v="134"/>
    <s v="Dotar y/o adecuar 15 salones comunales con elementos, materiales y mobiliario para el desarrollo de la participación en la toma de decisiones"/>
    <n v="1.3333333333333333"/>
    <x v="0"/>
  </r>
  <r>
    <x v="2"/>
    <n v="26"/>
    <n v="135"/>
    <s v="Vincular 400 personas en el fortalecimiento y consolidación del control social de las ciudadanas y ciudadanos"/>
    <n v="1.55"/>
    <x v="0"/>
  </r>
  <r>
    <x v="2"/>
    <n v="27"/>
    <n v="136"/>
    <s v="Vincular 800 personas en procesos para el mejoramiento de las condiciones de seguridad y convivencia  de los sectores prioritarios o puntos críticos de la localidad, fomentando la construcción de territorios de paz, la promoción de la resolución de confli"/>
    <n v="0.96250000000000002"/>
    <x v="0"/>
  </r>
  <r>
    <x v="2"/>
    <n v="27"/>
    <n v="137"/>
    <s v="Vincular 800 personas con acciones para motivar el cumplimiento voluntario de normas en la localidad"/>
    <n v="0.58125000000000004"/>
    <x v="2"/>
  </r>
  <r>
    <x v="2"/>
    <n v="27"/>
    <n v="138"/>
    <s v="Vincular 800 personas con estrategias para promocionar la defensa del espacio público en la localidad"/>
    <n v="1"/>
    <x v="0"/>
  </r>
  <r>
    <x v="2"/>
    <n v="30"/>
    <n v="139"/>
    <s v="Fortalecer 1 Comité de Participación Comunitaria en Salud - COPACOS"/>
    <n v="0.75"/>
    <x v="0"/>
  </r>
  <r>
    <x v="2"/>
    <n v="31"/>
    <n v="140"/>
    <s v="Realizar 1 fortalecimiento a la función administrativa y desarrollo institucional anualmente"/>
    <n v="0.75"/>
    <x v="0"/>
  </r>
  <r>
    <x v="2"/>
    <n v="31"/>
    <n v="141"/>
    <s v="Realizar a los 7 ediles de la localidad el pago de honorarios correspondiente a sesiones ordinarias, extraordinarias y comisiones permanentes y el fortalecimiento de la función administrativa y desarrollo institucional de la JAL de Santa Fe"/>
    <n v="0.75"/>
    <x v="0"/>
  </r>
  <r>
    <x v="2"/>
    <n v="31"/>
    <n v="142"/>
    <s v="Implementar 1 Sistema Integrado de Gestión en la administración local"/>
    <n v="0.75"/>
    <x v="0"/>
  </r>
  <r>
    <x v="2"/>
    <n v="32"/>
    <n v="143"/>
    <s v="Vincular 4.000 personas a través de procesos de Tecnologías de la información, la comunicación y medios comunicativos"/>
    <n v="0.25"/>
    <x v="1"/>
  </r>
</pivotCacheRecords>
</file>

<file path=xl/pivotCache/pivotCacheRecords3.xml><?xml version="1.0" encoding="utf-8"?>
<pivotCacheRecords xmlns="http://schemas.openxmlformats.org/spreadsheetml/2006/main" xmlns:r="http://schemas.openxmlformats.org/officeDocument/2006/relationships" count="42">
  <r>
    <x v="0"/>
    <x v="0"/>
    <n v="2"/>
    <s v="Equipamientos para la atención a la primera infancia dotados"/>
    <n v="1147"/>
    <s v="Santa Fe crece saludable y feliz"/>
    <n v="2"/>
    <s v="Dotar"/>
    <n v="30"/>
    <s v="equipamientos"/>
    <s v="de elementos necesarios para la atención integral a la primera infancia"/>
    <s v="10. SDIS"/>
    <s v="Adecuación , habilitación y dotación de jardines"/>
    <s v="SUMA"/>
    <n v="1"/>
    <n v="0.9"/>
    <n v="0.9"/>
    <n v="1.0333333333333334"/>
    <n v="1.0333333333333334"/>
  </r>
  <r>
    <x v="1"/>
    <x v="1"/>
    <n v="1"/>
    <s v="Personas vinculadas a acciones de promoción del buen trato"/>
    <n v="1147"/>
    <s v="Santa Fe crece saludable y feliz"/>
    <n v="1"/>
    <s v="Vincular"/>
    <n v="2000"/>
    <s v="niños y niñas"/>
    <s v="de 0 a 5 años a través de la prevención y estimulación para la primera infancia"/>
    <s v="10. SDIS"/>
    <s v="Protección integral a niños y niñas y adolescentes"/>
    <s v="SUMA"/>
    <n v="1"/>
    <n v="0.92300000000000004"/>
    <n v="0.92300000000000004"/>
    <n v="0.92300000000000004"/>
    <n v="0.92300000000000004"/>
  </r>
  <r>
    <x v="2"/>
    <x v="2"/>
    <n v="4"/>
    <s v="Personas vinculadas a acciones de promoción y prevención en salud"/>
    <n v="1149"/>
    <s v="Santa Fe con salud para todas y todos"/>
    <n v="1"/>
    <s v="Vincular"/>
    <n v="12000"/>
    <s v="personas"/>
    <s v="de la localidad y su ruralidad mediante programas de promoción y prevención en salud"/>
    <s v="9. SALUD"/>
    <s v="Promoción, prevención e intervención en salud"/>
    <s v="SUMA"/>
    <n v="1"/>
    <n v="1.0908333333333333"/>
    <n v="1.0908333333333333"/>
    <n v="0.75"/>
    <n v="0.75"/>
  </r>
  <r>
    <x v="3"/>
    <x v="3"/>
    <n v="4"/>
    <s v="Personas vinculadas a acciones de promoción y prevención en salud"/>
    <n v="1149"/>
    <s v="Santa Fe con salud para todas y todos"/>
    <n v="2"/>
    <s v="Vincular"/>
    <n v="1200"/>
    <s v="personas"/>
    <s v="de la localidad  mediante estrategias de prevención, promoción y sensibilización en educación sexual y reproductiva e Infeccion"/>
    <s v="9. SALUD"/>
    <s v="Promoción, prevención e intervención en salud"/>
    <s v="SUMA"/>
    <n v="1"/>
    <n v="1.5"/>
    <n v="1.5"/>
    <n v="0.81666666666666665"/>
    <n v="0.81666666666666665"/>
  </r>
  <r>
    <x v="4"/>
    <x v="4"/>
    <n v="5"/>
    <s v="Personas benficiadas con ayudas técnicas"/>
    <n v="1149"/>
    <s v="Santa Fe con salud para todas y todos"/>
    <n v="3"/>
    <s v="Vincular"/>
    <n v="320"/>
    <s v="personas"/>
    <s v="en condicion de discapacidad a través del Banco de Ayudas Técnicas"/>
    <s v="9. SALUD"/>
    <s v="Promoción, prevención e intervención en salud"/>
    <s v="SUMA"/>
    <n v="1"/>
    <n v="1.09375"/>
    <n v="1.09375"/>
    <n v="1.3"/>
    <n v="1.3"/>
  </r>
  <r>
    <x v="5"/>
    <x v="5"/>
    <n v="11"/>
    <s v="Personas vinculadas a programas de educación para adultos"/>
    <n v="1150"/>
    <s v="Con educación para todas y todos"/>
    <n v="1"/>
    <s v="Vincular"/>
    <n v="400"/>
    <s v="mujeres y hombres adultos"/>
    <s v="mediante programas de Educación flexible y diferencial para adultos de la localidad"/>
    <s v="4. EDUCACIÓN"/>
    <s v="Validación Escolar"/>
    <s v="SUMA"/>
    <n v="1"/>
    <n v="1.2375"/>
    <n v="1.2375"/>
    <n v="1.0625"/>
    <n v="1.0625"/>
  </r>
  <r>
    <x v="6"/>
    <x v="6"/>
    <n v="9"/>
    <s v="Estudiantes vinculados a actividades extraescolares"/>
    <n v="1150"/>
    <s v="Con educación para todas y todos"/>
    <n v="2"/>
    <s v="Beneficiar"/>
    <n v="1000"/>
    <s v="niños, niñas y adolecentes escolarizados"/>
    <s v="por medio de actividades lúdicas, pedagógicas y recreativas en tiempo extraescolar, dirigidas a los niños, niñas y jóvenes de los IEDS ubicados en la localidad"/>
    <s v="4. EDUCACIÓN"/>
    <s v="Actividades Extraescolares"/>
    <s v="SUMA"/>
    <n v="1"/>
    <n v="1.2"/>
    <n v="1.2"/>
    <n v="1.2"/>
    <n v="1.2"/>
  </r>
  <r>
    <x v="7"/>
    <x v="7"/>
    <n v="7"/>
    <s v="Planteles educativos dotados"/>
    <n v="1150"/>
    <s v="Con educación para todas y todos"/>
    <n v="3"/>
    <s v="Dotar"/>
    <n v="8"/>
    <s v="colegios distritales"/>
    <s v="ubicados en la localidad con medios didácticos apropiados a su Proyecto Educativo Institucional-PEI, laboratorios y mobiliario"/>
    <s v="4. EDUCACIÓN"/>
    <s v="Infraestructura y dotación escolar"/>
    <s v="SUMA"/>
    <n v="1"/>
    <n v="1.125"/>
    <n v="1.125"/>
    <n v="1.125"/>
    <n v="1.125"/>
  </r>
  <r>
    <x v="8"/>
    <x v="8"/>
    <s v="N/A"/>
    <s v="No agrega"/>
    <n v="1150"/>
    <s v="Con educación para todas y todos"/>
    <n v="4"/>
    <s v="Vincular"/>
    <n v="3000"/>
    <s v="personas"/>
    <s v="con el fortalecimiento de las instituciones educativas a través de la realización de un foro educativo anual"/>
    <s v="N/A"/>
    <s v="N/A"/>
    <s v="SUMA"/>
    <n v="1"/>
    <n v="0.94333333333333336"/>
    <n v="0.94333333333333336"/>
    <n v="0.96"/>
    <n v="0.96"/>
  </r>
  <r>
    <x v="9"/>
    <x v="9"/>
    <n v="14"/>
    <s v="Personas vinculadas a procesos de prevención de la violencia y discriminación de género"/>
    <n v="1164"/>
    <s v="Apoyo a acciones del plan de igualdad de oportunidades"/>
    <n v="1"/>
    <s v="Vincular"/>
    <n v="200"/>
    <s v="mujeres"/>
    <s v="en programas con enfoque diferencial, mecanismos de protección, capacitación para la prevención de violencia contra las mujeres y visibilización de la política pública de la mujer y género"/>
    <s v="12. SECRETARÍA DE LA MUJER"/>
    <s v="Espacios y procesos de participación ciudadana fortalecidos"/>
    <s v="SUMA"/>
    <n v="1"/>
    <n v="1.25"/>
    <n v="1.25"/>
    <n v="0"/>
    <n v="0"/>
  </r>
  <r>
    <x v="10"/>
    <x v="10"/>
    <n v="19"/>
    <s v="Personas con subsidio tipo C  beneficiadas"/>
    <n v="1157"/>
    <s v="Santa Fe reduce la discriminación y segregación social"/>
    <n v="1"/>
    <s v="Suministrar"/>
    <n v="900"/>
    <s v="subsidios"/>
    <s v="tipo C mensuales a adultos mayores a través de una entidad bancaria y de acuerdo con los procedimientos establecidos"/>
    <s v="10. SDIS"/>
    <s v="Protección  integral a personas y familias en situación de vulneración"/>
    <s v="CONSTANTE"/>
    <n v="1"/>
    <n v="1.9722222222222223"/>
    <n v="1.9722222222222223"/>
    <n v="2.0277777777777777"/>
    <n v="2.0277777777777777"/>
  </r>
  <r>
    <x v="11"/>
    <x v="11"/>
    <s v="N/A"/>
    <s v="No agrega"/>
    <n v="1157"/>
    <s v="Santa Fe reduce la discriminación y segregación social"/>
    <n v="2"/>
    <s v="Vincular"/>
    <n v="220"/>
    <s v="personas"/>
    <s v="en situación de fragilidad social (adulto mayor, prostitución y/o habitante de calle) con programas y/o procesos que busquen mejorar sus condiciones de vida"/>
    <s v="N/A"/>
    <s v="N/A"/>
    <s v="SUMA"/>
    <n v="1"/>
    <n v="0.95454545454545459"/>
    <n v="0.95454545454545459"/>
    <n v="0.95454545454545459"/>
    <n v="0.95454545454545459"/>
  </r>
  <r>
    <x v="12"/>
    <x v="12"/>
    <n v="15"/>
    <s v="Personas vinculadas a procesos de reconocimiento de la identidad de género, orientación y diversidad sexual, grupo étnico y etario."/>
    <n v="1157"/>
    <s v="Santa Fe reduce la discriminación y segregación social"/>
    <n v="3"/>
    <s v="Vincular"/>
    <n v="5000"/>
    <s v="personas"/>
    <s v="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
    <s v="5. GOBIERNO"/>
    <s v="Espacios y procesos de participación ciudadana fortalecidos"/>
    <s v="SUMA"/>
    <n v="1"/>
    <n v="0.86"/>
    <n v="0.86"/>
    <n v="0.86"/>
    <n v="0.86"/>
  </r>
  <r>
    <x v="13"/>
    <x v="13"/>
    <n v="16"/>
    <s v="Personas vinculadas a estrategias de prevencion de las violencias, violencia intrafamiliar y la discriminación"/>
    <n v="1157"/>
    <s v="Santa Fe reduce la discriminación y segregación social"/>
    <n v="4"/>
    <s v="Vincular"/>
    <n v="1000"/>
    <s v="personas"/>
    <s v="mediante acciones de prevención de casos de violencia intrafamiliar y explotación infantil con enfoque diferencial y otros tipos de violencias por discriminación"/>
    <s v="10. SDIS"/>
    <s v="Protección  integral a personas y familias en situación de vulneración"/>
    <s v="SUMA"/>
    <n v="1"/>
    <n v="0.9"/>
    <n v="0.9"/>
    <n v="0.9"/>
    <n v="0.9"/>
  </r>
  <r>
    <x v="14"/>
    <x v="14"/>
    <n v="29"/>
    <s v="Espacios recuperados o apropiados culturalmente"/>
    <n v="1161"/>
    <s v="Programas culturales para todas y todos"/>
    <n v="3"/>
    <s v="Apropiar"/>
    <n v="2"/>
    <s v="espacios"/>
    <s v="culturales significativos de la localidad a través de corredores culturales e inventario patrimonial tangible e intangible"/>
    <s v="2. CULTURA Y RECREACIÓN"/>
    <s v="Infraestructura y dotación a centros artísticos y culturales"/>
    <s v="SUMA"/>
    <n v="1"/>
    <n v="1.5"/>
    <n v="1.5"/>
    <n v="1.5"/>
    <n v="1.5"/>
  </r>
  <r>
    <x v="15"/>
    <x v="15"/>
    <n v="23"/>
    <s v="Eventos culturales realizados"/>
    <n v="1161"/>
    <s v="Programas culturales para todas y todos"/>
    <n v="1"/>
    <s v="Realizar"/>
    <n v="9"/>
    <s v="eventos"/>
    <s v="culturales anuales que visibilicen las prácticas culturales de la localidad"/>
    <s v="2. CULTURA Y RECREACIÓN"/>
    <s v="Espacios artísticos y culturales"/>
    <s v="CONSTANTE"/>
    <n v="1"/>
    <n v="1.0833333333333333"/>
    <n v="1.0833333333333333"/>
    <n v="0.94444444444444442"/>
    <n v="0.94444444444444442"/>
  </r>
  <r>
    <x v="16"/>
    <x v="16"/>
    <n v="32"/>
    <s v="Personas vinculadas a la oferta recreativa y deportiva"/>
    <n v="1163"/>
    <s v="Santa Fe más activa y dinámica"/>
    <n v="1"/>
    <s v="Vincular"/>
    <n v="4500"/>
    <s v="personas"/>
    <s v="en eventos y formación deportiva que permitan la integración de niños, niñas, jóvenes, adolescentes, adultos y adultos mayores"/>
    <s v="2. CULTURA Y RECREACIÓN"/>
    <s v="Eventos y actividades recreativas y deportivas"/>
    <s v="SUMA"/>
    <n v="1"/>
    <n v="1.47"/>
    <n v="1.47"/>
    <n v="1.2177777777777778"/>
    <n v="1.2177777777777778"/>
  </r>
  <r>
    <x v="17"/>
    <x v="17"/>
    <n v="25"/>
    <s v="Personas capacitadas en formación informal artística, cultural y del patrimonio"/>
    <n v="1161"/>
    <s v="Programas culturales para todas y todos"/>
    <n v="2"/>
    <s v="Vincular"/>
    <n v="350"/>
    <s v="niños, niñas y adolecentes"/>
    <s v="a través de la práctica de grupos orquestales y formación en áreas artísticas y/o culturales"/>
    <s v="2. CULTURA Y RECREACIÓN"/>
    <s v="Formación artística y cultural"/>
    <s v="CONSTANTE"/>
    <n v="1"/>
    <n v="0.9464285714285714"/>
    <n v="0.9464285714285714"/>
    <n v="0.6964285714285714"/>
    <n v="0.6964285714285714"/>
  </r>
  <r>
    <x v="18"/>
    <x v="18"/>
    <n v="27"/>
    <s v="Escenarios culturales dotados"/>
    <n v="1161"/>
    <s v="Programas culturales para todas y todos"/>
    <n v="4"/>
    <s v="Dotar"/>
    <n v="4"/>
    <s v="bibliotecas"/>
    <s v="comunitarias con elementos, materiales, mobiliario y apoyos logísticos"/>
    <s v="2. CULTURA Y RECREACIÓN"/>
    <s v="Infraestructura y dotación a centros artísticos y culturales"/>
    <s v="SUMA"/>
    <n v="1"/>
    <n v="0.75"/>
    <n v="0.75"/>
    <n v="1.5"/>
    <n v="1.5"/>
  </r>
  <r>
    <x v="19"/>
    <x v="19"/>
    <n v="45"/>
    <s v="Espacios ambientales intervenidos"/>
    <n v="1165"/>
    <s v="Santa Fe se ordena alrededor del agua"/>
    <n v="1"/>
    <s v="Recuperar"/>
    <n v="3"/>
    <s v="ríos y/o quebradas"/>
    <s v="de la localidad de Santa Fe para el desarrollo integral - ambiental"/>
    <s v="1. AMBIENTE"/>
    <s v="Calidad ambiental y preservación del patrimonio natural"/>
    <s v="SUMA"/>
    <n v="1"/>
    <n v="7.333333333333333"/>
    <n v="7.333333333333333"/>
    <n v="9.3333333333333339"/>
    <n v="9.3333333333333339"/>
  </r>
  <r>
    <x v="20"/>
    <x v="20"/>
    <n v="45"/>
    <s v="Espacios ambientales intervenidos"/>
    <n v="1165"/>
    <s v="Santa Fe se ordena alrededor del agua"/>
    <n v="2"/>
    <s v="Recuperar"/>
    <n v="25"/>
    <s v="puntos críticos"/>
    <s v="identificados en el diagnóstico ambiental local que afectan el medio ambiente con procesos de atención, recuperación, organización y educación ambiental"/>
    <s v="1. AMBIENTE"/>
    <s v="Calidad ambiental y preservación del patrimonio natural"/>
    <s v="SUMA"/>
    <n v="1"/>
    <n v="1"/>
    <n v="1"/>
    <n v="0.92"/>
    <n v="0.92"/>
  </r>
  <r>
    <x v="21"/>
    <x v="21"/>
    <s v="N/A"/>
    <s v="No agrega"/>
    <n v="1165"/>
    <s v="Santa Fe se ordena alrededor del agua"/>
    <n v="3"/>
    <s v="Recuperar"/>
    <n v="10"/>
    <s v="hectáreas"/>
    <s v="ambientalmente estratégicas a través de acciones de rehabilitación ecológica y procesos de sustentabilidad campesina"/>
    <s v="N/A"/>
    <s v="N/A"/>
    <s v="SUMA"/>
    <n v="1"/>
    <n v="2.0499999999999998"/>
    <n v="2.0499999999999998"/>
    <n v="0.8"/>
    <n v="0.8"/>
  </r>
  <r>
    <x v="22"/>
    <x v="22"/>
    <n v="41"/>
    <s v="Personas vinculadas en acciones para la conservación o recuperación de los espacios del agua y la protección del ambiente"/>
    <n v="1165"/>
    <s v="Santa Fe se ordena alrededor del agua"/>
    <n v="4"/>
    <s v="Vincular"/>
    <n v="500"/>
    <s v="personas"/>
    <s v="a través de la Planificación Agroforestal y el fortalecimiento de la asistencia técnica para armonizar con el desarrollo sostenible"/>
    <s v="1. AMBIENTE"/>
    <s v="Calidad ambiental y preservación del patrimonio natural"/>
    <s v="SUMA"/>
    <n v="1"/>
    <n v="0.25"/>
    <n v="0.25"/>
    <n v="0.25"/>
    <n v="0.25"/>
  </r>
  <r>
    <x v="23"/>
    <x v="23"/>
    <n v="46"/>
    <s v="Km/carril de malla vial local recuperados"/>
    <n v="1168"/>
    <s v="Mejoramiento y recuperación del espacio público local"/>
    <n v="1"/>
    <s v="Mantener"/>
    <n v="64"/>
    <s v="Km/carril"/>
    <s v="de la malla vial local"/>
    <s v="8. MOVILIDAD"/>
    <s v="Vías Locales"/>
    <s v="SUMA"/>
    <n v="1"/>
    <n v="7.7968750000000003E-2"/>
    <n v="7.7968750000000003E-2"/>
    <n v="7.8125E-2"/>
    <n v="7.8125E-2"/>
  </r>
  <r>
    <x v="24"/>
    <x v="24"/>
    <n v="46"/>
    <s v="Km/carril de malla vial local recuperados"/>
    <n v="1168"/>
    <s v="Mejoramiento y recuperación del espacio público local"/>
    <n v="2"/>
    <s v="Rehabilitar"/>
    <n v="19"/>
    <s v="Km/carril"/>
    <s v="de la malla vial local"/>
    <s v="8. MOVILIDAD"/>
    <s v="Vías Locales"/>
    <s v="SUMA"/>
    <n v="1"/>
    <n v="0.5"/>
    <n v="0.5"/>
    <n v="0.37368421052631579"/>
    <n v="0.37368421052631579"/>
  </r>
  <r>
    <x v="25"/>
    <x v="25"/>
    <n v="51"/>
    <s v="m2 de espacio público recuperado"/>
    <n v="1168"/>
    <s v="Mejoramiento y recuperación del espacio público local"/>
    <n v="3"/>
    <s v="Mantener"/>
    <n v="12000"/>
    <s v="M2"/>
    <s v="de espacio público local a través de acciones de rehabilitacion y mejoramiento"/>
    <s v="8. MOVILIDAD"/>
    <s v="Espacio Publico"/>
    <s v="SUMA"/>
    <n v="1"/>
    <n v="1.33"/>
    <n v="1.33"/>
    <n v="1.1187499999999999"/>
    <n v="1.1187499999999999"/>
  </r>
  <r>
    <x v="26"/>
    <x v="26"/>
    <n v="55"/>
    <s v="Habitantes sensibilizados en gestión local del riesgo"/>
    <n v="1170"/>
    <s v="Mitigación del riesgo local"/>
    <n v="1"/>
    <s v="Vincular"/>
    <n v="400"/>
    <s v="personas"/>
    <s v="con programas para la prevención de riesgos"/>
    <s v="1. AMBIENTE"/>
    <s v="Gestión para la prevención y mitigación del riesgo"/>
    <s v="SUMA"/>
    <n v="1"/>
    <n v="1"/>
    <n v="1"/>
    <n v="0.5"/>
    <n v="0.5"/>
  </r>
  <r>
    <x v="27"/>
    <x v="27"/>
    <n v="56"/>
    <s v="Dotaciones realizadas al CLE"/>
    <n v="1170"/>
    <s v="Mitigación del riesgo local"/>
    <n v="2"/>
    <s v="Realizar"/>
    <n v="1"/>
    <s v="dotación"/>
    <s v="al Comité Local de Emergencias - CLE de elementos para la atención del riesgo"/>
    <s v="1. AMBIENTE"/>
    <s v="Gestión para la prevención y mitigación del riesgo"/>
    <s v="SUMA"/>
    <n v="1"/>
    <n v="3.5"/>
    <n v="3.5"/>
    <n v="2.5"/>
    <n v="2.5"/>
  </r>
  <r>
    <x v="28"/>
    <x v="28"/>
    <n v="57"/>
    <s v="Personas vinculadas a campañas de promoción de reciclaje y disposición diferenciada de residuos sólidos"/>
    <n v="1172"/>
    <s v="Santa fe basura cero"/>
    <n v="1"/>
    <s v="Vincular"/>
    <n v="400"/>
    <s v="personas"/>
    <s v="mediante procesos de sensibilización y estrategias para el manejo de residuos sólidos"/>
    <s v="7. HABITAT"/>
    <s v="Manejo integral de residuos sólidos"/>
    <s v="SUMA"/>
    <n v="1"/>
    <n v="3.125"/>
    <n v="3.125"/>
    <n v="1"/>
    <n v="1"/>
  </r>
  <r>
    <x v="29"/>
    <x v="29"/>
    <n v="41"/>
    <s v="Personas vinculadas en acciones para la conservación o recuperación de los espacios del agua y la protección del ambiente"/>
    <n v="1174"/>
    <s v="Santa Fe humana ambientalmente saludable"/>
    <n v="1"/>
    <s v="Vincular"/>
    <n v="160"/>
    <s v="personas"/>
    <s v="mediante acciones pedagógicas y de sensibilización a través de jornadas de apropiación del entorno"/>
    <s v="1. AMBIENTE"/>
    <s v="Calidad ambiental y preservación del patrimonio natural"/>
    <s v="SUMA"/>
    <n v="1"/>
    <n v="0.5"/>
    <n v="0.5"/>
    <n v="3.125"/>
    <n v="3.125"/>
  </r>
  <r>
    <x v="30"/>
    <x v="30"/>
    <n v="61"/>
    <s v="Personas  vinculadas a procesos de presupestos participativos"/>
    <n v="1177"/>
    <s v="La participación en el centro de todas y todos"/>
    <n v="1"/>
    <s v="Vincular"/>
    <n v="600"/>
    <s v="personas"/>
    <s v="en los ejercicios de los presupuestos participativos en la localidad de Santa Fe"/>
    <s v="5. GOBIERNO"/>
    <s v="Espacios y procesos de participación ciudadana fortalecidos"/>
    <s v="SUMA"/>
    <n v="1"/>
    <n v="0.25"/>
    <n v="0.25"/>
    <n v="0.25"/>
    <n v="0.25"/>
  </r>
  <r>
    <x v="31"/>
    <x v="31"/>
    <n v="65"/>
    <s v="Organizaciones sociales fortalecidas para la participación"/>
    <n v="1177"/>
    <s v="La participación en el centro de todas y todos"/>
    <n v="2"/>
    <s v="Fortalecer"/>
    <n v="60"/>
    <s v="organizaciones"/>
    <s v="sociales en el desarrollo y fortalecimiento de expresiones sociales"/>
    <s v="5. GOBIERNO"/>
    <s v="Espacios y procesos de participación ciudadana fortalecidos"/>
    <s v="SUMA"/>
    <n v="1"/>
    <n v="1.3333333333333333"/>
    <n v="1.3333333333333333"/>
    <n v="1.3333333333333333"/>
    <n v="1.3333333333333333"/>
  </r>
  <r>
    <x v="32"/>
    <x v="32"/>
    <n v="63"/>
    <s v="Salones comunales dotados"/>
    <n v="1177"/>
    <s v="La participación en el centro de todas y todos"/>
    <n v="3"/>
    <s v="Dotar"/>
    <n v="15"/>
    <s v="salones"/>
    <s v="con elementos, materiales y mobiliario para el desarrollo de la participación en la toma de decisiones"/>
    <s v="5. GOBIERNO"/>
    <s v="Espacios y procesos de participación ciudadana fortalecidos"/>
    <s v="SUMA"/>
    <n v="1"/>
    <n v="1.7333333333333334"/>
    <n v="1.7333333333333334"/>
    <n v="1.3333333333333333"/>
    <n v="1.3333333333333333"/>
  </r>
  <r>
    <x v="33"/>
    <x v="33"/>
    <n v="71"/>
    <s v="Personas vinculadas en campañas para promover la participación y el control social"/>
    <n v="1178"/>
    <s v="Promoción del control social"/>
    <n v="1"/>
    <s v="Vincular"/>
    <n v="400"/>
    <s v="personas"/>
    <s v="en el fortalecimiento y consolidación del control social de las ciudadanas y ciudadanos"/>
    <s v="5. GOBIERNO"/>
    <s v="Espacios para el control social"/>
    <s v="SUMA"/>
    <n v="1"/>
    <n v="1.55"/>
    <n v="1.55"/>
    <n v="1.55"/>
    <n v="1.55"/>
  </r>
  <r>
    <x v="34"/>
    <x v="34"/>
    <n v="69"/>
    <s v="Personas vinculadas a la promoción de espacios y/o campañas  para mejorar la convivencia y seguridad ciudadana"/>
    <n v="1167"/>
    <s v="Santa Fe Humana libre de discriminación y violencias"/>
    <n v="1"/>
    <s v="Vincular"/>
    <n v="800"/>
    <s v="personas"/>
    <s v="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
    <s v="5. GOBIERNO"/>
    <s v="Prevención, atención y gestión del conflicto en la localidad"/>
    <s v="SUMA"/>
    <n v="1"/>
    <n v="1.3"/>
    <n v="1.3"/>
    <n v="0.96250000000000002"/>
    <n v="0.96250000000000002"/>
  </r>
  <r>
    <x v="35"/>
    <x v="35"/>
    <n v="69"/>
    <s v="Personas vinculadas a la promoción de espacios y/o campañas  para mejorar la convivencia y seguridad ciudadana"/>
    <n v="1167"/>
    <s v="Santa Fe Humana libre de discriminación y violencias"/>
    <n v="2"/>
    <s v="Vincular"/>
    <n v="800"/>
    <s v="personas"/>
    <s v="con acciones para motivar el cumplimiento voluntario de normas en la localidad"/>
    <s v="5. GOBIERNO"/>
    <s v="Prevención, atención y gestión del conflicto en la localidad"/>
    <s v="SUMA"/>
    <n v="1"/>
    <n v="0.75"/>
    <n v="0.75"/>
    <n v="0.63124999999999998"/>
    <n v="0.63124999999999998"/>
  </r>
  <r>
    <x v="36"/>
    <x v="36"/>
    <s v="N/A"/>
    <s v="No agrega"/>
    <n v="1167"/>
    <s v="Santa Fe Humana libre de discriminación y violencias"/>
    <n v="3"/>
    <s v="Vincular"/>
    <n v="800"/>
    <s v="personas"/>
    <s v="con estrategias para promocionar la defensa del espacio público en la localidad"/>
    <s v="N/A"/>
    <s v="N/A"/>
    <s v="SUMA"/>
    <n v="1"/>
    <n v="1"/>
    <n v="1"/>
    <n v="1.125"/>
    <n v="1.125"/>
  </r>
  <r>
    <x v="37"/>
    <x v="37"/>
    <s v="N/A"/>
    <s v="No agrega"/>
    <n v="1175"/>
    <s v="Santa Fe fortalece al COPACO"/>
    <n v="1"/>
    <s v="Fortalecer"/>
    <n v="1"/>
    <s v="Comité de participación comunitaria"/>
    <s v="en salud COPACOS"/>
    <s v="N/A"/>
    <s v="N/A"/>
    <s v="CONSTANTE"/>
    <n v="1"/>
    <n v="0.75"/>
    <n v="0.75"/>
    <n v="0.75"/>
    <n v="0.75"/>
  </r>
  <r>
    <x v="38"/>
    <x v="38"/>
    <n v="76"/>
    <s v="Estrategias realizadas de fortalecimiento institucional"/>
    <n v="1171"/>
    <s v="Desarrollo institucional"/>
    <n v="1"/>
    <s v="Realizar"/>
    <n v="1"/>
    <s v="fortalecimiento"/>
    <s v="a la función administrativa y desarrollo institucional anualmente"/>
    <s v="5. GOBIERNO"/>
    <s v="Fortalecimiento institucional"/>
    <s v="CONSTANTE"/>
    <n v="1"/>
    <n v="1"/>
    <n v="1"/>
    <n v="1"/>
    <n v="1"/>
  </r>
  <r>
    <x v="39"/>
    <x v="39"/>
    <n v="75"/>
    <s v="Ediles con pago de honorarios cubierto"/>
    <n v="1171"/>
    <s v="Desarrollo institucional"/>
    <n v="2"/>
    <s v="Realizar"/>
    <n v="7"/>
    <s v="pagos"/>
    <s v="a ediles de honorarios correspondiente a sesiones ordinarias, extraordinarias y comisiones permanentes y el fortalecimiento de la función administrativa y desarrollo institucional de la JAL de Santa Fe"/>
    <s v="5. GOBIERNO"/>
    <s v="Fortalecimiento institucional"/>
    <s v="CONSTANTE"/>
    <n v="1"/>
    <n v="1"/>
    <n v="1"/>
    <n v="1"/>
    <n v="1"/>
  </r>
  <r>
    <x v="40"/>
    <x v="40"/>
    <n v="76"/>
    <s v="Estrategias realizadas de fortalecimiento institucional"/>
    <n v="1171"/>
    <s v="Desarrollo institucional"/>
    <n v="3"/>
    <s v="Implementar"/>
    <n v="1"/>
    <s v="sistema integrado de gestión"/>
    <s v="en la administración local"/>
    <s v="5. GOBIERNO"/>
    <s v="Fortalecimiento institucional"/>
    <s v="CONSTANTE"/>
    <n v="1"/>
    <n v="1"/>
    <n v="1"/>
    <n v="1"/>
    <n v="1"/>
  </r>
  <r>
    <x v="41"/>
    <x v="41"/>
    <s v="N/A"/>
    <s v="No agrega"/>
    <n v="1173"/>
    <s v="TICS dinamizadoras de conocimiento local"/>
    <n v="1"/>
    <s v="Vincular"/>
    <n v="4000"/>
    <s v="personas"/>
    <s v="a través de procesos de Tecnologías de la información, la comunicación y medios comunicativos"/>
    <s v="N/A"/>
    <s v="N/A"/>
    <s v="SUMA"/>
    <n v="1"/>
    <n v="0.25"/>
    <n v="0.25"/>
    <n v="1"/>
    <n v="1"/>
  </r>
</pivotCacheRecords>
</file>

<file path=xl/pivotCache/pivotCacheRecords4.xml><?xml version="1.0" encoding="utf-8"?>
<pivotCacheRecords xmlns="http://schemas.openxmlformats.org/spreadsheetml/2006/main" xmlns:r="http://schemas.openxmlformats.org/officeDocument/2006/relationships" count="42">
  <r>
    <n v="3"/>
    <s v="SANTA FE"/>
    <n v="1"/>
    <s v="EJE_UNO"/>
    <n v="1"/>
    <s v="Garantía del desarrollo integral de la primera infancia."/>
    <n v="102"/>
    <s v="Dotar 30 equipamientos de elementos necesarios para la atención integral a la primera infancia"/>
    <x v="0"/>
    <x v="0"/>
    <n v="1147"/>
    <s v="Santa Fe crece saludable y feliz"/>
    <n v="2"/>
    <s v="Dotar"/>
    <n v="30"/>
    <s v="equipamientos"/>
    <s v="de elementos necesarios para la atención integral a la primera infancia"/>
    <x v="0"/>
    <x v="0"/>
    <s v="SUMA"/>
    <n v="1"/>
    <n v="0.9"/>
    <n v="0.9"/>
    <n v="1.0333333333333334"/>
    <n v="1.0333333333333334"/>
    <n v="50"/>
    <n v="8"/>
    <n v="7"/>
    <n v="8"/>
    <n v="7"/>
    <n v="30"/>
    <n v="8"/>
    <n v="7"/>
    <n v="12"/>
    <n v="0"/>
    <n v="27"/>
    <n v="8"/>
    <n v="11"/>
    <n v="12"/>
    <n v="0"/>
    <n v="31"/>
  </r>
  <r>
    <n v="3"/>
    <s v="SANTA FE"/>
    <n v="1"/>
    <s v="EJE_UNO"/>
    <n v="1"/>
    <s v="Garantía del desarrollo integral de la primera infancia."/>
    <n v="103"/>
    <s v="Vincular 2.000 niños y niñas de  0 a 5 años a través de  la prevención y estimulación para la primera infancia"/>
    <x v="1"/>
    <x v="1"/>
    <n v="1147"/>
    <s v="Santa Fe crece saludable y feliz"/>
    <n v="1"/>
    <s v="Vincular"/>
    <n v="2000"/>
    <s v="niños y niñas"/>
    <s v="de 0 a 5 años a través de la prevención y estimulación para la primera infancia"/>
    <x v="0"/>
    <x v="1"/>
    <s v="SUMA"/>
    <n v="1"/>
    <n v="0.92300000000000004"/>
    <n v="0.92300000000000004"/>
    <n v="0.92300000000000004"/>
    <n v="0.92300000000000004"/>
    <n v="500"/>
    <n v="500"/>
    <n v="500"/>
    <n v="500"/>
    <n v="500"/>
    <n v="2000"/>
    <n v="1395"/>
    <n v="451"/>
    <n v="0"/>
    <n v="0"/>
    <n v="1846"/>
    <n v="1395"/>
    <n v="451"/>
    <n v="0"/>
    <n v="0"/>
    <n v="1846"/>
  </r>
  <r>
    <n v="3"/>
    <s v="SANTA FE"/>
    <n v="1"/>
    <s v="EJE_UNO"/>
    <n v="2"/>
    <s v="Territorios saludables y red de salud para la vida desde la diversidad."/>
    <n v="104"/>
    <s v="Vincular 12.000 personas de la localidad y su ruralidad mediante programas de promoción y prevención en salud"/>
    <x v="2"/>
    <x v="2"/>
    <n v="1149"/>
    <s v="Santa Fe con salud para todas y todos"/>
    <n v="1"/>
    <s v="Vincular"/>
    <n v="12000"/>
    <s v="personas"/>
    <s v="de la localidad y su ruralidad mediante programas de promoción y prevención en salud"/>
    <x v="1"/>
    <x v="2"/>
    <s v="SUMA"/>
    <n v="1"/>
    <n v="1.0908333333333333"/>
    <n v="1.0908333333333333"/>
    <n v="0.75"/>
    <n v="0.75"/>
    <n v="600"/>
    <n v="3000"/>
    <n v="3000"/>
    <n v="3000"/>
    <n v="3000"/>
    <n v="12000"/>
    <n v="3000"/>
    <n v="3000"/>
    <n v="3000"/>
    <n v="4090"/>
    <n v="13090"/>
    <n v="3000"/>
    <n v="3000"/>
    <n v="3000"/>
    <m/>
    <n v="9000"/>
  </r>
  <r>
    <n v="3"/>
    <s v="SANTA FE"/>
    <n v="1"/>
    <s v="EJE_UNO"/>
    <n v="2"/>
    <s v="Territorios saludables y red de salud para la vida desde la diversidad."/>
    <n v="105"/>
    <s v="Vincular 1.200 personas de la localidad mediante estrategias de prevención, promoción y sensibilización en educación sexual y reproductiva e Infecciones de Transmisión Sexual con enfoque diferencial"/>
    <x v="2"/>
    <x v="2"/>
    <n v="1149"/>
    <s v="Santa Fe con salud para todas y todos"/>
    <n v="2"/>
    <s v="Vincular"/>
    <n v="1200"/>
    <s v="personas"/>
    <s v="de la localidad  mediante estrategias de prevención, promoción y sensibilización en educación sexual y reproductiva e Infeccion"/>
    <x v="1"/>
    <x v="2"/>
    <s v="SUMA"/>
    <n v="1"/>
    <n v="1.5"/>
    <n v="1.5"/>
    <n v="0.81666666666666665"/>
    <n v="0.81666666666666665"/>
    <n v="1795"/>
    <n v="300"/>
    <n v="300"/>
    <n v="300"/>
    <n v="300"/>
    <n v="1200"/>
    <n v="300"/>
    <n v="220"/>
    <n v="380"/>
    <n v="900"/>
    <n v="1800"/>
    <n v="300"/>
    <n v="300"/>
    <n v="380"/>
    <m/>
    <n v="980"/>
  </r>
  <r>
    <n v="3"/>
    <s v="SANTA FE"/>
    <n v="1"/>
    <s v="EJE_UNO"/>
    <n v="2"/>
    <s v="Territorios saludables y red de salud para la vida desde la diversidad."/>
    <n v="106"/>
    <s v="Vincular 320 personas en condición de discapacidad a través del Banco de Ayudas Técnicas"/>
    <x v="3"/>
    <x v="3"/>
    <n v="1149"/>
    <s v="Santa Fe con salud para todas y todos"/>
    <n v="3"/>
    <s v="Vincular"/>
    <n v="320"/>
    <s v="personas"/>
    <s v="en condicion de discapacidad a través del Banco de Ayudas Técnicas"/>
    <x v="1"/>
    <x v="2"/>
    <s v="SUMA"/>
    <n v="1"/>
    <n v="1.09375"/>
    <n v="1.09375"/>
    <n v="1.3"/>
    <n v="1.3"/>
    <n v="90"/>
    <n v="80"/>
    <n v="80"/>
    <n v="80"/>
    <n v="80"/>
    <n v="320"/>
    <n v="80"/>
    <n v="90"/>
    <n v="100"/>
    <n v="80"/>
    <n v="350"/>
    <n v="66"/>
    <n v="250"/>
    <n v="100"/>
    <m/>
    <n v="416"/>
  </r>
  <r>
    <n v="3"/>
    <s v="SANTA FE"/>
    <n v="1"/>
    <s v="EJE_UNO"/>
    <n v="3"/>
    <s v="Construcción de saberes. Educación inclusiva, diversa y de calidad para disfrutar y aprender desde la primera infancia."/>
    <n v="107"/>
    <s v="Vincular 400 personas mediante programas de Educación flexible y diferencial para adultos de la localidad"/>
    <x v="4"/>
    <x v="4"/>
    <n v="1150"/>
    <s v="Con educación para todas y todos"/>
    <n v="1"/>
    <s v="Vincular"/>
    <n v="400"/>
    <s v="mujeres y hombres adultos"/>
    <s v="mediante programas de Educación flexible y diferencial para adultos de la localidad"/>
    <x v="2"/>
    <x v="3"/>
    <s v="SUMA"/>
    <n v="1"/>
    <n v="1.2375"/>
    <n v="1.2375"/>
    <n v="1.0625"/>
    <n v="1.0625"/>
    <n v="0"/>
    <n v="100"/>
    <n v="100"/>
    <n v="100"/>
    <n v="100"/>
    <n v="400"/>
    <n v="100"/>
    <n v="270"/>
    <n v="25"/>
    <n v="100"/>
    <n v="495"/>
    <n v="130"/>
    <n v="270"/>
    <n v="25"/>
    <n v="0"/>
    <n v="425"/>
  </r>
  <r>
    <n v="3"/>
    <s v="SANTA FE"/>
    <n v="1"/>
    <s v="EJE_UNO"/>
    <n v="3"/>
    <s v="Construcción de saberes. Educación inclusiva, diversa y de calidad para disfrutar y aprender desde la primera infancia."/>
    <n v="108"/>
    <s v="Vincular 1.000 personas escolarizadas entre ellas en condición de discapacidad, mediante actividades de aprendizaje y reforzamiento escolar (lectoescritura, idiomas, arte, agricultura urbana y campesina y aprovechamiento del tiempo libre) en los IEDS de la localidad"/>
    <x v="5"/>
    <x v="5"/>
    <n v="1150"/>
    <s v="Con educación para todas y todos"/>
    <n v="2"/>
    <s v="Beneficiar"/>
    <n v="1000"/>
    <s v="niños, niñas y adolecentes escolarizados"/>
    <s v="por medio de actividades lúdicas, pedagógicas y recreativas en tiempo extraescolar, dirigidas a los niños, niñas y jóvenes de los IEDS ubicados en la localidad"/>
    <x v="2"/>
    <x v="4"/>
    <s v="SUMA"/>
    <n v="1"/>
    <n v="1.2"/>
    <n v="1.2"/>
    <n v="1.2"/>
    <n v="1.2"/>
    <n v="0"/>
    <n v="250"/>
    <n v="250"/>
    <n v="250"/>
    <n v="250"/>
    <n v="1000"/>
    <n v="900"/>
    <n v="0"/>
    <n v="300"/>
    <n v="0"/>
    <n v="1200"/>
    <n v="900"/>
    <n v="0"/>
    <n v="300"/>
    <n v="0"/>
    <n v="1200"/>
  </r>
  <r>
    <n v="3"/>
    <s v="SANTA FE"/>
    <n v="1"/>
    <s v="EJE_UNO"/>
    <n v="3"/>
    <s v="Construcción de saberes. Educación inclusiva, diversa y de calidad para disfrutar y aprender desde la primera infancia."/>
    <n v="109"/>
    <s v="Dotar 8 IEDS con medios didácticos apropiados a su Proyecto Educativo Institucional-PEI, laboratorios y mobiliario"/>
    <x v="6"/>
    <x v="6"/>
    <n v="1150"/>
    <s v="Con educación para todas y todos"/>
    <n v="3"/>
    <s v="Dotar"/>
    <n v="8"/>
    <s v="colegios distritales"/>
    <s v="ubicados en la localidad con medios didácticos apropiados a su Proyecto Educativo Institucional-PEI, laboratorios y mobiliario"/>
    <x v="2"/>
    <x v="5"/>
    <s v="SUMA"/>
    <n v="1"/>
    <n v="1.125"/>
    <n v="1.125"/>
    <n v="1.125"/>
    <n v="1.125"/>
    <n v="0"/>
    <m/>
    <n v="2"/>
    <n v="2"/>
    <n v="3"/>
    <n v="7"/>
    <n v="0"/>
    <n v="9"/>
    <n v="0"/>
    <n v="0"/>
    <n v="9"/>
    <n v="0"/>
    <n v="9"/>
    <n v="0"/>
    <n v="0"/>
    <n v="9"/>
  </r>
  <r>
    <n v="3"/>
    <s v="SANTA FE"/>
    <n v="1"/>
    <s v="EJE_UNO"/>
    <n v="3"/>
    <s v="Construcción de saberes. Educación inclusiva, diversa y de calidad para disfrutar y aprender desde la primera infancia."/>
    <n v="110"/>
    <s v="Vincular 3.000 personas con el fortalecimiento de las instituciones educativas a través de la realización de un foro educativo anual"/>
    <x v="7"/>
    <x v="7"/>
    <n v="1150"/>
    <s v="Con educación para todas y todos"/>
    <n v="4"/>
    <s v="Vincular"/>
    <n v="3000"/>
    <s v="personas"/>
    <s v="con el fortalecimiento de las instituciones educativas a través de la realización de un foro educativo anual"/>
    <x v="3"/>
    <x v="6"/>
    <s v="SUMA"/>
    <n v="1"/>
    <n v="0.94333333333333336"/>
    <n v="0.94333333333333336"/>
    <n v="0.96"/>
    <n v="0.96"/>
    <m/>
    <n v="750"/>
    <n v="750"/>
    <n v="750"/>
    <n v="750"/>
    <n v="3000"/>
    <n v="600"/>
    <n v="800"/>
    <n v="900"/>
    <n v="530"/>
    <n v="2830"/>
    <n v="650"/>
    <n v="800"/>
    <n v="900"/>
    <n v="530"/>
    <n v="2880"/>
  </r>
  <r>
    <n v="3"/>
    <s v="SANTA FE"/>
    <n v="1"/>
    <s v="EJE_UNO"/>
    <n v="4"/>
    <s v="Bogotá Humana con igualdad de oportunidades y equidad de género para las mujeres."/>
    <n v="111"/>
    <s v="Vincular 200 mujeres  en programas con enfoque diferencial, mecanismos de protección, capacitación para la  prevención de violencia contra las mujeres y visibilización de la política pública de la mujer y género"/>
    <x v="8"/>
    <x v="8"/>
    <n v="1164"/>
    <s v="Apoyo a acciones del plan de igualdad de oportunidades"/>
    <n v="1"/>
    <s v="Vincular"/>
    <n v="200"/>
    <s v="mujeres"/>
    <s v="en programas con enfoque diferencial, mecanismos de protección, capacitación para la prevención de violencia contra las mujeres y visibilización de la política pública de la mujer y género"/>
    <x v="4"/>
    <x v="7"/>
    <s v="SUMA"/>
    <n v="1"/>
    <n v="1.25"/>
    <n v="1.25"/>
    <n v="0"/>
    <n v="0"/>
    <m/>
    <m/>
    <n v="66"/>
    <n v="67"/>
    <n v="67"/>
    <n v="200"/>
    <n v="0"/>
    <n v="0"/>
    <n v="0"/>
    <n v="250"/>
    <n v="250"/>
    <n v="0"/>
    <n v="0"/>
    <n v="0"/>
    <n v="0"/>
    <n v="0"/>
  </r>
  <r>
    <n v="3"/>
    <s v="SANTA FE"/>
    <n v="1"/>
    <s v="EJE_UNO"/>
    <n v="5"/>
    <s v="Lucha contra distintos tipos de discriminación y violencias por condición, situación, identidad, diferencia, diversidad o etapa del ciclo vital."/>
    <n v="112"/>
    <s v="Beneficiar  900 adultos mayores anualmente  mediante la entrega de subsidios económicos"/>
    <x v="9"/>
    <x v="9"/>
    <n v="1157"/>
    <s v="Santa Fe reduce la discriminación y segregación social"/>
    <n v="1"/>
    <s v="Suministrar"/>
    <n v="900"/>
    <s v="subsidios"/>
    <s v="tipo C mensuales a adultos mayores a través de una entidad bancaria y de acuerdo con los procedimientos establecidos"/>
    <x v="0"/>
    <x v="8"/>
    <s v="CONSTANTE"/>
    <n v="1"/>
    <n v="1.9722222222222223"/>
    <n v="1.9722222222222223"/>
    <n v="2.0277777777777777"/>
    <n v="2.0277777777777777"/>
    <n v="900"/>
    <n v="900"/>
    <n v="900"/>
    <n v="900"/>
    <n v="900"/>
    <n v="900"/>
    <n v="900"/>
    <n v="1200"/>
    <n v="2300"/>
    <n v="2700"/>
    <n v="1775"/>
    <n v="900"/>
    <n v="1200"/>
    <n v="2500"/>
    <n v="2700"/>
    <n v="1825"/>
  </r>
  <r>
    <n v="3"/>
    <s v="SANTA FE"/>
    <n v="1"/>
    <s v="EJE_UNO"/>
    <n v="5"/>
    <s v="Lucha contra distintos tipos de discriminación y violencias por condición, situación, identidad, diferencia, diversidad o etapa del ciclo vital."/>
    <n v="113"/>
    <s v="Vincular 220 personas en situación de fragilidad social (adulto mayor trabajadores (as) sexuales y/o habitante de calle) con programas y/o procesos que busquen mejorar sus condiciones de vida"/>
    <x v="7"/>
    <x v="7"/>
    <n v="1157"/>
    <s v="Santa Fe reduce la discriminación y segregación social"/>
    <n v="2"/>
    <s v="Vincular"/>
    <n v="220"/>
    <s v="personas"/>
    <s v="en situación de fragilidad social (adulto mayor, prostitución y/o habitante de calle) con programas y/o procesos que busquen mejorar sus condiciones de vida"/>
    <x v="3"/>
    <x v="6"/>
    <s v="SUMA"/>
    <n v="1"/>
    <n v="0.95454545454545459"/>
    <n v="0.95454545454545459"/>
    <n v="0.95454545454545459"/>
    <n v="0.95454545454545459"/>
    <n v="0"/>
    <n v="55"/>
    <n v="55"/>
    <n v="55"/>
    <n v="55"/>
    <n v="220"/>
    <n v="210"/>
    <n v="0"/>
    <n v="0"/>
    <n v="0"/>
    <n v="210"/>
    <n v="210"/>
    <n v="0"/>
    <n v="0"/>
    <n v="0"/>
    <n v="210"/>
  </r>
  <r>
    <n v="3"/>
    <s v="SANTA FE"/>
    <n v="1"/>
    <s v="EJE_UNO"/>
    <n v="5"/>
    <s v="Lucha contra distintos tipos de discriminación y violencias por condición, situación, identidad, diferencia, diversidad o etapa del ciclo vital."/>
    <n v="114"/>
    <s v="Vincular 5.000 personas 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
    <x v="10"/>
    <x v="10"/>
    <n v="1157"/>
    <s v="Santa Fe reduce la discriminación y segregación social"/>
    <n v="3"/>
    <s v="Vincular"/>
    <n v="5000"/>
    <s v="personas"/>
    <s v="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
    <x v="5"/>
    <x v="7"/>
    <s v="SUMA"/>
    <n v="1"/>
    <n v="0.86"/>
    <n v="0.86"/>
    <n v="0.86"/>
    <n v="0.86"/>
    <n v="5"/>
    <n v="1250"/>
    <n v="1250"/>
    <n v="1250"/>
    <n v="1250"/>
    <n v="5000"/>
    <n v="1250"/>
    <n v="1250"/>
    <n v="1800"/>
    <n v="0"/>
    <n v="4300"/>
    <n v="1250"/>
    <n v="1250"/>
    <n v="1800"/>
    <n v="0"/>
    <n v="4300"/>
  </r>
  <r>
    <n v="3"/>
    <s v="SANTA FE"/>
    <n v="1"/>
    <s v="EJE_UNO"/>
    <n v="5"/>
    <s v="Lucha contra distintos tipos de discriminación y violencias por condición, situación, identidad, diferencia, diversidad o etapa del ciclo vital."/>
    <n v="115"/>
    <s v="Vincular 1.000 personas  mediante acciones de prevención de casos de violencia intrafamiliar y explotación infantil con enfoque diferencial y otros tipos de violencias por discriminación"/>
    <x v="11"/>
    <x v="11"/>
    <n v="1157"/>
    <s v="Santa Fe reduce la discriminación y segregación social"/>
    <n v="4"/>
    <s v="Vincular"/>
    <n v="1000"/>
    <s v="personas"/>
    <s v="mediante acciones de prevención de casos de violencia intrafamiliar y explotación infantil con enfoque diferencial y otros tipos de violencias por discriminación"/>
    <x v="0"/>
    <x v="8"/>
    <s v="SUMA"/>
    <n v="1"/>
    <n v="0.9"/>
    <n v="0.9"/>
    <n v="0.9"/>
    <n v="0.9"/>
    <n v="0"/>
    <n v="250"/>
    <n v="250"/>
    <n v="250"/>
    <n v="250"/>
    <n v="1000"/>
    <n v="250"/>
    <n v="250"/>
    <n v="400"/>
    <n v="0"/>
    <n v="900"/>
    <n v="250"/>
    <n v="250"/>
    <n v="400"/>
    <n v="0"/>
    <n v="900"/>
  </r>
  <r>
    <n v="3"/>
    <s v="SANTA FE"/>
    <n v="1"/>
    <s v="EJE_UNO"/>
    <n v="8"/>
    <s v="Ejercicio de libertades culturales y deportivas."/>
    <n v="116"/>
    <s v="Apropiar 2 espacios culturales significativos de la localidad a través de corredores culturales e inventario patrimonial tangible e intangible"/>
    <x v="12"/>
    <x v="12"/>
    <n v="1161"/>
    <s v="Programas culturales para todas y todos"/>
    <n v="3"/>
    <s v="Apropiar"/>
    <n v="2"/>
    <s v="espacios"/>
    <s v="culturales significativos de la localidad a través de corredores culturales e inventario patrimonial tangible e intangible"/>
    <x v="6"/>
    <x v="9"/>
    <s v="SUMA"/>
    <n v="1"/>
    <n v="1.5"/>
    <n v="1.5"/>
    <n v="1.5"/>
    <n v="1.5"/>
    <n v="0"/>
    <n v="1"/>
    <m/>
    <n v="1"/>
    <m/>
    <n v="2"/>
    <n v="1"/>
    <n v="2"/>
    <n v="0"/>
    <n v="0"/>
    <n v="3"/>
    <n v="1"/>
    <n v="2"/>
    <n v="0"/>
    <n v="0"/>
    <n v="3"/>
  </r>
  <r>
    <n v="3"/>
    <s v="SANTA FE"/>
    <n v="1"/>
    <s v="EJE_UNO"/>
    <n v="8"/>
    <s v="Ejercicio de libertades culturales y deportivas."/>
    <n v="117"/>
    <s v="Realizar 9 eventos culturales anuales en  los que se visibilicen las prácticas culturales de la localidad: Día  de la afrocolombianidad, Día del campesino, Festival de la chicha, Festival de Hip Hop, Festival de la alegría, Día del Adulto Mayor, Día de la discapacidad, Festival de la diversidad y el festival de integración comunal"/>
    <x v="13"/>
    <x v="13"/>
    <n v="1161"/>
    <s v="Programas culturales para todas y todos"/>
    <n v="1"/>
    <s v="Realizar"/>
    <n v="9"/>
    <s v="eventos"/>
    <s v="culturales anuales que visibilicen las prácticas culturales de la localidad"/>
    <x v="6"/>
    <x v="10"/>
    <s v="CONSTANTE"/>
    <n v="1"/>
    <n v="1.0833333333333333"/>
    <n v="1.0833333333333333"/>
    <n v="0.94444444444444442"/>
    <n v="0.94444444444444442"/>
    <n v="6"/>
    <n v="9"/>
    <n v="9"/>
    <n v="9"/>
    <n v="9"/>
    <n v="9"/>
    <n v="12"/>
    <n v="13"/>
    <n v="8"/>
    <n v="6"/>
    <n v="9.75"/>
    <n v="12"/>
    <n v="13"/>
    <n v="8"/>
    <n v="1"/>
    <n v="8.5"/>
  </r>
  <r>
    <n v="3"/>
    <s v="SANTA FE"/>
    <n v="1"/>
    <s v="EJE_UNO"/>
    <n v="8"/>
    <s v="Ejercicio de libertades culturales y deportivas."/>
    <n v="118"/>
    <s v="Vincular 4.500 personas en eventos y formación deportiva que permitan la integración de niños, niñas, jóvenes, adolescentes, adultos y adultos mayores"/>
    <x v="14"/>
    <x v="14"/>
    <n v="1163"/>
    <s v="Santa Fe más activa y dinámica"/>
    <n v="1"/>
    <s v="Vincular"/>
    <n v="4500"/>
    <s v="personas"/>
    <s v="en eventos y formación deportiva que permitan la integración de niños, niñas, jóvenes, adolescentes, adultos y adultos mayores"/>
    <x v="6"/>
    <x v="11"/>
    <s v="SUMA"/>
    <n v="1"/>
    <n v="1.47"/>
    <n v="1.47"/>
    <n v="1.2177777777777778"/>
    <n v="1.2177777777777778"/>
    <n v="1680"/>
    <n v="1125"/>
    <n v="1125"/>
    <n v="1125"/>
    <n v="1125"/>
    <n v="4500"/>
    <n v="2000"/>
    <n v="2000"/>
    <n v="1480"/>
    <n v="1135"/>
    <n v="6615"/>
    <n v="2000"/>
    <n v="2000"/>
    <n v="1480"/>
    <n v="0"/>
    <n v="5480"/>
  </r>
  <r>
    <n v="3"/>
    <s v="SANTA FE"/>
    <n v="1"/>
    <s v="EJE_UNO"/>
    <n v="8"/>
    <s v="Ejercicio de libertades culturales y deportivas."/>
    <n v="119"/>
    <s v="Vincular 350 niñas, niños y adolescentes anualmente a través de la práctica de grupos orquestales y formación artística y/o cultural"/>
    <x v="15"/>
    <x v="15"/>
    <n v="1161"/>
    <s v="Programas culturales para todas y todos"/>
    <n v="2"/>
    <s v="Vincular"/>
    <n v="350"/>
    <s v="niños, niñas y adolecentes"/>
    <s v="a través de la práctica de grupos orquestales y formación en áreas artísticas y/o culturales"/>
    <x v="6"/>
    <x v="12"/>
    <s v="CONSTANTE"/>
    <n v="1"/>
    <n v="0.9464285714285714"/>
    <n v="0.9464285714285714"/>
    <n v="0.6964285714285714"/>
    <n v="0.6964285714285714"/>
    <m/>
    <n v="350"/>
    <n v="350"/>
    <n v="350"/>
    <n v="350"/>
    <n v="350"/>
    <n v="475"/>
    <n v="250"/>
    <n v="250"/>
    <n v="350"/>
    <n v="331.25"/>
    <n v="475"/>
    <n v="250"/>
    <n v="250"/>
    <n v="0"/>
    <n v="243.75"/>
  </r>
  <r>
    <n v="3"/>
    <s v="SANTA FE"/>
    <n v="1"/>
    <s v="EJE_UNO"/>
    <n v="8"/>
    <s v="Ejercicio de libertades culturales y deportivas."/>
    <n v="120"/>
    <s v="Dotar 4 bibliotecas comunitarias con  elementos, materiales, mobiliario y apoyos logísticos"/>
    <x v="16"/>
    <x v="16"/>
    <n v="1161"/>
    <s v="Programas culturales para todas y todos"/>
    <n v="4"/>
    <s v="Dotar"/>
    <n v="4"/>
    <s v="bibliotecas"/>
    <s v="comunitarias con elementos, materiales, mobiliario y apoyos logísticos"/>
    <x v="6"/>
    <x v="9"/>
    <s v="SUMA"/>
    <n v="1"/>
    <n v="0.75"/>
    <n v="0.75"/>
    <n v="1.5"/>
    <n v="1.5"/>
    <m/>
    <m/>
    <n v="1"/>
    <n v="1"/>
    <n v="2"/>
    <n v="4"/>
    <n v="0"/>
    <n v="0"/>
    <n v="3"/>
    <n v="0"/>
    <n v="3"/>
    <n v="0"/>
    <n v="3"/>
    <n v="3"/>
    <n v="0"/>
    <n v="6"/>
  </r>
  <r>
    <n v="3"/>
    <s v="SANTA FE"/>
    <n v="2"/>
    <s v="EJE_DOS"/>
    <n v="17"/>
    <s v="Recuperación, rehabilitación y restauración de la estructura ecológica principal y de los espacios del agua."/>
    <n v="121"/>
    <s v="Recuperar 3 ríos y/o quebradas de la localidad de Santa Fe para el desarrollo integral – ambiental"/>
    <x v="17"/>
    <x v="17"/>
    <n v="1165"/>
    <s v="Santa Fe se ordena alrededor del agua"/>
    <n v="1"/>
    <s v="Recuperar"/>
    <n v="3"/>
    <s v="ríos y/o quebradas"/>
    <s v="de la localidad de Santa Fe para el desarrollo integral - ambiental"/>
    <x v="7"/>
    <x v="13"/>
    <s v="SUMA"/>
    <n v="1"/>
    <n v="7.333333333333333"/>
    <n v="7.333333333333333"/>
    <n v="9.3333333333333339"/>
    <n v="9.3333333333333339"/>
    <n v="0"/>
    <n v="1"/>
    <n v="1"/>
    <n v="1"/>
    <m/>
    <n v="3"/>
    <n v="5"/>
    <n v="5"/>
    <n v="9"/>
    <n v="3"/>
    <n v="22"/>
    <n v="5"/>
    <n v="5"/>
    <n v="9"/>
    <n v="9"/>
    <n v="28"/>
  </r>
  <r>
    <n v="3"/>
    <s v="SANTA FE"/>
    <n v="2"/>
    <s v="EJE_DOS"/>
    <n v="17"/>
    <s v="Recuperación, rehabilitación y restauración de la estructura ecológica principal y de los espacios del agua."/>
    <n v="122"/>
    <s v="Recuperar 25 puntos críticos identificados en el diagnóstico ambiental local que afectan el medio ambiente con procesos de atención, recuperación, organización y educación ambiental"/>
    <x v="17"/>
    <x v="17"/>
    <n v="1165"/>
    <s v="Santa Fe se ordena alrededor del agua"/>
    <n v="2"/>
    <s v="Recuperar"/>
    <n v="25"/>
    <s v="puntos críticos"/>
    <s v="identificados en el diagnóstico ambiental local que afectan el medio ambiente con procesos de atención, recuperación, organización y educación ambiental"/>
    <x v="7"/>
    <x v="13"/>
    <s v="SUMA"/>
    <n v="1"/>
    <n v="1"/>
    <n v="1"/>
    <n v="0.92"/>
    <n v="0.92"/>
    <n v="3"/>
    <n v="6"/>
    <n v="6"/>
    <n v="6"/>
    <n v="7"/>
    <n v="25"/>
    <n v="10"/>
    <n v="0"/>
    <n v="15"/>
    <n v="0"/>
    <n v="25"/>
    <n v="8"/>
    <n v="0"/>
    <n v="15"/>
    <n v="0"/>
    <n v="23"/>
  </r>
  <r>
    <n v="3"/>
    <s v="SANTA FE"/>
    <n v="2"/>
    <s v="EJE_DOS"/>
    <n v="17"/>
    <s v="Recuperación, rehabilitación y restauración de la estructura ecológica principal y de los espacios del agua."/>
    <n v="123"/>
    <s v="Recuperar 10 hectáreas ambientalmente estratégicas a través de acciones de rehabilitación ecológica y procesos de sustentabilidad campesina"/>
    <x v="7"/>
    <x v="7"/>
    <n v="1165"/>
    <s v="Santa Fe se ordena alrededor del agua"/>
    <n v="3"/>
    <s v="Recuperar"/>
    <n v="10"/>
    <s v="hectáreas"/>
    <s v="ambientalmente estratégicas a través de acciones de rehabilitación ecológica y procesos de sustentabilidad campesina"/>
    <x v="3"/>
    <x v="6"/>
    <s v="SUMA"/>
    <n v="1"/>
    <n v="2.0499999999999998"/>
    <n v="2.0499999999999998"/>
    <n v="0.8"/>
    <n v="0.8"/>
    <n v="0"/>
    <n v="2"/>
    <n v="2"/>
    <n v="3"/>
    <n v="3"/>
    <n v="10"/>
    <n v="3"/>
    <n v="2.5"/>
    <n v="2"/>
    <n v="13"/>
    <n v="20.5"/>
    <n v="3"/>
    <n v="3"/>
    <n v="2"/>
    <n v="0"/>
    <n v="8"/>
  </r>
  <r>
    <n v="3"/>
    <s v="SANTA FE"/>
    <n v="2"/>
    <s v="EJE_DOS"/>
    <n v="17"/>
    <s v="Recuperación, rehabilitación y restauración de la estructura ecológica principal y de los espacios del agua."/>
    <n v="124"/>
    <s v="Vincular  500 personas a través de la Planificación Agroforestal y el fortalecimiento de la asistencia técnica para armonizar con el desarrollo sostenible"/>
    <x v="18"/>
    <x v="18"/>
    <n v="1165"/>
    <s v="Santa Fe se ordena alrededor del agua"/>
    <n v="4"/>
    <s v="Vincular"/>
    <n v="500"/>
    <s v="personas"/>
    <s v="a través de la Planificación Agroforestal y el fortalecimiento de la asistencia técnica para armonizar con el desarrollo sostenible"/>
    <x v="7"/>
    <x v="13"/>
    <s v="SUMA"/>
    <n v="1"/>
    <n v="0.25"/>
    <n v="0.25"/>
    <n v="0.25"/>
    <n v="0.25"/>
    <n v="0"/>
    <n v="125"/>
    <n v="125"/>
    <n v="125"/>
    <n v="125"/>
    <n v="500"/>
    <n v="125"/>
    <n v="0"/>
    <n v="0"/>
    <n v="0"/>
    <n v="125"/>
    <n v="125"/>
    <n v="0"/>
    <n v="0"/>
    <n v="0"/>
    <n v="125"/>
  </r>
  <r>
    <n v="3"/>
    <s v="SANTA FE"/>
    <n v="2"/>
    <s v="EJE_DOS"/>
    <n v="19"/>
    <s v="Movilidad Humana."/>
    <n v="125"/>
    <s v="Mantener 64 Km/Carril  de la malla vial local"/>
    <x v="19"/>
    <x v="19"/>
    <n v="1168"/>
    <s v="Mejoramiento y recuperación del espacio público local"/>
    <n v="1"/>
    <s v="Mantener"/>
    <n v="64"/>
    <s v="Km/carril"/>
    <s v="de la malla vial local"/>
    <x v="8"/>
    <x v="14"/>
    <s v="SUMA"/>
    <n v="1"/>
    <n v="7.7968750000000003E-2"/>
    <n v="7.7968750000000003E-2"/>
    <n v="7.8125E-2"/>
    <n v="7.8125E-2"/>
    <m/>
    <n v="16"/>
    <n v="16"/>
    <n v="16"/>
    <n v="16"/>
    <n v="64"/>
    <n v="4.99"/>
    <n v="0"/>
    <n v="0"/>
    <n v="0"/>
    <n v="4.99"/>
    <n v="5"/>
    <n v="0"/>
    <n v="0"/>
    <n v="0"/>
    <n v="5"/>
  </r>
  <r>
    <n v="3"/>
    <s v="SANTA FE"/>
    <n v="2"/>
    <s v="EJE_DOS"/>
    <n v="19"/>
    <s v="Movilidad Humana."/>
    <n v="126"/>
    <s v="Rehabilitar 19 Km/Carril  de la malla vial local"/>
    <x v="19"/>
    <x v="19"/>
    <n v="1168"/>
    <s v="Mejoramiento y recuperación del espacio público local"/>
    <n v="2"/>
    <s v="Rehabilitar"/>
    <n v="19"/>
    <s v="Km/carril"/>
    <s v="de la malla vial local"/>
    <x v="8"/>
    <x v="14"/>
    <s v="SUMA"/>
    <n v="1"/>
    <n v="0.5"/>
    <n v="0.5"/>
    <n v="0.37368421052631579"/>
    <n v="0.37368421052631579"/>
    <m/>
    <n v="5"/>
    <n v="5"/>
    <n v="5"/>
    <n v="4"/>
    <n v="19"/>
    <n v="0"/>
    <n v="4"/>
    <n v="2"/>
    <n v="3.5"/>
    <n v="9.5"/>
    <n v="0"/>
    <n v="4"/>
    <n v="3.1"/>
    <n v="0"/>
    <n v="7.1"/>
  </r>
  <r>
    <n v="3"/>
    <s v="SANTA FE"/>
    <n v="2"/>
    <s v="EJE_DOS"/>
    <n v="19"/>
    <s v="Movilidad Humana."/>
    <n v="127"/>
    <s v="Mantener y rehabilitar 12.000 M2 de espacio público"/>
    <x v="20"/>
    <x v="20"/>
    <n v="1168"/>
    <s v="Mejoramiento y recuperación del espacio público local"/>
    <n v="3"/>
    <s v="Mantener"/>
    <n v="12000"/>
    <s v="M2"/>
    <s v="de espacio público local a través de acciones de rehabilitacion y mejoramiento"/>
    <x v="8"/>
    <x v="15"/>
    <s v="SUMA"/>
    <n v="1"/>
    <n v="1.33"/>
    <n v="1.33"/>
    <n v="1.1187499999999999"/>
    <n v="1.1187499999999999"/>
    <m/>
    <n v="3000"/>
    <n v="3000"/>
    <n v="3000"/>
    <n v="3000"/>
    <n v="12000"/>
    <n v="1191"/>
    <n v="5600"/>
    <n v="2169"/>
    <n v="7000"/>
    <n v="15960"/>
    <n v="5656"/>
    <n v="5600"/>
    <n v="2169"/>
    <n v="0"/>
    <n v="13425"/>
  </r>
  <r>
    <n v="3"/>
    <s v="SANTA FE"/>
    <n v="2"/>
    <s v="EJE_DOS"/>
    <n v="20"/>
    <s v="Gestión integral de riesgos."/>
    <n v="128"/>
    <s v="Vincular 400 personas con programas para la prevención de riesgos"/>
    <x v="21"/>
    <x v="21"/>
    <n v="1170"/>
    <s v="Mitigación del riesgo local"/>
    <n v="1"/>
    <s v="Vincular"/>
    <n v="400"/>
    <s v="personas"/>
    <s v="con programas para la prevención de riesgos"/>
    <x v="7"/>
    <x v="16"/>
    <s v="SUMA"/>
    <n v="1"/>
    <n v="1"/>
    <n v="1"/>
    <n v="0.5"/>
    <n v="0.5"/>
    <m/>
    <n v="100"/>
    <n v="100"/>
    <n v="100"/>
    <n v="100"/>
    <n v="400"/>
    <n v="100"/>
    <n v="100"/>
    <n v="0"/>
    <n v="200"/>
    <n v="400"/>
    <n v="100"/>
    <n v="100"/>
    <n v="0"/>
    <n v="0"/>
    <n v="200"/>
  </r>
  <r>
    <n v="3"/>
    <s v="SANTA FE"/>
    <n v="2"/>
    <s v="EJE_DOS"/>
    <n v="20"/>
    <s v="Gestión integral de riesgos."/>
    <n v="129"/>
    <s v="Realizar 1 dotación al Comité Local de Emergencias - CLE de elementos para la atención del riesgo"/>
    <x v="22"/>
    <x v="22"/>
    <n v="1170"/>
    <s v="Mitigación del riesgo local"/>
    <n v="2"/>
    <s v="Realizar"/>
    <n v="1"/>
    <s v="dotación"/>
    <s v="al Comité Local de Emergencias - CLE de elementos para la atención del riesgo"/>
    <x v="7"/>
    <x v="16"/>
    <s v="SUMA"/>
    <n v="1"/>
    <n v="3.5"/>
    <n v="3.5"/>
    <n v="2.5"/>
    <n v="2.5"/>
    <n v="1"/>
    <m/>
    <n v="0.5"/>
    <n v="0.5"/>
    <m/>
    <n v="1"/>
    <n v="0.5"/>
    <n v="1"/>
    <n v="1"/>
    <n v="1"/>
    <n v="3.5"/>
    <n v="0.5"/>
    <n v="1"/>
    <n v="1"/>
    <n v="0"/>
    <n v="2.5"/>
  </r>
  <r>
    <n v="3"/>
    <s v="SANTA FE"/>
    <n v="2"/>
    <s v="EJE_DOS"/>
    <n v="21"/>
    <s v="Basuras cero."/>
    <n v="130"/>
    <s v="Vincular 400 personas mediante procesos de sensibilización y estrategias para el manejo de residuos sólidos"/>
    <x v="23"/>
    <x v="23"/>
    <n v="1172"/>
    <s v="Santa fe basura cero"/>
    <n v="1"/>
    <s v="Vincular"/>
    <n v="400"/>
    <s v="personas"/>
    <s v="mediante procesos de sensibilización y estrategias para el manejo de residuos sólidos"/>
    <x v="9"/>
    <x v="17"/>
    <s v="SUMA"/>
    <n v="1"/>
    <n v="3.125"/>
    <n v="3.125"/>
    <n v="1"/>
    <n v="1"/>
    <n v="50"/>
    <n v="100"/>
    <n v="100"/>
    <n v="100"/>
    <n v="100"/>
    <n v="400"/>
    <n v="100"/>
    <n v="100"/>
    <n v="150"/>
    <n v="900"/>
    <n v="1250"/>
    <n v="100"/>
    <n v="100"/>
    <n v="200"/>
    <n v="0"/>
    <n v="400"/>
  </r>
  <r>
    <n v="3"/>
    <s v="SANTA FE"/>
    <n v="2"/>
    <s v="EJE_DOS"/>
    <n v="22"/>
    <s v="Bogotá Humana ambientalmente saludable."/>
    <n v="131"/>
    <s v="Vincular 160 personas mediante acciones pedagógicas y de sensibilización a través de jornadas de apropiación del entorno"/>
    <x v="18"/>
    <x v="18"/>
    <n v="1174"/>
    <s v="Santa Fe humana ambientalmente saludable"/>
    <n v="1"/>
    <s v="Vincular"/>
    <n v="160"/>
    <s v="personas"/>
    <s v="mediante acciones pedagógicas y de sensibilización a través de jornadas de apropiación del entorno"/>
    <x v="7"/>
    <x v="13"/>
    <s v="SUMA"/>
    <n v="1"/>
    <n v="0.5"/>
    <n v="0.5"/>
    <n v="3.125"/>
    <n v="3.125"/>
    <n v="0"/>
    <n v="40"/>
    <n v="40"/>
    <n v="40"/>
    <n v="40"/>
    <n v="160"/>
    <n v="80"/>
    <n v="0"/>
    <n v="0"/>
    <n v="0"/>
    <n v="80"/>
    <n v="500"/>
    <n v="0"/>
    <n v="0"/>
    <n v="0"/>
    <n v="500"/>
  </r>
  <r>
    <n v="3"/>
    <s v="SANTA FE"/>
    <n v="3"/>
    <s v="EJE_TRES"/>
    <n v="24"/>
    <s v="Bogotá Humana participa y decide."/>
    <n v="132"/>
    <s v="Vincular  600 personas en los ejercicios de los presupuestos participativos en la localidad de Santa Fe"/>
    <x v="24"/>
    <x v="24"/>
    <n v="1177"/>
    <s v="La participación en el centro de todas y todos"/>
    <n v="1"/>
    <s v="Vincular"/>
    <n v="600"/>
    <s v="personas"/>
    <s v="en los ejercicios de los presupuestos participativos en la localidad de Santa Fe"/>
    <x v="5"/>
    <x v="7"/>
    <s v="SUMA"/>
    <n v="1"/>
    <n v="0.25"/>
    <n v="0.25"/>
    <n v="0.25"/>
    <n v="0.25"/>
    <n v="900"/>
    <n v="150"/>
    <n v="150"/>
    <n v="150"/>
    <n v="150"/>
    <n v="600"/>
    <n v="0"/>
    <n v="150"/>
    <n v="0"/>
    <n v="0"/>
    <n v="150"/>
    <n v="0"/>
    <n v="150"/>
    <n v="0"/>
    <n v="0"/>
    <n v="150"/>
  </r>
  <r>
    <n v="3"/>
    <s v="SANTA FE"/>
    <n v="3"/>
    <s v="EJE_TRES"/>
    <n v="24"/>
    <s v="Bogotá Humana participa y decide."/>
    <n v="133"/>
    <s v="Fortalecer 60 Organizaciones Sociales  a través del apoyo de las acciones  y propuestas para el mejoramiento de las expresiones sociales"/>
    <x v="25"/>
    <x v="25"/>
    <n v="1177"/>
    <s v="La participación en el centro de todas y todos"/>
    <n v="2"/>
    <s v="Fortalecer"/>
    <n v="60"/>
    <s v="organizaciones"/>
    <s v="sociales en el desarrollo y fortalecimiento de expresiones sociales"/>
    <x v="5"/>
    <x v="7"/>
    <s v="SUMA"/>
    <n v="1"/>
    <n v="1.3333333333333333"/>
    <n v="1.3333333333333333"/>
    <n v="1.3333333333333333"/>
    <n v="1.3333333333333333"/>
    <m/>
    <n v="15"/>
    <n v="15"/>
    <n v="15"/>
    <n v="15"/>
    <n v="60"/>
    <n v="15"/>
    <n v="0"/>
    <n v="65"/>
    <n v="0"/>
    <n v="80"/>
    <n v="15"/>
    <n v="0"/>
    <n v="65"/>
    <n v="0"/>
    <n v="80"/>
  </r>
  <r>
    <n v="3"/>
    <s v="SANTA FE"/>
    <n v="3"/>
    <s v="EJE_TRES"/>
    <n v="24"/>
    <s v="Bogotá Humana participa y decide."/>
    <n v="134"/>
    <s v="Dotar y/o adecuar 15 salones comunales con elementos, materiales y mobiliario para el desarrollo de la participación en la toma de decisiones"/>
    <x v="26"/>
    <x v="26"/>
    <n v="1177"/>
    <s v="La participación en el centro de todas y todos"/>
    <n v="3"/>
    <s v="Dotar"/>
    <n v="15"/>
    <s v="salones"/>
    <s v="con elementos, materiales y mobiliario para el desarrollo de la participación en la toma de decisiones"/>
    <x v="5"/>
    <x v="7"/>
    <s v="SUMA"/>
    <n v="1"/>
    <n v="1.7333333333333334"/>
    <n v="1.7333333333333334"/>
    <n v="1.3333333333333333"/>
    <n v="1.3333333333333333"/>
    <n v="8"/>
    <n v="4"/>
    <n v="4"/>
    <n v="4"/>
    <n v="3"/>
    <n v="15"/>
    <n v="6"/>
    <n v="6"/>
    <n v="8"/>
    <n v="6"/>
    <n v="26"/>
    <n v="6"/>
    <n v="6"/>
    <n v="8"/>
    <n v="0"/>
    <n v="20"/>
  </r>
  <r>
    <n v="3"/>
    <s v="SANTA FE"/>
    <n v="3"/>
    <s v="EJE_TRES"/>
    <n v="26"/>
    <s v="Transparencia, probidad, lucha contra la corrupción y control social efectivo e incluyente."/>
    <n v="135"/>
    <s v="Vincular 400 personas en el fortalecimiento y consolidación del control social de las ciudadanas y ciudadanos"/>
    <x v="27"/>
    <x v="27"/>
    <n v="1178"/>
    <s v="Promoción del control social"/>
    <n v="1"/>
    <s v="Vincular"/>
    <n v="400"/>
    <s v="personas"/>
    <s v="en el fortalecimiento y consolidación del control social de las ciudadanas y ciudadanos"/>
    <x v="5"/>
    <x v="18"/>
    <s v="SUMA"/>
    <n v="1"/>
    <n v="1.55"/>
    <n v="1.55"/>
    <n v="1.55"/>
    <n v="1.55"/>
    <m/>
    <m/>
    <n v="150"/>
    <n v="150"/>
    <n v="100"/>
    <n v="400"/>
    <n v="0"/>
    <n v="0"/>
    <n v="620"/>
    <n v="0"/>
    <n v="620"/>
    <n v="0"/>
    <n v="0"/>
    <n v="620"/>
    <n v="0"/>
    <n v="620"/>
  </r>
  <r>
    <n v="3"/>
    <s v="SANTA FE"/>
    <n v="3"/>
    <s v="EJE_TRES"/>
    <n v="27"/>
    <s v="Territorios de vida y paz con prevención del delito."/>
    <n v="136"/>
    <s v="Vincular 800 personas 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
    <x v="28"/>
    <x v="28"/>
    <n v="1167"/>
    <s v="Santa Fe Humana libre de discriminación y violencias"/>
    <n v="1"/>
    <s v="Vincular"/>
    <n v="800"/>
    <s v="personas"/>
    <s v="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
    <x v="5"/>
    <x v="19"/>
    <s v="SUMA"/>
    <n v="1"/>
    <n v="1.3"/>
    <n v="1.3"/>
    <n v="0.96250000000000002"/>
    <n v="0.96250000000000002"/>
    <n v="0"/>
    <n v="200"/>
    <n v="200"/>
    <n v="200"/>
    <n v="200"/>
    <n v="800"/>
    <n v="200"/>
    <n v="300"/>
    <n v="270"/>
    <n v="270"/>
    <n v="1040"/>
    <n v="200"/>
    <n v="300"/>
    <n v="270"/>
    <n v="0"/>
    <n v="770"/>
  </r>
  <r>
    <n v="3"/>
    <s v="SANTA FE"/>
    <n v="3"/>
    <s v="EJE_TRES"/>
    <n v="27"/>
    <s v="Territorios de vida y paz con prevención del delito."/>
    <n v="137"/>
    <s v="Vincular 800 personas con acciones para motivar el cumplimiento voluntario de normas en la localidad"/>
    <x v="28"/>
    <x v="28"/>
    <n v="1167"/>
    <s v="Santa Fe Humana libre de discriminación y violencias"/>
    <n v="2"/>
    <s v="Vincular"/>
    <n v="800"/>
    <s v="personas"/>
    <s v="con acciones para motivar el cumplimiento voluntario de normas en la localidad"/>
    <x v="5"/>
    <x v="19"/>
    <s v="SUMA"/>
    <n v="1"/>
    <n v="0.75"/>
    <n v="0.75"/>
    <n v="0.63124999999999998"/>
    <n v="0.63124999999999998"/>
    <n v="0"/>
    <n v="200"/>
    <n v="200"/>
    <n v="200"/>
    <n v="200"/>
    <n v="800"/>
    <n v="60"/>
    <n v="345"/>
    <n v="60"/>
    <n v="135"/>
    <n v="600"/>
    <n v="60"/>
    <n v="345"/>
    <n v="100"/>
    <n v="0"/>
    <n v="505"/>
  </r>
  <r>
    <n v="3"/>
    <s v="SANTA FE"/>
    <n v="3"/>
    <s v="EJE_TRES"/>
    <n v="27"/>
    <s v="Territorios de vida y paz con prevención del delito."/>
    <n v="138"/>
    <s v="Vincular 800 personas con estrategias para promocionar la defensa del espacio público en la localidad"/>
    <x v="7"/>
    <x v="7"/>
    <n v="1167"/>
    <s v="Santa Fe Humana libre de discriminación y violencias"/>
    <n v="3"/>
    <s v="Vincular"/>
    <n v="800"/>
    <s v="personas"/>
    <s v="con estrategias para promocionar la defensa del espacio público en la localidad"/>
    <x v="3"/>
    <x v="6"/>
    <s v="SUMA"/>
    <n v="1"/>
    <n v="1"/>
    <n v="1"/>
    <n v="1.125"/>
    <n v="1.125"/>
    <n v="0"/>
    <n v="200"/>
    <n v="200"/>
    <n v="200"/>
    <n v="200"/>
    <n v="800"/>
    <n v="0"/>
    <n v="300"/>
    <n v="500"/>
    <n v="0"/>
    <n v="800"/>
    <n v="0"/>
    <n v="400"/>
    <n v="500"/>
    <n v="0"/>
    <n v="900"/>
  </r>
  <r>
    <n v="3"/>
    <s v="SANTA FE"/>
    <n v="3"/>
    <s v="EJE_TRES"/>
    <n v="30"/>
    <s v="Bogotá decide y protege el derecho fundamental a la salud de los intereses del  mercado y la corrupción."/>
    <n v="139"/>
    <s v="Fortalecer 1 Comité de Participación Comunitaria en Salud - COPACOS"/>
    <x v="7"/>
    <x v="7"/>
    <n v="1175"/>
    <s v="Santa Fe fortalece al COPACO"/>
    <n v="1"/>
    <s v="Fortalecer"/>
    <n v="1"/>
    <s v="Comité de participación comunitaria"/>
    <s v="en salud COPACOS"/>
    <x v="3"/>
    <x v="6"/>
    <s v="CONSTANTE"/>
    <n v="1"/>
    <n v="0.75"/>
    <n v="0.75"/>
    <n v="0.75"/>
    <n v="0.75"/>
    <n v="1"/>
    <n v="1"/>
    <n v="1"/>
    <n v="1"/>
    <n v="1"/>
    <n v="1"/>
    <n v="1"/>
    <n v="1"/>
    <n v="1"/>
    <n v="0"/>
    <n v="0.75"/>
    <n v="1"/>
    <n v="1"/>
    <n v="1"/>
    <n v="0"/>
    <n v="0.75"/>
  </r>
  <r>
    <n v="3"/>
    <s v="SANTA FE"/>
    <n v="3"/>
    <s v="EJE_TRES"/>
    <n v="31"/>
    <s v="Fortalecimiento de la función administrativa y desarrollo institucional."/>
    <n v="140"/>
    <s v="Realizar 1 fortalecimiento a la función administrativa y desarrollo institucional anualmente"/>
    <x v="29"/>
    <x v="29"/>
    <n v="1171"/>
    <s v="Desarrollo institucional"/>
    <n v="1"/>
    <s v="Realizar"/>
    <n v="1"/>
    <s v="fortalecimiento"/>
    <s v="a la función administrativa y desarrollo institucional anualmente"/>
    <x v="5"/>
    <x v="20"/>
    <s v="CONSTANTE"/>
    <n v="1"/>
    <n v="1"/>
    <n v="1"/>
    <n v="1"/>
    <n v="1"/>
    <n v="1"/>
    <n v="1"/>
    <n v="1"/>
    <n v="1"/>
    <n v="1"/>
    <n v="1"/>
    <n v="1"/>
    <n v="1"/>
    <n v="1"/>
    <n v="1"/>
    <n v="1"/>
    <n v="1"/>
    <n v="1"/>
    <n v="1"/>
    <n v="1"/>
    <n v="1"/>
  </r>
  <r>
    <n v="3"/>
    <s v="SANTA FE"/>
    <n v="3"/>
    <s v="EJE_TRES"/>
    <n v="31"/>
    <s v="Fortalecimiento de la función administrativa y desarrollo institucional."/>
    <n v="141"/>
    <s v="Realizar a los 7 ediles de la localidad el pago de honorarios correspondiente a sesiones ordinarias, extraordinarias y comisiones permanentes y el fortalecimiento de la función administrativa y desarrollo institucional de la JAL de Santa Fe"/>
    <x v="30"/>
    <x v="30"/>
    <n v="1171"/>
    <s v="Desarrollo institucional"/>
    <n v="2"/>
    <s v="Realizar"/>
    <n v="7"/>
    <s v="pagos"/>
    <s v="a ediles de honorarios correspondiente a sesiones ordinarias, extraordinarias y comisiones permanentes y el fortalecimiento de la función administrativa y desarrollo institucional de la JAL de Santa Fe"/>
    <x v="5"/>
    <x v="20"/>
    <s v="CONSTANTE"/>
    <n v="1"/>
    <n v="1"/>
    <n v="1"/>
    <n v="1"/>
    <n v="1"/>
    <n v="7"/>
    <n v="7"/>
    <n v="7"/>
    <n v="7"/>
    <n v="7"/>
    <n v="7"/>
    <n v="7"/>
    <n v="7"/>
    <n v="7"/>
    <n v="7"/>
    <n v="7"/>
    <n v="7"/>
    <n v="7"/>
    <n v="7"/>
    <n v="7"/>
    <n v="7"/>
  </r>
  <r>
    <n v="3"/>
    <s v="SANTA FE"/>
    <n v="3"/>
    <s v="EJE_TRES"/>
    <n v="31"/>
    <s v="Fortalecimiento de la función administrativa y desarrollo institucional."/>
    <n v="142"/>
    <s v="Implementar 1 Sistema Integrado de Gestión en la administración local"/>
    <x v="29"/>
    <x v="29"/>
    <n v="1171"/>
    <s v="Desarrollo institucional"/>
    <n v="3"/>
    <s v="Implementar"/>
    <n v="1"/>
    <s v="sistema integrado de gestión"/>
    <s v="en la administración local"/>
    <x v="5"/>
    <x v="20"/>
    <s v="CONSTANTE"/>
    <n v="1"/>
    <n v="1"/>
    <n v="1"/>
    <n v="1"/>
    <n v="1"/>
    <n v="0"/>
    <n v="1"/>
    <n v="1"/>
    <n v="1"/>
    <n v="1"/>
    <n v="1"/>
    <n v="0"/>
    <n v="0"/>
    <n v="3"/>
    <n v="1"/>
    <n v="1"/>
    <n v="0"/>
    <n v="0"/>
    <n v="3"/>
    <n v="1"/>
    <n v="1"/>
  </r>
  <r>
    <n v="3"/>
    <s v="SANTA FE"/>
    <n v="3"/>
    <s v="EJE_TRES"/>
    <n v="32"/>
    <s v="Tic para gobierno digital, ciudad inteligente, y sociedad del conocimiento y del emprendimiento."/>
    <n v="143"/>
    <s v="Vincular 4.000 personas a través de procesos de Tecnologías de la información, la comunicación y medios comunicativos"/>
    <x v="7"/>
    <x v="7"/>
    <n v="1173"/>
    <s v="TICS dinamizadoras de conocimiento local"/>
    <n v="1"/>
    <s v="Vincular"/>
    <n v="4000"/>
    <s v="personas"/>
    <s v="a través de procesos de Tecnologías de la información, la comunicación y medios comunicativos"/>
    <x v="3"/>
    <x v="6"/>
    <s v="SUMA"/>
    <n v="1"/>
    <n v="0.25"/>
    <n v="0.25"/>
    <n v="1"/>
    <n v="1"/>
    <n v="0"/>
    <n v="1000"/>
    <n v="1000"/>
    <n v="1000"/>
    <n v="1000"/>
    <n v="4000"/>
    <n v="1000"/>
    <n v="0"/>
    <n v="0"/>
    <n v="0"/>
    <n v="1000"/>
    <n v="1000"/>
    <n v="0"/>
    <n v="3000"/>
    <n v="0"/>
    <n v="4000"/>
  </r>
</pivotCacheRecords>
</file>

<file path=xl/pivotCache/pivotCacheRecords5.xml><?xml version="1.0" encoding="utf-8"?>
<pivotCacheRecords xmlns="http://schemas.openxmlformats.org/spreadsheetml/2006/main" xmlns:r="http://schemas.openxmlformats.org/officeDocument/2006/relationships" count="42">
  <r>
    <n v="3"/>
    <s v="SANTA FE"/>
    <x v="0"/>
    <s v="EJE_UNO"/>
    <x v="0"/>
    <s v="Garantía del desarrollo integral de la primera infancia."/>
    <n v="102"/>
    <x v="0"/>
    <n v="2"/>
    <s v="Equipamientos para la atención a la primera infancia dotados"/>
    <x v="0"/>
    <s v="Santa Fe crece saludable y feliz"/>
    <n v="2"/>
    <s v="Dotar"/>
    <n v="30"/>
    <s v="equipamientos"/>
    <s v="de elementos necesarios para la atención integral a la primera infancia"/>
    <s v="10. SDIS"/>
    <s v="Adecuación , habilitación y dotación de jardines"/>
    <x v="0"/>
    <n v="1"/>
    <n v="0.9"/>
    <n v="0.9"/>
    <n v="1.0333333333333334"/>
    <n v="1.0333333333333334"/>
    <n v="50"/>
    <n v="8"/>
    <n v="7"/>
    <n v="8"/>
    <n v="7"/>
    <n v="30"/>
    <n v="8"/>
    <n v="7"/>
    <n v="12"/>
    <n v="0"/>
    <n v="27"/>
    <n v="8"/>
    <n v="11"/>
    <n v="12"/>
    <x v="0"/>
    <n v="31"/>
    <n v="188551992"/>
    <n v="176319333"/>
    <n v="50000000"/>
    <n v="0"/>
    <n v="414871325"/>
    <n v="0"/>
    <n v="0"/>
    <n v="0"/>
    <n v="0"/>
    <n v="0"/>
  </r>
  <r>
    <n v="3"/>
    <s v="SANTA FE"/>
    <x v="0"/>
    <s v="EJE_UNO"/>
    <x v="0"/>
    <s v="Garantía del desarrollo integral de la primera infancia."/>
    <n v="103"/>
    <x v="1"/>
    <n v="1"/>
    <s v="Personas vinculadas a acciones de promoción del buen trato"/>
    <x v="0"/>
    <s v="Santa Fe crece saludable y feliz"/>
    <n v="1"/>
    <s v="Vincular"/>
    <n v="2000"/>
    <s v="niños y niñas"/>
    <s v="de 0 a 5 años a través de la prevención y estimulación para la primera infancia"/>
    <s v="10. SDIS"/>
    <s v="Protección integral a niños y niñas y adolescentes"/>
    <x v="0"/>
    <n v="1"/>
    <n v="0.92300000000000004"/>
    <n v="0.92300000000000004"/>
    <n v="0.92300000000000004"/>
    <n v="0.92300000000000004"/>
    <n v="500"/>
    <n v="500"/>
    <n v="500"/>
    <n v="500"/>
    <n v="500"/>
    <n v="2000"/>
    <n v="1395"/>
    <n v="451"/>
    <n v="0"/>
    <n v="0"/>
    <n v="1846"/>
    <n v="1395"/>
    <n v="451"/>
    <n v="0"/>
    <x v="0"/>
    <n v="1846"/>
    <n v="247000000"/>
    <n v="305521001"/>
    <n v="0"/>
    <n v="0"/>
    <n v="552521001"/>
    <m/>
    <n v="0"/>
    <n v="0"/>
    <n v="0"/>
    <n v="0"/>
  </r>
  <r>
    <n v="3"/>
    <s v="SANTA FE"/>
    <x v="0"/>
    <s v="EJE_UNO"/>
    <x v="1"/>
    <s v="Territorios saludables y red de salud para la vida desde la diversidad."/>
    <n v="104"/>
    <x v="2"/>
    <n v="4"/>
    <s v="Personas vinculadas a acciones de promoción y prevención en salud"/>
    <x v="1"/>
    <s v="Santa Fe con salud para todas y todos"/>
    <n v="1"/>
    <s v="Vincular"/>
    <n v="12000"/>
    <s v="personas"/>
    <s v="de la localidad y su ruralidad mediante programas de promoción y prevención en salud"/>
    <s v="9. SALUD"/>
    <s v="Promoción, prevención e intervención en salud"/>
    <x v="0"/>
    <n v="1"/>
    <n v="1.0908333333333333"/>
    <n v="1.0908333333333333"/>
    <n v="0.75"/>
    <n v="0.75"/>
    <n v="600"/>
    <n v="3000"/>
    <n v="3000"/>
    <n v="3000"/>
    <n v="3000"/>
    <n v="12000"/>
    <n v="3000"/>
    <n v="3000"/>
    <n v="3000"/>
    <n v="4090"/>
    <n v="13090"/>
    <n v="3000"/>
    <n v="3000"/>
    <n v="3000"/>
    <x v="1"/>
    <n v="9000"/>
    <n v="534472033"/>
    <n v="426981220"/>
    <n v="115419463"/>
    <n v="222923260"/>
    <n v="1299795976"/>
    <n v="9699998"/>
    <n v="0"/>
    <n v="7500000"/>
    <n v="0"/>
    <n v="17199998"/>
  </r>
  <r>
    <n v="3"/>
    <s v="SANTA FE"/>
    <x v="0"/>
    <s v="EJE_UNO"/>
    <x v="1"/>
    <s v="Territorios saludables y red de salud para la vida desde la diversidad."/>
    <n v="105"/>
    <x v="3"/>
    <n v="4"/>
    <s v="Personas vinculadas a acciones de promoción y prevención en salud"/>
    <x v="1"/>
    <s v="Santa Fe con salud para todas y todos"/>
    <n v="2"/>
    <s v="Vincular"/>
    <n v="1200"/>
    <s v="personas"/>
    <s v="de la localidad  mediante estrategias de prevención, promoción y sensibilización en educación sexual y reproductiva e Infeccion"/>
    <s v="9. SALUD"/>
    <s v="Promoción, prevención e intervención en salud"/>
    <x v="0"/>
    <n v="1"/>
    <n v="1.5"/>
    <n v="1.5"/>
    <n v="0.81666666666666665"/>
    <n v="0.81666666666666665"/>
    <n v="1795"/>
    <n v="300"/>
    <n v="300"/>
    <n v="300"/>
    <n v="300"/>
    <n v="1200"/>
    <n v="300"/>
    <n v="220"/>
    <n v="380"/>
    <n v="900"/>
    <n v="1800"/>
    <n v="300"/>
    <n v="300"/>
    <n v="380"/>
    <x v="1"/>
    <n v="980"/>
    <n v="96950000"/>
    <n v="21958780"/>
    <n v="83937681"/>
    <n v="113750000"/>
    <n v="316596461"/>
    <m/>
    <n v="0"/>
    <n v="1200000"/>
    <n v="2250000"/>
    <n v="3450000"/>
  </r>
  <r>
    <n v="3"/>
    <s v="SANTA FE"/>
    <x v="0"/>
    <s v="EJE_UNO"/>
    <x v="1"/>
    <s v="Territorios saludables y red de salud para la vida desde la diversidad."/>
    <n v="106"/>
    <x v="4"/>
    <n v="5"/>
    <s v="Personas benficiadas con ayudas técnicas"/>
    <x v="1"/>
    <s v="Santa Fe con salud para todas y todos"/>
    <n v="3"/>
    <s v="Vincular"/>
    <n v="320"/>
    <s v="personas"/>
    <s v="en condicion de discapacidad a través del Banco de Ayudas Técnicas"/>
    <s v="9. SALUD"/>
    <s v="Promoción, prevención e intervención en salud"/>
    <x v="0"/>
    <n v="1"/>
    <n v="1.09375"/>
    <n v="1.09375"/>
    <n v="1.3"/>
    <n v="1.3"/>
    <n v="90"/>
    <n v="80"/>
    <n v="80"/>
    <n v="80"/>
    <n v="80"/>
    <n v="320"/>
    <n v="80"/>
    <n v="90"/>
    <n v="100"/>
    <n v="80"/>
    <n v="350"/>
    <n v="66"/>
    <n v="250"/>
    <n v="100"/>
    <x v="1"/>
    <n v="416"/>
    <n v="104781818"/>
    <n v="100000000"/>
    <n v="50642856"/>
    <n v="184000000"/>
    <n v="439424674"/>
    <m/>
    <n v="0"/>
    <n v="5440160"/>
    <n v="0"/>
    <n v="5440160"/>
  </r>
  <r>
    <n v="3"/>
    <s v="SANTA FE"/>
    <x v="0"/>
    <s v="EJE_UNO"/>
    <x v="2"/>
    <s v="Construcción de saberes. Educación inclusiva, diversa y de calidad para disfrutar y aprender desde la primera infancia."/>
    <n v="107"/>
    <x v="5"/>
    <n v="11"/>
    <s v="Personas vinculadas a programas de educación para adultos"/>
    <x v="2"/>
    <s v="Con educación para todas y todos"/>
    <n v="1"/>
    <s v="Vincular"/>
    <n v="400"/>
    <s v="mujeres y hombres adultos"/>
    <s v="mediante programas de Educación flexible y diferencial para adultos de la localidad"/>
    <s v="4. EDUCACIÓN"/>
    <s v="Validación Escolar"/>
    <x v="0"/>
    <n v="1"/>
    <n v="1.2375"/>
    <n v="1.2375"/>
    <n v="1.0625"/>
    <n v="1.0625"/>
    <n v="0"/>
    <n v="100"/>
    <n v="100"/>
    <n v="100"/>
    <n v="100"/>
    <n v="400"/>
    <n v="100"/>
    <n v="270"/>
    <n v="25"/>
    <n v="100"/>
    <n v="495"/>
    <n v="130"/>
    <n v="270"/>
    <n v="25"/>
    <x v="0"/>
    <n v="425"/>
    <n v="194630000"/>
    <n v="442042074"/>
    <n v="41000000"/>
    <n v="172454389"/>
    <n v="850126463"/>
    <m/>
    <n v="0"/>
    <n v="0"/>
    <n v="0"/>
    <n v="0"/>
  </r>
  <r>
    <n v="3"/>
    <s v="SANTA FE"/>
    <x v="0"/>
    <s v="EJE_UNO"/>
    <x v="2"/>
    <s v="Construcción de saberes. Educación inclusiva, diversa y de calidad para disfrutar y aprender desde la primera infancia."/>
    <n v="108"/>
    <x v="6"/>
    <n v="9"/>
    <s v="Estudiantes vinculados a actividades extraescolares"/>
    <x v="2"/>
    <s v="Con educación para todas y todos"/>
    <n v="2"/>
    <s v="Beneficiar"/>
    <n v="1000"/>
    <s v="niños, niñas y adolecentes escolarizados"/>
    <s v="por medio de actividades lúdicas, pedagógicas y recreativas en tiempo extraescolar, dirigidas a los niños, niñas y jóvenes de los IEDS ubicados en la localidad"/>
    <s v="4. EDUCACIÓN"/>
    <s v="Actividades Extraescolares"/>
    <x v="0"/>
    <n v="1"/>
    <n v="1.2"/>
    <n v="1.2"/>
    <n v="1.2"/>
    <n v="1.2"/>
    <n v="0"/>
    <n v="250"/>
    <n v="250"/>
    <n v="250"/>
    <n v="250"/>
    <n v="1000"/>
    <n v="900"/>
    <n v="0"/>
    <n v="300"/>
    <n v="0"/>
    <n v="1200"/>
    <n v="900"/>
    <n v="0"/>
    <n v="300"/>
    <x v="0"/>
    <n v="1200"/>
    <n v="198507100"/>
    <n v="6600000"/>
    <n v="117566000"/>
    <n v="0"/>
    <n v="322673100"/>
    <n v="46658300"/>
    <n v="0"/>
    <n v="114246000"/>
    <n v="0"/>
    <n v="160904300"/>
  </r>
  <r>
    <n v="3"/>
    <s v="SANTA FE"/>
    <x v="0"/>
    <s v="EJE_UNO"/>
    <x v="2"/>
    <s v="Construcción de saberes. Educación inclusiva, diversa y de calidad para disfrutar y aprender desde la primera infancia."/>
    <n v="109"/>
    <x v="7"/>
    <n v="7"/>
    <s v="Planteles educativos dotados"/>
    <x v="2"/>
    <s v="Con educación para todas y todos"/>
    <n v="3"/>
    <s v="Dotar"/>
    <n v="8"/>
    <s v="colegios distritales"/>
    <s v="ubicados en la localidad con medios didácticos apropiados a su Proyecto Educativo Institucional-PEI, laboratorios y mobiliario"/>
    <s v="4. EDUCACIÓN"/>
    <s v="Infraestructura y dotación escolar"/>
    <x v="0"/>
    <n v="1"/>
    <n v="1.125"/>
    <n v="1.125"/>
    <n v="1.125"/>
    <n v="1.125"/>
    <n v="0"/>
    <m/>
    <n v="2"/>
    <n v="2"/>
    <n v="3"/>
    <n v="7"/>
    <n v="0"/>
    <n v="9"/>
    <n v="0"/>
    <n v="0"/>
    <n v="9"/>
    <n v="0"/>
    <n v="9"/>
    <n v="0"/>
    <x v="0"/>
    <n v="9"/>
    <n v="0"/>
    <n v="88229200"/>
    <n v="0"/>
    <n v="0"/>
    <n v="88229200"/>
    <n v="0"/>
    <n v="0"/>
    <n v="0"/>
    <n v="0"/>
    <n v="0"/>
  </r>
  <r>
    <n v="3"/>
    <s v="SANTA FE"/>
    <x v="0"/>
    <s v="EJE_UNO"/>
    <x v="2"/>
    <s v="Construcción de saberes. Educación inclusiva, diversa y de calidad para disfrutar y aprender desde la primera infancia."/>
    <n v="110"/>
    <x v="8"/>
    <s v="N/A"/>
    <s v="No agrega"/>
    <x v="2"/>
    <s v="Con educación para todas y todos"/>
    <n v="4"/>
    <s v="Vincular"/>
    <n v="3000"/>
    <s v="personas"/>
    <s v="con el fortalecimiento de las instituciones educativas a través de la realización de un foro educativo anual"/>
    <s v="N/A"/>
    <s v="N/A"/>
    <x v="0"/>
    <n v="1"/>
    <n v="0.94333333333333336"/>
    <n v="0.94333333333333336"/>
    <n v="0.96"/>
    <n v="0.96"/>
    <m/>
    <n v="750"/>
    <n v="750"/>
    <n v="750"/>
    <n v="750"/>
    <n v="3000"/>
    <n v="600"/>
    <n v="800"/>
    <n v="900"/>
    <n v="530"/>
    <n v="2830"/>
    <n v="650"/>
    <n v="800"/>
    <n v="900"/>
    <x v="2"/>
    <n v="2880"/>
    <n v="16464000"/>
    <n v="135015223"/>
    <n v="19720000"/>
    <n v="12365880"/>
    <n v="183565103"/>
    <n v="16464000"/>
    <n v="133290223"/>
    <n v="19720000"/>
    <n v="12365880"/>
    <n v="181840103"/>
  </r>
  <r>
    <n v="3"/>
    <s v="SANTA FE"/>
    <x v="0"/>
    <s v="EJE_UNO"/>
    <x v="3"/>
    <s v="Bogotá Humana con igualdad de oportunidades y equidad de género para las mujeres."/>
    <n v="111"/>
    <x v="9"/>
    <n v="14"/>
    <s v="Personas vinculadas a procesos de prevención de la violencia y discriminación de género"/>
    <x v="3"/>
    <s v="Apoyo a acciones del plan de igualdad de oportunidades"/>
    <n v="1"/>
    <s v="Vincular"/>
    <n v="200"/>
    <s v="mujeres"/>
    <s v="en programas con enfoque diferencial, mecanismos de protección, capacitación para la prevención de violencia contra las mujeres y visibilización de la política pública de la mujer y género"/>
    <s v="12. SECRETARÍA DE LA MUJER"/>
    <s v="Espacios y procesos de participación ciudadana fortalecidos"/>
    <x v="0"/>
    <n v="1"/>
    <n v="1.25"/>
    <n v="1.25"/>
    <n v="0"/>
    <n v="0"/>
    <m/>
    <m/>
    <n v="66"/>
    <n v="67"/>
    <n v="67"/>
    <n v="200"/>
    <n v="0"/>
    <n v="0"/>
    <n v="0"/>
    <n v="250"/>
    <n v="250"/>
    <n v="0"/>
    <n v="0"/>
    <n v="0"/>
    <x v="0"/>
    <n v="0"/>
    <n v="0"/>
    <n v="0"/>
    <n v="0"/>
    <n v="27960668"/>
    <n v="27960668"/>
    <n v="0"/>
    <n v="0"/>
    <n v="0"/>
    <n v="0"/>
    <n v="0"/>
  </r>
  <r>
    <n v="3"/>
    <s v="SANTA FE"/>
    <x v="0"/>
    <s v="EJE_UNO"/>
    <x v="4"/>
    <s v="Lucha contra distintos tipos de discriminación y violencias por condición, situación, identidad, diferencia, diversidad o etapa del ciclo vital."/>
    <n v="112"/>
    <x v="10"/>
    <n v="19"/>
    <s v="Personas con subsidio tipo C  beneficiadas"/>
    <x v="4"/>
    <s v="Santa Fe reduce la discriminación y segregación social"/>
    <n v="1"/>
    <s v="Suministrar"/>
    <n v="900"/>
    <s v="subsidios"/>
    <s v="tipo C mensuales a adultos mayores a través de una entidad bancaria y de acuerdo con los procedimientos establecidos"/>
    <s v="10. SDIS"/>
    <s v="Protección  integral a personas y familias en situación de vulneración"/>
    <x v="1"/>
    <n v="1"/>
    <n v="1.9722222222222223"/>
    <n v="1.9722222222222223"/>
    <n v="2.0277777777777777"/>
    <n v="2.0277777777777777"/>
    <n v="900"/>
    <n v="900"/>
    <n v="900"/>
    <n v="900"/>
    <n v="900"/>
    <n v="900"/>
    <n v="900"/>
    <n v="1200"/>
    <n v="2300"/>
    <n v="2700"/>
    <n v="1775"/>
    <n v="900"/>
    <n v="1200"/>
    <n v="2500"/>
    <x v="3"/>
    <n v="1825"/>
    <n v="1813000000"/>
    <n v="1800498972"/>
    <n v="4622824460"/>
    <n v="3400000000"/>
    <n v="11636323432"/>
    <n v="1063706081"/>
    <n v="680684506"/>
    <n v="1230720000"/>
    <n v="306316134"/>
    <n v="3281426721"/>
  </r>
  <r>
    <n v="3"/>
    <s v="SANTA FE"/>
    <x v="0"/>
    <s v="EJE_UNO"/>
    <x v="4"/>
    <s v="Lucha contra distintos tipos de discriminación y violencias por condición, situación, identidad, diferencia, diversidad o etapa del ciclo vital."/>
    <n v="113"/>
    <x v="11"/>
    <s v="N/A"/>
    <s v="No agrega"/>
    <x v="4"/>
    <s v="Santa Fe reduce la discriminación y segregación social"/>
    <n v="2"/>
    <s v="Vincular"/>
    <n v="220"/>
    <s v="personas"/>
    <s v="en situación de fragilidad social (adulto mayor, prostitución y/o habitante de calle) con programas y/o procesos que busquen mejorar sus condiciones de vida"/>
    <s v="N/A"/>
    <s v="N/A"/>
    <x v="0"/>
    <n v="1"/>
    <n v="0.95454545454545459"/>
    <n v="0.95454545454545459"/>
    <n v="0.95454545454545459"/>
    <n v="0.95454545454545459"/>
    <n v="0"/>
    <n v="55"/>
    <n v="55"/>
    <n v="55"/>
    <n v="55"/>
    <n v="220"/>
    <n v="210"/>
    <n v="0"/>
    <n v="0"/>
    <n v="0"/>
    <n v="210"/>
    <n v="210"/>
    <n v="0"/>
    <n v="0"/>
    <x v="0"/>
    <n v="210"/>
    <n v="300546142"/>
    <n v="0"/>
    <n v="0"/>
    <n v="0"/>
    <n v="300546142"/>
    <n v="36836795"/>
    <n v="0"/>
    <n v="0"/>
    <n v="0"/>
    <n v="36836795"/>
  </r>
  <r>
    <n v="3"/>
    <s v="SANTA FE"/>
    <x v="0"/>
    <s v="EJE_UNO"/>
    <x v="4"/>
    <s v="Lucha contra distintos tipos de discriminación y violencias por condición, situación, identidad, diferencia, diversidad o etapa del ciclo vital."/>
    <n v="114"/>
    <x v="12"/>
    <n v="15"/>
    <s v="Personas vinculadas a procesos de reconocimiento de la identidad de género, orientación y diversidad sexual, grupo étnico y etario."/>
    <x v="4"/>
    <s v="Santa Fe reduce la discriminación y segregación social"/>
    <n v="3"/>
    <s v="Vincular"/>
    <n v="5000"/>
    <s v="personas"/>
    <s v="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
    <s v="5. GOBIERNO"/>
    <s v="Espacios y procesos de participación ciudadana fortalecidos"/>
    <x v="0"/>
    <n v="1"/>
    <n v="0.86"/>
    <n v="0.86"/>
    <n v="0.86"/>
    <n v="0.86"/>
    <n v="5"/>
    <n v="1250"/>
    <n v="1250"/>
    <n v="1250"/>
    <n v="1250"/>
    <n v="5000"/>
    <n v="1250"/>
    <n v="1250"/>
    <n v="1800"/>
    <n v="0"/>
    <n v="4300"/>
    <n v="1250"/>
    <n v="1250"/>
    <n v="1800"/>
    <x v="0"/>
    <n v="4300"/>
    <n v="236477888"/>
    <n v="261732500"/>
    <n v="305050000"/>
    <n v="0"/>
    <n v="803260388"/>
    <m/>
    <n v="92732500"/>
    <n v="305050000"/>
    <n v="0"/>
    <n v="397782500"/>
  </r>
  <r>
    <n v="3"/>
    <s v="SANTA FE"/>
    <x v="0"/>
    <s v="EJE_UNO"/>
    <x v="4"/>
    <s v="Lucha contra distintos tipos de discriminación y violencias por condición, situación, identidad, diferencia, diversidad o etapa del ciclo vital."/>
    <n v="115"/>
    <x v="13"/>
    <n v="16"/>
    <s v="Personas vinculadas a estrategias de prevencion de las violencias, violencia intrafamiliar y la discriminación"/>
    <x v="4"/>
    <s v="Santa Fe reduce la discriminación y segregación social"/>
    <n v="4"/>
    <s v="Vincular"/>
    <n v="1000"/>
    <s v="personas"/>
    <s v="mediante acciones de prevención de casos de violencia intrafamiliar y explotación infantil con enfoque diferencial y otros tipos de violencias por discriminación"/>
    <s v="10. SDIS"/>
    <s v="Protección  integral a personas y familias en situación de vulneración"/>
    <x v="0"/>
    <n v="1"/>
    <n v="0.9"/>
    <n v="0.9"/>
    <n v="0.9"/>
    <n v="0.9"/>
    <n v="0"/>
    <n v="250"/>
    <n v="250"/>
    <n v="250"/>
    <n v="250"/>
    <n v="1000"/>
    <n v="250"/>
    <n v="250"/>
    <n v="400"/>
    <n v="0"/>
    <n v="900"/>
    <n v="250"/>
    <n v="250"/>
    <n v="400"/>
    <x v="0"/>
    <n v="900"/>
    <n v="294209970"/>
    <n v="312947000"/>
    <n v="316000000"/>
    <n v="0"/>
    <n v="923156970"/>
    <m/>
    <n v="2000000"/>
    <n v="0"/>
    <n v="0"/>
    <n v="2000000"/>
  </r>
  <r>
    <n v="3"/>
    <s v="SANTA FE"/>
    <x v="0"/>
    <s v="EJE_UNO"/>
    <x v="5"/>
    <s v="Ejercicio de libertades culturales y deportivas."/>
    <n v="116"/>
    <x v="14"/>
    <n v="29"/>
    <s v="Espacios recuperados o apropiados culturalmente"/>
    <x v="5"/>
    <s v="Programas culturales para todas y todos"/>
    <n v="3"/>
    <s v="Apropiar"/>
    <n v="2"/>
    <s v="espacios"/>
    <s v="culturales significativos de la localidad a través de corredores culturales e inventario patrimonial tangible e intangible"/>
    <s v="2. CULTURA Y RECREACIÓN"/>
    <s v="Infraestructura y dotación a centros artísticos y culturales"/>
    <x v="0"/>
    <n v="1"/>
    <n v="1.5"/>
    <n v="1.5"/>
    <n v="1.5"/>
    <n v="1.5"/>
    <n v="0"/>
    <n v="1"/>
    <m/>
    <n v="1"/>
    <m/>
    <n v="2"/>
    <n v="1"/>
    <n v="2"/>
    <n v="0"/>
    <n v="0"/>
    <n v="3"/>
    <n v="1"/>
    <n v="2"/>
    <n v="0"/>
    <x v="0"/>
    <n v="3"/>
    <n v="253216540"/>
    <n v="163770000"/>
    <n v="16000000"/>
    <n v="0"/>
    <n v="432986540"/>
    <n v="14392540"/>
    <n v="53170000"/>
    <n v="0"/>
    <n v="0"/>
    <n v="67562540"/>
  </r>
  <r>
    <n v="3"/>
    <s v="SANTA FE"/>
    <x v="0"/>
    <s v="EJE_UNO"/>
    <x v="5"/>
    <s v="Ejercicio de libertades culturales y deportivas."/>
    <n v="117"/>
    <x v="15"/>
    <n v="23"/>
    <s v="Eventos culturales realizados"/>
    <x v="5"/>
    <s v="Programas culturales para todas y todos"/>
    <n v="1"/>
    <s v="Realizar"/>
    <n v="9"/>
    <s v="eventos"/>
    <s v="culturales anuales que visibilicen las prácticas culturales de la localidad"/>
    <s v="2. CULTURA Y RECREACIÓN"/>
    <s v="Espacios artísticos y culturales"/>
    <x v="1"/>
    <n v="1"/>
    <n v="1.0833333333333333"/>
    <n v="1.0833333333333333"/>
    <n v="0.94444444444444442"/>
    <n v="0.94444444444444442"/>
    <n v="6"/>
    <n v="9"/>
    <n v="9"/>
    <n v="9"/>
    <n v="9"/>
    <n v="9"/>
    <n v="12"/>
    <n v="13"/>
    <n v="8"/>
    <n v="6"/>
    <n v="9.75"/>
    <n v="12"/>
    <n v="13"/>
    <n v="8"/>
    <x v="4"/>
    <n v="8.5"/>
    <n v="614233685"/>
    <n v="634919725"/>
    <n v="693708384"/>
    <n v="487863030"/>
    <n v="2430724824"/>
    <n v="126182653"/>
    <n v="93882275"/>
    <n v="190532858"/>
    <n v="0"/>
    <n v="410597786"/>
  </r>
  <r>
    <n v="3"/>
    <s v="SANTA FE"/>
    <x v="0"/>
    <s v="EJE_UNO"/>
    <x v="5"/>
    <s v="Ejercicio de libertades culturales y deportivas."/>
    <n v="118"/>
    <x v="16"/>
    <n v="32"/>
    <s v="Personas vinculadas a la oferta recreativa y deportiva"/>
    <x v="6"/>
    <s v="Santa Fe más activa y dinámica"/>
    <n v="1"/>
    <s v="Vincular"/>
    <n v="4500"/>
    <s v="personas"/>
    <s v="en eventos y formación deportiva que permitan la integración de niños, niñas, jóvenes, adolescentes, adultos y adultos mayores"/>
    <s v="2. CULTURA Y RECREACIÓN"/>
    <s v="Eventos y actividades recreativas y deportivas"/>
    <x v="0"/>
    <n v="1"/>
    <n v="1.47"/>
    <n v="1.47"/>
    <n v="1.2177777777777778"/>
    <n v="1.2177777777777778"/>
    <n v="1680"/>
    <n v="1125"/>
    <n v="1125"/>
    <n v="1125"/>
    <n v="1125"/>
    <n v="4500"/>
    <n v="2000"/>
    <n v="2000"/>
    <n v="1480"/>
    <n v="1135"/>
    <n v="6615"/>
    <n v="2000"/>
    <n v="2000"/>
    <n v="1480"/>
    <x v="0"/>
    <n v="5480"/>
    <n v="544213543"/>
    <n v="690703293"/>
    <n v="597258335"/>
    <n v="644697339"/>
    <n v="2476872510"/>
    <n v="85062988"/>
    <n v="241468000"/>
    <n v="340679335"/>
    <n v="0"/>
    <n v="667210323"/>
  </r>
  <r>
    <n v="3"/>
    <s v="SANTA FE"/>
    <x v="0"/>
    <s v="EJE_UNO"/>
    <x v="5"/>
    <s v="Ejercicio de libertades culturales y deportivas."/>
    <n v="119"/>
    <x v="17"/>
    <n v="25"/>
    <s v="Personas capacitadas en formación informal artística, cultural y del patrimonio"/>
    <x v="5"/>
    <s v="Programas culturales para todas y todos"/>
    <n v="2"/>
    <s v="Vincular"/>
    <n v="350"/>
    <s v="niños, niñas y adolecentes"/>
    <s v="a través de la práctica de grupos orquestales y formación en áreas artísticas y/o culturales"/>
    <s v="2. CULTURA Y RECREACIÓN"/>
    <s v="Formación artística y cultural"/>
    <x v="1"/>
    <n v="1"/>
    <n v="0.9464285714285714"/>
    <n v="0.9464285714285714"/>
    <n v="0.6964285714285714"/>
    <n v="0.6964285714285714"/>
    <m/>
    <n v="350"/>
    <n v="350"/>
    <n v="350"/>
    <n v="350"/>
    <n v="350"/>
    <n v="475"/>
    <n v="250"/>
    <n v="250"/>
    <n v="350"/>
    <n v="331.25"/>
    <n v="475"/>
    <n v="250"/>
    <n v="250"/>
    <x v="0"/>
    <n v="243.75"/>
    <n v="488305000"/>
    <n v="391822500"/>
    <n v="492371000"/>
    <n v="187521521"/>
    <n v="1560020021"/>
    <n v="97125000"/>
    <n v="85480000"/>
    <n v="314512000"/>
    <n v="0"/>
    <n v="497117000"/>
  </r>
  <r>
    <n v="3"/>
    <s v="SANTA FE"/>
    <x v="0"/>
    <s v="EJE_UNO"/>
    <x v="5"/>
    <s v="Ejercicio de libertades culturales y deportivas."/>
    <n v="120"/>
    <x v="18"/>
    <n v="27"/>
    <s v="Escenarios culturales dotados"/>
    <x v="5"/>
    <s v="Programas culturales para todas y todos"/>
    <n v="4"/>
    <s v="Dotar"/>
    <n v="4"/>
    <s v="bibliotecas"/>
    <s v="comunitarias con elementos, materiales, mobiliario y apoyos logísticos"/>
    <s v="2. CULTURA Y RECREACIÓN"/>
    <s v="Infraestructura y dotación a centros artísticos y culturales"/>
    <x v="0"/>
    <n v="1"/>
    <n v="0.75"/>
    <n v="0.75"/>
    <n v="1.5"/>
    <n v="1.5"/>
    <m/>
    <m/>
    <n v="1"/>
    <n v="1"/>
    <n v="2"/>
    <n v="4"/>
    <n v="0"/>
    <n v="0"/>
    <n v="3"/>
    <n v="0"/>
    <n v="3"/>
    <n v="0"/>
    <n v="3"/>
    <n v="3"/>
    <x v="0"/>
    <n v="6"/>
    <n v="0"/>
    <n v="0"/>
    <n v="62866389"/>
    <n v="0"/>
    <n v="62866389"/>
    <n v="0"/>
    <n v="0"/>
    <n v="62866389"/>
    <n v="0"/>
    <n v="62866389"/>
  </r>
  <r>
    <n v="3"/>
    <s v="SANTA FE"/>
    <x v="1"/>
    <s v="EJE_DOS"/>
    <x v="6"/>
    <s v="Recuperación, rehabilitación y restauración de la estructura ecológica principal y de los espacios del agua."/>
    <n v="121"/>
    <x v="19"/>
    <n v="45"/>
    <s v="Espacios ambientales intervenidos"/>
    <x v="7"/>
    <s v="Santa Fe se ordena alrededor del agua"/>
    <n v="1"/>
    <s v="Recuperar"/>
    <n v="3"/>
    <s v="ríos y/o quebradas"/>
    <s v="de la localidad de Santa Fe para el desarrollo integral - ambiental"/>
    <s v="1. AMBIENTE"/>
    <s v="Calidad ambiental y preservación del patrimonio natural"/>
    <x v="0"/>
    <n v="1"/>
    <n v="7.333333333333333"/>
    <n v="7.333333333333333"/>
    <n v="9.3333333333333339"/>
    <n v="9.3333333333333339"/>
    <n v="0"/>
    <n v="1"/>
    <n v="1"/>
    <n v="1"/>
    <m/>
    <n v="3"/>
    <n v="5"/>
    <n v="5"/>
    <n v="9"/>
    <n v="3"/>
    <n v="22"/>
    <n v="5"/>
    <n v="5"/>
    <n v="9"/>
    <x v="5"/>
    <n v="28"/>
    <n v="291269046"/>
    <n v="137500000"/>
    <n v="262500000"/>
    <n v="209083333"/>
    <n v="900352379"/>
    <m/>
    <n v="0"/>
    <n v="119646780"/>
    <n v="2083333"/>
    <n v="121730113"/>
  </r>
  <r>
    <n v="3"/>
    <s v="SANTA FE"/>
    <x v="1"/>
    <s v="EJE_DOS"/>
    <x v="6"/>
    <s v="Recuperación, rehabilitación y restauración de la estructura ecológica principal y de los espacios del agua."/>
    <n v="122"/>
    <x v="20"/>
    <n v="45"/>
    <s v="Espacios ambientales intervenidos"/>
    <x v="7"/>
    <s v="Santa Fe se ordena alrededor del agua"/>
    <n v="2"/>
    <s v="Recuperar"/>
    <n v="25"/>
    <s v="puntos críticos"/>
    <s v="identificados en el diagnóstico ambiental local que afectan el medio ambiente con procesos de atención, recuperación, organización y educación ambiental"/>
    <s v="1. AMBIENTE"/>
    <s v="Calidad ambiental y preservación del patrimonio natural"/>
    <x v="0"/>
    <n v="1"/>
    <n v="1"/>
    <n v="1"/>
    <n v="0.92"/>
    <n v="0.92"/>
    <n v="3"/>
    <n v="6"/>
    <n v="6"/>
    <n v="6"/>
    <n v="7"/>
    <n v="25"/>
    <n v="10"/>
    <n v="0"/>
    <n v="15"/>
    <n v="0"/>
    <n v="25"/>
    <n v="8"/>
    <n v="0"/>
    <n v="15"/>
    <x v="0"/>
    <n v="23"/>
    <n v="229200000"/>
    <n v="0"/>
    <n v="148351743"/>
    <n v="0"/>
    <n v="377551743"/>
    <m/>
    <n v="0"/>
    <n v="0"/>
    <n v="0"/>
    <n v="0"/>
  </r>
  <r>
    <n v="3"/>
    <s v="SANTA FE"/>
    <x v="1"/>
    <s v="EJE_DOS"/>
    <x v="6"/>
    <s v="Recuperación, rehabilitación y restauración de la estructura ecológica principal y de los espacios del agua."/>
    <n v="123"/>
    <x v="21"/>
    <s v="N/A"/>
    <s v="No agrega"/>
    <x v="7"/>
    <s v="Santa Fe se ordena alrededor del agua"/>
    <n v="3"/>
    <s v="Recuperar"/>
    <n v="10"/>
    <s v="hectáreas"/>
    <s v="ambientalmente estratégicas a través de acciones de rehabilitación ecológica y procesos de sustentabilidad campesina"/>
    <s v="N/A"/>
    <s v="N/A"/>
    <x v="0"/>
    <n v="1"/>
    <n v="2.0499999999999998"/>
    <n v="2.0499999999999998"/>
    <n v="0.8"/>
    <n v="0.8"/>
    <n v="0"/>
    <n v="2"/>
    <n v="2"/>
    <n v="3"/>
    <n v="3"/>
    <n v="10"/>
    <n v="3"/>
    <n v="2.5"/>
    <n v="2"/>
    <n v="13"/>
    <n v="20.5"/>
    <n v="3"/>
    <n v="3"/>
    <n v="2"/>
    <x v="0"/>
    <n v="8"/>
    <n v="130500000"/>
    <n v="134700000"/>
    <n v="208000000"/>
    <n v="190424205"/>
    <n v="663624205"/>
    <m/>
    <n v="44700000"/>
    <n v="199999976"/>
    <n v="368372"/>
    <n v="245068348"/>
  </r>
  <r>
    <n v="3"/>
    <s v="SANTA FE"/>
    <x v="1"/>
    <s v="EJE_DOS"/>
    <x v="6"/>
    <s v="Recuperación, rehabilitación y restauración de la estructura ecológica principal y de los espacios del agua."/>
    <n v="124"/>
    <x v="22"/>
    <n v="41"/>
    <s v="Personas vinculadas en acciones para la conservación o recuperación de los espacios del agua y la protección del ambiente"/>
    <x v="7"/>
    <s v="Santa Fe se ordena alrededor del agua"/>
    <n v="4"/>
    <s v="Vincular"/>
    <n v="500"/>
    <s v="personas"/>
    <s v="a través de la Planificación Agroforestal y el fortalecimiento de la asistencia técnica para armonizar con el desarrollo sostenible"/>
    <s v="1. AMBIENTE"/>
    <s v="Calidad ambiental y preservación del patrimonio natural"/>
    <x v="0"/>
    <n v="1"/>
    <n v="0.25"/>
    <n v="0.25"/>
    <n v="0.25"/>
    <n v="0.25"/>
    <n v="0"/>
    <n v="125"/>
    <n v="125"/>
    <n v="125"/>
    <n v="125"/>
    <n v="500"/>
    <n v="125"/>
    <n v="0"/>
    <n v="0"/>
    <n v="0"/>
    <n v="125"/>
    <n v="125"/>
    <n v="0"/>
    <n v="0"/>
    <x v="0"/>
    <n v="125"/>
    <n v="167300000"/>
    <n v="12000000"/>
    <n v="0"/>
    <n v="0"/>
    <n v="179300000"/>
    <m/>
    <n v="12000000"/>
    <n v="0"/>
    <n v="0"/>
    <n v="12000000"/>
  </r>
  <r>
    <n v="3"/>
    <s v="SANTA FE"/>
    <x v="1"/>
    <s v="EJE_DOS"/>
    <x v="7"/>
    <s v="Movilidad Humana."/>
    <n v="125"/>
    <x v="23"/>
    <n v="46"/>
    <s v="Km/carril de malla vial local recuperados"/>
    <x v="8"/>
    <s v="Mejoramiento y recuperación del espacio público local"/>
    <n v="1"/>
    <s v="Mantener"/>
    <n v="64"/>
    <s v="Km/carril"/>
    <s v="de la malla vial local"/>
    <s v="8. MOVILIDAD"/>
    <s v="Vías Locales"/>
    <x v="0"/>
    <n v="1"/>
    <n v="7.7968750000000003E-2"/>
    <n v="7.7968750000000003E-2"/>
    <n v="7.8125E-2"/>
    <n v="7.8125E-2"/>
    <m/>
    <n v="16"/>
    <n v="16"/>
    <n v="16"/>
    <n v="16"/>
    <n v="64"/>
    <n v="4.99"/>
    <n v="0"/>
    <n v="0"/>
    <n v="0"/>
    <n v="4.99"/>
    <n v="5"/>
    <n v="0"/>
    <n v="0"/>
    <x v="0"/>
    <n v="5"/>
    <n v="4620000000"/>
    <n v="42829428"/>
    <n v="0"/>
    <n v="0"/>
    <n v="4662829428"/>
    <n v="1043000000"/>
    <n v="42829427.399999999"/>
    <n v="0"/>
    <n v="0"/>
    <n v="1085829427.4000001"/>
  </r>
  <r>
    <n v="3"/>
    <s v="SANTA FE"/>
    <x v="1"/>
    <s v="EJE_DOS"/>
    <x v="7"/>
    <s v="Movilidad Humana."/>
    <n v="126"/>
    <x v="24"/>
    <n v="46"/>
    <s v="Km/carril de malla vial local recuperados"/>
    <x v="8"/>
    <s v="Mejoramiento y recuperación del espacio público local"/>
    <n v="2"/>
    <s v="Rehabilitar"/>
    <n v="19"/>
    <s v="Km/carril"/>
    <s v="de la malla vial local"/>
    <s v="8. MOVILIDAD"/>
    <s v="Vías Locales"/>
    <x v="0"/>
    <n v="1"/>
    <n v="0.5"/>
    <n v="0.5"/>
    <n v="0.37368421052631579"/>
    <n v="0.37368421052631579"/>
    <m/>
    <n v="5"/>
    <n v="5"/>
    <n v="5"/>
    <n v="4"/>
    <n v="19"/>
    <n v="0"/>
    <n v="4"/>
    <n v="2"/>
    <n v="3.5"/>
    <n v="9.5"/>
    <n v="0"/>
    <n v="4"/>
    <n v="3.1"/>
    <x v="0"/>
    <n v="7.1"/>
    <n v="0"/>
    <n v="4000000000"/>
    <n v="6124021803"/>
    <n v="7582150000"/>
    <n v="17706171803"/>
    <n v="0"/>
    <n v="1648007395"/>
    <n v="2479501306"/>
    <n v="346956956"/>
    <n v="4474465657"/>
  </r>
  <r>
    <n v="3"/>
    <s v="SANTA FE"/>
    <x v="1"/>
    <s v="EJE_DOS"/>
    <x v="7"/>
    <s v="Movilidad Humana."/>
    <n v="127"/>
    <x v="25"/>
    <n v="51"/>
    <s v="m2 de espacio público recuperado"/>
    <x v="8"/>
    <s v="Mejoramiento y recuperación del espacio público local"/>
    <n v="3"/>
    <s v="Mantener"/>
    <n v="12000"/>
    <s v="M2"/>
    <s v="de espacio público local a través de acciones de rehabilitacion y mejoramiento"/>
    <s v="8. MOVILIDAD"/>
    <s v="Espacio Publico"/>
    <x v="0"/>
    <n v="1"/>
    <n v="1.33"/>
    <n v="1.33"/>
    <n v="1.1187499999999999"/>
    <n v="1.1187499999999999"/>
    <m/>
    <n v="3000"/>
    <n v="3000"/>
    <n v="3000"/>
    <n v="3000"/>
    <n v="12000"/>
    <n v="1191"/>
    <n v="5600"/>
    <n v="2169"/>
    <n v="7000"/>
    <n v="15960"/>
    <n v="5656"/>
    <n v="5600"/>
    <n v="2169"/>
    <x v="0"/>
    <n v="13425"/>
    <n v="1767304000"/>
    <n v="4573579496"/>
    <n v="1392961107"/>
    <n v="1276383257"/>
    <n v="9010227860"/>
    <n v="934825822"/>
    <n v="1771771445"/>
    <n v="653197810"/>
    <n v="0"/>
    <n v="3359795077"/>
  </r>
  <r>
    <n v="3"/>
    <s v="SANTA FE"/>
    <x v="1"/>
    <s v="EJE_DOS"/>
    <x v="8"/>
    <s v="Gestión integral de riesgos."/>
    <n v="128"/>
    <x v="26"/>
    <n v="55"/>
    <s v="Habitantes sensibilizados en gestión local del riesgo"/>
    <x v="9"/>
    <s v="Mitigación del riesgo local"/>
    <n v="1"/>
    <s v="Vincular"/>
    <n v="400"/>
    <s v="personas"/>
    <s v="con programas para la prevención de riesgos"/>
    <s v="1. AMBIENTE"/>
    <s v="Gestión para la prevención y mitigación del riesgo"/>
    <x v="0"/>
    <n v="1"/>
    <n v="1"/>
    <n v="1"/>
    <n v="0.5"/>
    <n v="0.5"/>
    <m/>
    <n v="100"/>
    <n v="100"/>
    <n v="100"/>
    <n v="100"/>
    <n v="400"/>
    <n v="100"/>
    <n v="100"/>
    <n v="0"/>
    <n v="200"/>
    <n v="400"/>
    <n v="100"/>
    <n v="100"/>
    <n v="0"/>
    <x v="0"/>
    <n v="200"/>
    <n v="2905927335"/>
    <n v="1149677110"/>
    <n v="3320000"/>
    <n v="16974000"/>
    <n v="4075898445"/>
    <n v="2813927335"/>
    <n v="1044120000"/>
    <n v="3320000"/>
    <n v="0"/>
    <n v="3861367335"/>
  </r>
  <r>
    <n v="3"/>
    <s v="SANTA FE"/>
    <x v="1"/>
    <s v="EJE_DOS"/>
    <x v="8"/>
    <s v="Gestión integral de riesgos."/>
    <n v="129"/>
    <x v="27"/>
    <n v="56"/>
    <s v="Dotaciones realizadas al CLE"/>
    <x v="9"/>
    <s v="Mitigación del riesgo local"/>
    <n v="2"/>
    <s v="Realizar"/>
    <n v="1"/>
    <s v="dotación"/>
    <s v="al Comité Local de Emergencias - CLE de elementos para la atención del riesgo"/>
    <s v="1. AMBIENTE"/>
    <s v="Gestión para la prevención y mitigación del riesgo"/>
    <x v="0"/>
    <n v="1"/>
    <n v="3.5"/>
    <n v="3.5"/>
    <n v="2.5"/>
    <n v="2.5"/>
    <n v="1"/>
    <m/>
    <n v="0.5"/>
    <n v="0.5"/>
    <m/>
    <n v="1"/>
    <n v="0.5"/>
    <n v="1"/>
    <n v="1"/>
    <n v="1"/>
    <n v="3.5"/>
    <n v="0.5"/>
    <n v="1"/>
    <n v="1"/>
    <x v="0"/>
    <n v="2.5"/>
    <n v="9879488"/>
    <n v="14380725"/>
    <n v="21513000"/>
    <n v="17779931"/>
    <n v="63553144"/>
    <n v="0"/>
    <n v="0"/>
    <n v="17978227"/>
    <n v="0"/>
    <n v="17978227"/>
  </r>
  <r>
    <n v="3"/>
    <s v="SANTA FE"/>
    <x v="1"/>
    <s v="EJE_DOS"/>
    <x v="9"/>
    <s v="Basuras cero."/>
    <n v="130"/>
    <x v="28"/>
    <n v="57"/>
    <s v="Personas vinculadas a campañas de promoción de reciclaje y disposición diferenciada de residuos sólidos"/>
    <x v="10"/>
    <s v="Santa fe basura cero"/>
    <n v="1"/>
    <s v="Vincular"/>
    <n v="400"/>
    <s v="personas"/>
    <s v="mediante procesos de sensibilización y estrategias para el manejo de residuos sólidos"/>
    <s v="7. HABITAT"/>
    <s v="Manejo integral de residuos sólidos"/>
    <x v="0"/>
    <n v="1"/>
    <n v="3.125"/>
    <n v="3.125"/>
    <n v="1"/>
    <n v="1"/>
    <n v="50"/>
    <n v="100"/>
    <n v="100"/>
    <n v="100"/>
    <n v="100"/>
    <n v="400"/>
    <n v="100"/>
    <n v="100"/>
    <n v="150"/>
    <n v="900"/>
    <n v="1250"/>
    <n v="100"/>
    <n v="100"/>
    <n v="200"/>
    <x v="0"/>
    <n v="400"/>
    <n v="128815800"/>
    <n v="147440000"/>
    <n v="70663102"/>
    <n v="120000000"/>
    <n v="466918902"/>
    <m/>
    <n v="0"/>
    <n v="30773828"/>
    <n v="0"/>
    <n v="30773828"/>
  </r>
  <r>
    <n v="3"/>
    <s v="SANTA FE"/>
    <x v="1"/>
    <s v="EJE_DOS"/>
    <x v="10"/>
    <s v="Bogotá Humana ambientalmente saludable."/>
    <n v="131"/>
    <x v="29"/>
    <n v="41"/>
    <s v="Personas vinculadas en acciones para la conservación o recuperación de los espacios del agua y la protección del ambiente"/>
    <x v="11"/>
    <s v="Santa Fe humana ambientalmente saludable"/>
    <n v="1"/>
    <s v="Vincular"/>
    <n v="160"/>
    <s v="personas"/>
    <s v="mediante acciones pedagógicas y de sensibilización a través de jornadas de apropiación del entorno"/>
    <s v="1. AMBIENTE"/>
    <s v="Calidad ambiental y preservación del patrimonio natural"/>
    <x v="0"/>
    <n v="1"/>
    <n v="0.5"/>
    <n v="0.5"/>
    <n v="3.125"/>
    <n v="3.125"/>
    <n v="0"/>
    <n v="40"/>
    <n v="40"/>
    <n v="40"/>
    <n v="40"/>
    <n v="160"/>
    <n v="80"/>
    <n v="0"/>
    <n v="0"/>
    <n v="0"/>
    <n v="80"/>
    <n v="500"/>
    <n v="0"/>
    <n v="0"/>
    <x v="0"/>
    <n v="500"/>
    <n v="183500000"/>
    <n v="0"/>
    <n v="0"/>
    <n v="0"/>
    <n v="183500000"/>
    <m/>
    <n v="0"/>
    <n v="0"/>
    <n v="0"/>
    <n v="0"/>
  </r>
  <r>
    <n v="3"/>
    <s v="SANTA FE"/>
    <x v="2"/>
    <s v="EJE_TRES"/>
    <x v="11"/>
    <s v="Bogotá Humana participa y decide."/>
    <n v="132"/>
    <x v="30"/>
    <n v="61"/>
    <s v="Personas  vinculadas a procesos de presupestos participativos"/>
    <x v="12"/>
    <s v="La participación en el centro de todas y todos"/>
    <n v="1"/>
    <s v="Vincular"/>
    <n v="600"/>
    <s v="personas"/>
    <s v="en los ejercicios de los presupuestos participativos en la localidad de Santa Fe"/>
    <s v="5. GOBIERNO"/>
    <s v="Espacios y procesos de participación ciudadana fortalecidos"/>
    <x v="0"/>
    <n v="1"/>
    <n v="0.25"/>
    <n v="0.25"/>
    <n v="0.25"/>
    <n v="0.25"/>
    <n v="900"/>
    <n v="150"/>
    <n v="150"/>
    <n v="150"/>
    <n v="150"/>
    <n v="600"/>
    <n v="0"/>
    <n v="150"/>
    <n v="0"/>
    <n v="0"/>
    <n v="150"/>
    <n v="0"/>
    <n v="150"/>
    <n v="0"/>
    <x v="0"/>
    <n v="150"/>
    <n v="0"/>
    <n v="21550000"/>
    <n v="0"/>
    <n v="0"/>
    <n v="21550000"/>
    <m/>
    <n v="0"/>
    <n v="0"/>
    <n v="0"/>
    <n v="0"/>
  </r>
  <r>
    <n v="3"/>
    <s v="SANTA FE"/>
    <x v="2"/>
    <s v="EJE_TRES"/>
    <x v="11"/>
    <s v="Bogotá Humana participa y decide."/>
    <n v="133"/>
    <x v="31"/>
    <n v="65"/>
    <s v="Organizaciones sociales fortalecidas para la participación"/>
    <x v="12"/>
    <s v="La participación en el centro de todas y todos"/>
    <n v="2"/>
    <s v="Fortalecer"/>
    <n v="60"/>
    <s v="organizaciones"/>
    <s v="sociales en el desarrollo y fortalecimiento de expresiones sociales"/>
    <s v="5. GOBIERNO"/>
    <s v="Espacios y procesos de participación ciudadana fortalecidos"/>
    <x v="0"/>
    <n v="1"/>
    <n v="1.3333333333333333"/>
    <n v="1.3333333333333333"/>
    <n v="1.3333333333333333"/>
    <n v="1.3333333333333333"/>
    <m/>
    <n v="15"/>
    <n v="15"/>
    <n v="15"/>
    <n v="15"/>
    <n v="60"/>
    <n v="15"/>
    <n v="0"/>
    <n v="65"/>
    <n v="0"/>
    <n v="80"/>
    <n v="15"/>
    <n v="0"/>
    <n v="65"/>
    <x v="0"/>
    <n v="80"/>
    <n v="197393500"/>
    <n v="54219000"/>
    <n v="258185500"/>
    <n v="0"/>
    <n v="509798000"/>
    <n v="612500"/>
    <n v="0"/>
    <n v="13097500"/>
    <n v="0"/>
    <n v="13710000"/>
  </r>
  <r>
    <n v="3"/>
    <s v="SANTA FE"/>
    <x v="2"/>
    <s v="EJE_TRES"/>
    <x v="11"/>
    <s v="Bogotá Humana participa y decide."/>
    <n v="134"/>
    <x v="32"/>
    <n v="63"/>
    <s v="Salones comunales dotados"/>
    <x v="12"/>
    <s v="La participación en el centro de todas y todos"/>
    <n v="3"/>
    <s v="Dotar"/>
    <n v="15"/>
    <s v="salones"/>
    <s v="con elementos, materiales y mobiliario para el desarrollo de la participación en la toma de decisiones"/>
    <s v="5. GOBIERNO"/>
    <s v="Espacios y procesos de participación ciudadana fortalecidos"/>
    <x v="0"/>
    <n v="1"/>
    <n v="1.7333333333333334"/>
    <n v="1.7333333333333334"/>
    <n v="1.3333333333333333"/>
    <n v="1.3333333333333333"/>
    <n v="8"/>
    <n v="4"/>
    <n v="4"/>
    <n v="4"/>
    <n v="3"/>
    <n v="15"/>
    <n v="6"/>
    <n v="6"/>
    <n v="8"/>
    <n v="6"/>
    <n v="26"/>
    <n v="6"/>
    <n v="6"/>
    <n v="8"/>
    <x v="0"/>
    <n v="20"/>
    <n v="276170584"/>
    <n v="241050086"/>
    <n v="146974551"/>
    <n v="53900000"/>
    <n v="718095221"/>
    <m/>
    <n v="30492850"/>
    <n v="49974551"/>
    <n v="0"/>
    <n v="80467401"/>
  </r>
  <r>
    <n v="3"/>
    <s v="SANTA FE"/>
    <x v="2"/>
    <s v="EJE_TRES"/>
    <x v="12"/>
    <s v="Transparencia, probidad, lucha contra la corrupción y control social efectivo e incluyente."/>
    <n v="135"/>
    <x v="33"/>
    <n v="71"/>
    <s v="Personas vinculadas en campañas para promover la participación y el control social"/>
    <x v="13"/>
    <s v="Promoción del control social"/>
    <n v="1"/>
    <s v="Vincular"/>
    <n v="400"/>
    <s v="personas"/>
    <s v="en el fortalecimiento y consolidación del control social de las ciudadanas y ciudadanos"/>
    <s v="5. GOBIERNO"/>
    <s v="Espacios para el control social"/>
    <x v="0"/>
    <n v="1"/>
    <n v="1.55"/>
    <n v="1.55"/>
    <n v="1.55"/>
    <n v="1.55"/>
    <m/>
    <m/>
    <n v="150"/>
    <n v="150"/>
    <n v="100"/>
    <n v="400"/>
    <n v="0"/>
    <n v="0"/>
    <n v="620"/>
    <n v="0"/>
    <n v="620"/>
    <n v="0"/>
    <n v="0"/>
    <n v="620"/>
    <x v="0"/>
    <n v="620"/>
    <n v="0"/>
    <n v="0"/>
    <n v="95957746"/>
    <n v="3287600"/>
    <n v="99245346"/>
    <m/>
    <n v="0"/>
    <n v="0"/>
    <n v="2553839"/>
    <n v="2553839"/>
  </r>
  <r>
    <n v="3"/>
    <s v="SANTA FE"/>
    <x v="2"/>
    <s v="EJE_TRES"/>
    <x v="13"/>
    <s v="Territorios de vida y paz con prevención del delito."/>
    <n v="136"/>
    <x v="34"/>
    <n v="69"/>
    <s v="Personas vinculadas a la promoción de espacios y/o campañas  para mejorar la convivencia y seguridad ciudadana"/>
    <x v="14"/>
    <s v="Santa Fe Humana libre de discriminación y violencias"/>
    <n v="1"/>
    <s v="Vincular"/>
    <n v="800"/>
    <s v="personas"/>
    <s v="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
    <s v="5. GOBIERNO"/>
    <s v="Prevención, atención y gestión del conflicto en la localidad"/>
    <x v="0"/>
    <n v="1"/>
    <n v="1.3"/>
    <n v="1.3"/>
    <n v="0.96250000000000002"/>
    <n v="0.96250000000000002"/>
    <n v="0"/>
    <n v="200"/>
    <n v="200"/>
    <n v="200"/>
    <n v="200"/>
    <n v="800"/>
    <n v="200"/>
    <n v="300"/>
    <n v="270"/>
    <n v="270"/>
    <n v="1040"/>
    <n v="200"/>
    <n v="300"/>
    <n v="270"/>
    <x v="0"/>
    <n v="770"/>
    <n v="130350000"/>
    <n v="202807978"/>
    <n v="71100000"/>
    <n v="67236000"/>
    <n v="471493978"/>
    <m/>
    <n v="0"/>
    <n v="45168800"/>
    <n v="0"/>
    <n v="45168800"/>
  </r>
  <r>
    <n v="3"/>
    <s v="SANTA FE"/>
    <x v="2"/>
    <s v="EJE_TRES"/>
    <x v="13"/>
    <s v="Territorios de vida y paz con prevención del delito."/>
    <n v="137"/>
    <x v="35"/>
    <n v="69"/>
    <s v="Personas vinculadas a la promoción de espacios y/o campañas  para mejorar la convivencia y seguridad ciudadana"/>
    <x v="14"/>
    <s v="Santa Fe Humana libre de discriminación y violencias"/>
    <n v="2"/>
    <s v="Vincular"/>
    <n v="800"/>
    <s v="personas"/>
    <s v="con acciones para motivar el cumplimiento voluntario de normas en la localidad"/>
    <s v="5. GOBIERNO"/>
    <s v="Prevención, atención y gestión del conflicto en la localidad"/>
    <x v="0"/>
    <n v="1"/>
    <n v="0.75"/>
    <n v="0.75"/>
    <n v="0.63124999999999998"/>
    <n v="0.63124999999999998"/>
    <n v="0"/>
    <n v="200"/>
    <n v="200"/>
    <n v="200"/>
    <n v="200"/>
    <n v="800"/>
    <n v="60"/>
    <n v="345"/>
    <n v="60"/>
    <n v="135"/>
    <n v="600"/>
    <n v="60"/>
    <n v="345"/>
    <n v="100"/>
    <x v="0"/>
    <n v="505"/>
    <n v="14650000"/>
    <n v="262420500"/>
    <n v="46549410"/>
    <n v="59439790"/>
    <n v="383059700"/>
    <m/>
    <n v="194415832"/>
    <n v="0"/>
    <n v="0"/>
    <n v="194415832"/>
  </r>
  <r>
    <n v="3"/>
    <s v="SANTA FE"/>
    <x v="2"/>
    <s v="EJE_TRES"/>
    <x v="13"/>
    <s v="Territorios de vida y paz con prevención del delito."/>
    <n v="138"/>
    <x v="36"/>
    <s v="N/A"/>
    <s v="No agrega"/>
    <x v="14"/>
    <s v="Santa Fe Humana libre de discriminación y violencias"/>
    <n v="3"/>
    <s v="Vincular"/>
    <n v="800"/>
    <s v="personas"/>
    <s v="con estrategias para promocionar la defensa del espacio público en la localidad"/>
    <s v="N/A"/>
    <s v="N/A"/>
    <x v="0"/>
    <n v="1"/>
    <n v="1"/>
    <n v="1"/>
    <n v="1.125"/>
    <n v="1.125"/>
    <n v="0"/>
    <n v="200"/>
    <n v="200"/>
    <n v="200"/>
    <n v="200"/>
    <n v="800"/>
    <n v="0"/>
    <n v="300"/>
    <n v="500"/>
    <n v="0"/>
    <n v="800"/>
    <n v="0"/>
    <n v="400"/>
    <n v="500"/>
    <x v="0"/>
    <n v="900"/>
    <n v="0"/>
    <n v="219230000"/>
    <n v="82916665"/>
    <n v="0"/>
    <n v="302146665"/>
    <m/>
    <n v="0"/>
    <n v="82916665"/>
    <n v="0"/>
    <n v="82916665"/>
  </r>
  <r>
    <n v="3"/>
    <s v="SANTA FE"/>
    <x v="2"/>
    <s v="EJE_TRES"/>
    <x v="14"/>
    <s v="Bogotá decide y protege el derecho fundamental a la salud de los intereses del  mercado y la corrupción."/>
    <n v="139"/>
    <x v="37"/>
    <s v="N/A"/>
    <s v="No agrega"/>
    <x v="15"/>
    <s v="Santa Fe fortalece al COPACO"/>
    <n v="1"/>
    <s v="Fortalecer"/>
    <n v="1"/>
    <s v="Comité de participación comunitaria"/>
    <s v="en salud COPACOS"/>
    <s v="N/A"/>
    <s v="N/A"/>
    <x v="1"/>
    <n v="1"/>
    <n v="0.75"/>
    <n v="0.75"/>
    <n v="0.75"/>
    <n v="0.75"/>
    <n v="1"/>
    <n v="1"/>
    <n v="1"/>
    <n v="1"/>
    <n v="1"/>
    <n v="1"/>
    <n v="1"/>
    <n v="1"/>
    <n v="1"/>
    <n v="0"/>
    <n v="0.75"/>
    <n v="1"/>
    <n v="1"/>
    <n v="1"/>
    <x v="0"/>
    <n v="0.75"/>
    <n v="20000000"/>
    <n v="0"/>
    <n v="0"/>
    <n v="0"/>
    <n v="20000000"/>
    <m/>
    <n v="0"/>
    <n v="0"/>
    <n v="0"/>
    <n v="0"/>
  </r>
  <r>
    <n v="3"/>
    <s v="SANTA FE"/>
    <x v="2"/>
    <s v="EJE_TRES"/>
    <x v="15"/>
    <s v="Fortalecimiento de la función administrativa y desarrollo institucional."/>
    <n v="140"/>
    <x v="38"/>
    <n v="76"/>
    <s v="Estrategias realizadas de fortalecimiento institucional"/>
    <x v="16"/>
    <s v="Desarrollo institucional"/>
    <n v="1"/>
    <s v="Realizar"/>
    <n v="1"/>
    <s v="fortalecimiento"/>
    <s v="a la función administrativa y desarrollo institucional anualmente"/>
    <s v="5. GOBIERNO"/>
    <s v="Fortalecimiento institucional"/>
    <x v="1"/>
    <n v="1"/>
    <n v="1"/>
    <n v="1"/>
    <n v="1"/>
    <n v="1"/>
    <n v="1"/>
    <n v="1"/>
    <n v="1"/>
    <n v="1"/>
    <n v="1"/>
    <n v="1"/>
    <n v="1"/>
    <n v="1"/>
    <n v="1"/>
    <n v="1"/>
    <n v="1"/>
    <n v="1"/>
    <n v="1"/>
    <n v="1"/>
    <x v="4"/>
    <n v="1"/>
    <n v="2400858084"/>
    <n v="2184029394"/>
    <n v="2458021727"/>
    <n v="2460554433"/>
    <n v="9503463638"/>
    <n v="1164924988"/>
    <n v="1082374644"/>
    <n v="1526924115"/>
    <n v="1539899990"/>
    <n v="5314123737"/>
  </r>
  <r>
    <n v="3"/>
    <s v="SANTA FE"/>
    <x v="2"/>
    <s v="EJE_TRES"/>
    <x v="15"/>
    <s v="Fortalecimiento de la función administrativa y desarrollo institucional."/>
    <n v="141"/>
    <x v="39"/>
    <n v="75"/>
    <s v="Ediles con pago de honorarios cubierto"/>
    <x v="16"/>
    <s v="Desarrollo institucional"/>
    <n v="2"/>
    <s v="Realizar"/>
    <n v="7"/>
    <s v="pagos"/>
    <s v="a ediles de honorarios correspondiente a sesiones ordinarias, extraordinarias y comisiones permanentes y el fortalecimiento de la función administrativa y desarrollo institucional de la JAL de Santa Fe"/>
    <s v="5. GOBIERNO"/>
    <s v="Fortalecimiento institucional"/>
    <x v="1"/>
    <n v="1"/>
    <n v="1"/>
    <n v="1"/>
    <n v="1"/>
    <n v="1"/>
    <n v="7"/>
    <n v="7"/>
    <n v="7"/>
    <n v="7"/>
    <n v="7"/>
    <n v="7"/>
    <n v="7"/>
    <n v="7"/>
    <n v="7"/>
    <n v="7"/>
    <n v="7"/>
    <n v="7"/>
    <n v="7"/>
    <n v="7"/>
    <x v="6"/>
    <n v="7"/>
    <n v="407157583"/>
    <n v="430995825"/>
    <n v="468575772"/>
    <n v="507327072"/>
    <n v="1814056252"/>
    <n v="403830714"/>
    <n v="430995825"/>
    <n v="468575772"/>
    <n v="465049816"/>
    <n v="1768452127"/>
  </r>
  <r>
    <n v="3"/>
    <s v="SANTA FE"/>
    <x v="2"/>
    <s v="EJE_TRES"/>
    <x v="15"/>
    <s v="Fortalecimiento de la función administrativa y desarrollo institucional."/>
    <n v="142"/>
    <x v="40"/>
    <n v="76"/>
    <s v="Estrategias realizadas de fortalecimiento institucional"/>
    <x v="16"/>
    <s v="Desarrollo institucional"/>
    <n v="3"/>
    <s v="Implementar"/>
    <n v="1"/>
    <s v="sistema integrado de gestión"/>
    <s v="en la administración local"/>
    <s v="5. GOBIERNO"/>
    <s v="Fortalecimiento institucional"/>
    <x v="1"/>
    <n v="1"/>
    <n v="1"/>
    <n v="1"/>
    <n v="1"/>
    <n v="1"/>
    <n v="0"/>
    <n v="1"/>
    <n v="1"/>
    <n v="1"/>
    <n v="1"/>
    <n v="1"/>
    <n v="0"/>
    <n v="0"/>
    <n v="3"/>
    <n v="1"/>
    <n v="1"/>
    <n v="0"/>
    <n v="0"/>
    <n v="3"/>
    <x v="4"/>
    <n v="1"/>
    <n v="0"/>
    <n v="0"/>
    <n v="38083333"/>
    <n v="40514999"/>
    <n v="78598332"/>
    <n v="0"/>
    <n v="0"/>
    <n v="33026667"/>
    <n v="32015000"/>
    <n v="65041667"/>
  </r>
  <r>
    <n v="3"/>
    <s v="SANTA FE"/>
    <x v="2"/>
    <s v="EJE_TRES"/>
    <x v="16"/>
    <s v="Tic para gobierno digital, ciudad inteligente, y sociedad del conocimiento y del emprendimiento."/>
    <n v="143"/>
    <x v="41"/>
    <s v="N/A"/>
    <s v="No agrega"/>
    <x v="17"/>
    <s v="TICS dinamizadoras de conocimiento local"/>
    <n v="1"/>
    <s v="Vincular"/>
    <n v="4000"/>
    <s v="personas"/>
    <s v="a través de procesos de Tecnologías de la información, la comunicación y medios comunicativos"/>
    <s v="N/A"/>
    <s v="N/A"/>
    <x v="0"/>
    <n v="1"/>
    <n v="0.25"/>
    <n v="0.25"/>
    <n v="1"/>
    <n v="1"/>
    <n v="0"/>
    <n v="1000"/>
    <n v="1000"/>
    <n v="1000"/>
    <n v="1000"/>
    <n v="4000"/>
    <n v="1000"/>
    <n v="0"/>
    <n v="0"/>
    <n v="0"/>
    <n v="1000"/>
    <n v="1000"/>
    <n v="0"/>
    <n v="3000"/>
    <x v="0"/>
    <n v="4000"/>
    <n v="200000000"/>
    <n v="0"/>
    <n v="0"/>
    <n v="0"/>
    <n v="200000000"/>
    <m/>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a dinámica8" cacheId="12" dataOnRows="1" applyNumberFormats="0" applyBorderFormats="0" applyFontFormats="0" applyPatternFormats="0" applyAlignmentFormats="0" applyWidthHeightFormats="1" dataCaption="Datos" updatedVersion="5" showItems="0" showMultipleLabel="0" showMemberPropertyTips="0" useAutoFormatting="1" itemPrintTitles="1" indent="0" compact="0" compactData="0" gridDropZones="1">
  <location ref="T6:V17" firstHeaderRow="2" firstDataRow="2" firstDataCol="2"/>
  <pivotFields count="6">
    <pivotField axis="axisRow" compact="0" outline="0" subtotalTop="0" showAll="0" includeNewItemsInFilter="1" defaultSubtotal="0">
      <items count="3">
        <item x="0"/>
        <item x="1"/>
        <item x="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4">
        <item x="2"/>
        <item x="0"/>
        <item x="1"/>
        <item t="default"/>
      </items>
    </pivotField>
  </pivotFields>
  <rowFields count="2">
    <field x="0"/>
    <field x="5"/>
  </rowFields>
  <rowItems count="10">
    <i>
      <x/>
      <x/>
    </i>
    <i r="1">
      <x v="1"/>
    </i>
    <i r="1">
      <x v="2"/>
    </i>
    <i>
      <x v="1"/>
      <x/>
    </i>
    <i r="1">
      <x v="1"/>
    </i>
    <i r="1">
      <x v="2"/>
    </i>
    <i>
      <x v="2"/>
      <x/>
    </i>
    <i r="1">
      <x v="1"/>
    </i>
    <i r="1">
      <x v="2"/>
    </i>
    <i t="grand">
      <x/>
    </i>
  </rowItems>
  <colItems count="1">
    <i/>
  </colItems>
  <dataFields count="1">
    <dataField name="Cuenta de Nivel de Avance (Contratado)" fld="5"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9" cacheId="11" dataOnRows="1" applyNumberFormats="0" applyBorderFormats="0" applyFontFormats="0" applyPatternFormats="0" applyAlignmentFormats="0" applyWidthHeightFormats="1" dataCaption="Datos" updatedVersion="5" showItems="0" showMultipleLabel="0" showMemberPropertyTips="0" useAutoFormatting="1" itemPrintTitles="1" indent="0" compact="0" compactData="0" gridDropZones="1">
  <location ref="S7:U17" firstHeaderRow="2" firstDataRow="2" firstDataCol="2"/>
  <pivotFields count="6">
    <pivotField axis="axisRow" compact="0" outline="0" subtotalTop="0" showAll="0" includeNewItemsInFilter="1" defaultSubtotal="0">
      <items count="3">
        <item x="0"/>
        <item x="1"/>
        <item x="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items count="4">
        <item x="2"/>
        <item x="1"/>
        <item x="0"/>
        <item t="default"/>
      </items>
    </pivotField>
  </pivotFields>
  <rowFields count="2">
    <field x="0"/>
    <field x="5"/>
  </rowFields>
  <rowItems count="9">
    <i>
      <x/>
      <x/>
    </i>
    <i r="1">
      <x v="1"/>
    </i>
    <i r="1">
      <x v="2"/>
    </i>
    <i>
      <x v="1"/>
      <x/>
    </i>
    <i r="1">
      <x v="1"/>
    </i>
    <i r="1">
      <x v="2"/>
    </i>
    <i>
      <x v="2"/>
      <x/>
    </i>
    <i r="1">
      <x v="2"/>
    </i>
    <i t="grand">
      <x/>
    </i>
  </rowItems>
  <colItems count="1">
    <i/>
  </colItems>
  <dataFields count="1">
    <dataField name="Cuenta de Nivel de Avance (Ejecución real)" fld="5" subtotal="count"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7" cacheId="13"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location ref="A3:D46" firstHeaderRow="0" firstDataRow="1" firstDataCol="2"/>
  <pivotFields count="19">
    <pivotField axis="axisRow" compact="0" outline="0" showAll="0" defaultSubtota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s>
    </pivotField>
    <pivotField axis="axisRow" compact="0" outline="0" showAll="0">
      <items count="43">
        <item x="14"/>
        <item x="10"/>
        <item x="0"/>
        <item x="18"/>
        <item x="7"/>
        <item x="32"/>
        <item x="37"/>
        <item x="31"/>
        <item x="40"/>
        <item x="23"/>
        <item x="25"/>
        <item x="27"/>
        <item x="38"/>
        <item x="15"/>
        <item x="39"/>
        <item x="21"/>
        <item x="20"/>
        <item x="19"/>
        <item x="24"/>
        <item x="22"/>
        <item x="30"/>
        <item x="13"/>
        <item x="6"/>
        <item x="3"/>
        <item x="2"/>
        <item x="29"/>
        <item x="1"/>
        <item x="9"/>
        <item x="11"/>
        <item x="8"/>
        <item x="4"/>
        <item x="17"/>
        <item x="41"/>
        <item x="16"/>
        <item x="26"/>
        <item x="33"/>
        <item x="28"/>
        <item x="5"/>
        <item x="12"/>
        <item x="35"/>
        <item x="36"/>
        <item x="3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dataField="1" compact="0" numFmtId="9" outline="0" showAll="0"/>
    <pivotField compact="0" numFmtId="9" outline="0" showAll="0"/>
    <pivotField dataField="1" compact="0" numFmtId="9" outline="0" showAll="0"/>
  </pivotFields>
  <rowFields count="2">
    <field x="0"/>
    <field x="1"/>
  </rowFields>
  <rowItems count="43">
    <i>
      <x/>
      <x v="2"/>
    </i>
    <i>
      <x v="1"/>
      <x v="26"/>
    </i>
    <i>
      <x v="2"/>
      <x v="24"/>
    </i>
    <i>
      <x v="3"/>
      <x v="23"/>
    </i>
    <i>
      <x v="4"/>
      <x v="30"/>
    </i>
    <i>
      <x v="5"/>
      <x v="37"/>
    </i>
    <i>
      <x v="6"/>
      <x v="22"/>
    </i>
    <i>
      <x v="7"/>
      <x v="4"/>
    </i>
    <i>
      <x v="8"/>
      <x v="29"/>
    </i>
    <i>
      <x v="9"/>
      <x v="27"/>
    </i>
    <i>
      <x v="10"/>
      <x v="1"/>
    </i>
    <i>
      <x v="11"/>
      <x v="28"/>
    </i>
    <i>
      <x v="12"/>
      <x v="38"/>
    </i>
    <i>
      <x v="13"/>
      <x v="21"/>
    </i>
    <i>
      <x v="14"/>
      <x/>
    </i>
    <i>
      <x v="15"/>
      <x v="13"/>
    </i>
    <i>
      <x v="16"/>
      <x v="33"/>
    </i>
    <i>
      <x v="17"/>
      <x v="31"/>
    </i>
    <i>
      <x v="18"/>
      <x v="3"/>
    </i>
    <i>
      <x v="19"/>
      <x v="17"/>
    </i>
    <i>
      <x v="20"/>
      <x v="16"/>
    </i>
    <i>
      <x v="21"/>
      <x v="15"/>
    </i>
    <i>
      <x v="22"/>
      <x v="19"/>
    </i>
    <i>
      <x v="23"/>
      <x v="9"/>
    </i>
    <i>
      <x v="24"/>
      <x v="18"/>
    </i>
    <i>
      <x v="25"/>
      <x v="10"/>
    </i>
    <i>
      <x v="26"/>
      <x v="34"/>
    </i>
    <i>
      <x v="27"/>
      <x v="11"/>
    </i>
    <i>
      <x v="28"/>
      <x v="36"/>
    </i>
    <i>
      <x v="29"/>
      <x v="25"/>
    </i>
    <i>
      <x v="30"/>
      <x v="20"/>
    </i>
    <i>
      <x v="31"/>
      <x v="7"/>
    </i>
    <i>
      <x v="32"/>
      <x v="5"/>
    </i>
    <i>
      <x v="33"/>
      <x v="35"/>
    </i>
    <i>
      <x v="34"/>
      <x v="41"/>
    </i>
    <i>
      <x v="35"/>
      <x v="39"/>
    </i>
    <i>
      <x v="36"/>
      <x v="40"/>
    </i>
    <i>
      <x v="37"/>
      <x v="6"/>
    </i>
    <i>
      <x v="38"/>
      <x v="12"/>
    </i>
    <i>
      <x v="39"/>
      <x v="14"/>
    </i>
    <i>
      <x v="40"/>
      <x v="8"/>
    </i>
    <i>
      <x v="41"/>
      <x v="32"/>
    </i>
    <i t="grand">
      <x/>
    </i>
  </rowItems>
  <colFields count="1">
    <field x="-2"/>
  </colFields>
  <colItems count="2">
    <i>
      <x/>
    </i>
    <i i="1">
      <x v="1"/>
    </i>
  </colItems>
  <dataFields count="2">
    <dataField name="Suma de % AVANCE META PLAN CONSOLIDADO (contratado)" fld="16" baseField="0" baseItem="0"/>
    <dataField name="Suma de % AVANCE META PLAN CONSOLIDADO (ejecución real)"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14" applyNumberFormats="0" applyBorderFormats="0" applyFontFormats="0" applyPatternFormats="0" applyAlignmentFormats="0" applyWidthHeightFormats="1" dataCaption="Datos" updatedVersion="5" minRefreshableVersion="3" showMemberPropertyTips="0" useAutoFormatting="1" itemPrintTitles="1" createdVersion="5" indent="0" compact="0" compactData="0" gridDropZones="1">
  <location ref="A3:R36" firstHeaderRow="1" firstDataRow="2" firstDataCol="4"/>
  <pivotFields count="4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31">
        <item x="1"/>
        <item x="0"/>
        <item x="2"/>
        <item x="3"/>
        <item x="6"/>
        <item x="5"/>
        <item x="4"/>
        <item x="8"/>
        <item x="10"/>
        <item x="11"/>
        <item x="9"/>
        <item x="13"/>
        <item x="15"/>
        <item x="16"/>
        <item x="12"/>
        <item x="14"/>
        <item x="18"/>
        <item x="17"/>
        <item x="19"/>
        <item x="20"/>
        <item x="21"/>
        <item x="22"/>
        <item x="23"/>
        <item x="24"/>
        <item x="26"/>
        <item x="25"/>
        <item x="28"/>
        <item x="27"/>
        <item x="30"/>
        <item x="29"/>
        <item x="7"/>
      </items>
    </pivotField>
    <pivotField axis="axisRow" compact="0" outline="0" subtotalTop="0" showAll="0" includeNewItemsInFilter="1">
      <items count="32">
        <item x="22"/>
        <item x="30"/>
        <item x="0"/>
        <item x="16"/>
        <item x="17"/>
        <item x="12"/>
        <item x="29"/>
        <item x="5"/>
        <item x="13"/>
        <item x="21"/>
        <item x="19"/>
        <item x="20"/>
        <item x="7"/>
        <item x="25"/>
        <item x="24"/>
        <item x="3"/>
        <item x="15"/>
        <item x="9"/>
        <item x="1"/>
        <item x="2"/>
        <item x="23"/>
        <item x="11"/>
        <item x="14"/>
        <item x="28"/>
        <item x="8"/>
        <item x="10"/>
        <item x="4"/>
        <item x="18"/>
        <item x="27"/>
        <item x="6"/>
        <item x="2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10">
        <item x="7"/>
        <item x="0"/>
        <item x="4"/>
        <item x="6"/>
        <item x="2"/>
        <item x="5"/>
        <item x="9"/>
        <item x="8"/>
        <item x="1"/>
        <item x="3"/>
      </items>
    </pivotField>
    <pivotField axis="axisRow" compact="0" outline="0" subtotalTop="0" showAll="0" includeNewItemsInFilter="1" defaultSubtotal="0">
      <items count="21">
        <item x="4"/>
        <item x="0"/>
        <item x="13"/>
        <item x="15"/>
        <item x="10"/>
        <item x="18"/>
        <item x="7"/>
        <item x="11"/>
        <item x="12"/>
        <item x="20"/>
        <item x="16"/>
        <item x="9"/>
        <item x="5"/>
        <item x="17"/>
        <item x="6"/>
        <item x="19"/>
        <item x="2"/>
        <item x="8"/>
        <item x="1"/>
        <item x="3"/>
        <item x="14"/>
      </items>
    </pivotField>
    <pivotField compact="0" outline="0" subtotalTop="0" showAll="0" includeNewItemsInFilter="1"/>
    <pivotField compact="0" outline="0" subtotalTop="0" showAll="0" includeNewItemsInFilter="1"/>
    <pivotField compact="0" numFmtId="9" outline="0" subtotalTop="0" showAll="0" includeNewItemsInFilter="1"/>
    <pivotField compact="0" numFmtId="9" outline="0" subtotalTop="0" showAll="0" includeNewItemsInFilter="1"/>
    <pivotField compact="0" numFmtId="9" outline="0" subtotalTop="0" showAll="0" includeNewItemsInFilter="1"/>
    <pivotField compact="0" numFmtId="9" outline="0" subtotalTop="0" showAll="0" includeNewItemsInFilter="1"/>
    <pivotField dataField="1"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ubtotalTop="0" showAll="0" includeNewItemsInFilter="1"/>
  </pivotFields>
  <rowFields count="4">
    <field x="17"/>
    <field x="18"/>
    <field x="8"/>
    <field x="9"/>
  </rowFields>
  <rowItems count="32">
    <i>
      <x/>
      <x v="2"/>
      <x v="16"/>
      <x v="27"/>
    </i>
    <i r="2">
      <x v="17"/>
      <x v="4"/>
    </i>
    <i r="1">
      <x v="10"/>
      <x v="20"/>
      <x v="9"/>
    </i>
    <i r="2">
      <x v="21"/>
      <x/>
    </i>
    <i>
      <x v="1"/>
      <x v="1"/>
      <x v="1"/>
      <x v="2"/>
    </i>
    <i r="1">
      <x v="17"/>
      <x v="9"/>
      <x v="21"/>
    </i>
    <i r="2">
      <x v="10"/>
      <x v="17"/>
    </i>
    <i r="1">
      <x v="18"/>
      <x/>
      <x v="18"/>
    </i>
    <i>
      <x v="2"/>
      <x v="6"/>
      <x v="7"/>
      <x v="24"/>
    </i>
    <i>
      <x v="3"/>
      <x v="4"/>
      <x v="11"/>
      <x v="8"/>
    </i>
    <i r="1">
      <x v="7"/>
      <x v="15"/>
      <x v="22"/>
    </i>
    <i r="1">
      <x v="8"/>
      <x v="12"/>
      <x v="16"/>
    </i>
    <i r="1">
      <x v="11"/>
      <x v="13"/>
      <x v="3"/>
    </i>
    <i r="2">
      <x v="14"/>
      <x v="5"/>
    </i>
    <i>
      <x v="4"/>
      <x/>
      <x v="5"/>
      <x v="7"/>
    </i>
    <i r="1">
      <x v="12"/>
      <x v="4"/>
      <x v="29"/>
    </i>
    <i r="1">
      <x v="19"/>
      <x v="6"/>
      <x v="26"/>
    </i>
    <i>
      <x v="5"/>
      <x v="5"/>
      <x v="27"/>
      <x v="28"/>
    </i>
    <i r="1">
      <x v="6"/>
      <x v="8"/>
      <x v="25"/>
    </i>
    <i r="2">
      <x v="23"/>
      <x v="14"/>
    </i>
    <i r="2">
      <x v="24"/>
      <x v="30"/>
    </i>
    <i r="2">
      <x v="25"/>
      <x v="13"/>
    </i>
    <i r="1">
      <x v="9"/>
      <x v="28"/>
      <x v="1"/>
    </i>
    <i r="2">
      <x v="29"/>
      <x v="6"/>
    </i>
    <i r="1">
      <x v="15"/>
      <x v="26"/>
      <x v="23"/>
    </i>
    <i>
      <x v="6"/>
      <x v="13"/>
      <x v="22"/>
      <x v="20"/>
    </i>
    <i>
      <x v="7"/>
      <x v="3"/>
      <x v="19"/>
      <x v="11"/>
    </i>
    <i r="1">
      <x v="20"/>
      <x v="18"/>
      <x v="10"/>
    </i>
    <i>
      <x v="8"/>
      <x v="16"/>
      <x v="2"/>
      <x v="19"/>
    </i>
    <i r="2">
      <x v="3"/>
      <x v="15"/>
    </i>
    <i>
      <x v="9"/>
      <x v="14"/>
      <x v="30"/>
      <x v="12"/>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uma de Linea Base (PMR)" fld="25" baseField="9" baseItem="27"/>
    <dataField name="Suma de Magnitud" fld="14" baseField="0" baseItem="0"/>
    <dataField name="Suma de 2,013" fld="26" baseField="9" baseItem="23"/>
    <dataField name="Suma de 2,014" fld="27" baseField="9" baseItem="23"/>
    <dataField name="Suma de 2,015" fld="28" baseField="0" baseItem="0"/>
    <dataField name="Suma de 2,016" fld="29" baseField="9" baseItem="23"/>
    <dataField name="Suma de 2,0132" fld="31" baseField="0" baseItem="0"/>
    <dataField name="Suma de 2,0133" fld="36" baseField="0" baseItem="0"/>
    <dataField name="Suma de 2,0142" fld="32" baseField="0" baseItem="0"/>
    <dataField name="Suma de 2,0143" fld="37" baseField="0" baseItem="0"/>
    <dataField name="Suma de 2,0152" fld="33" baseField="0" baseItem="0"/>
    <dataField name="Suma de 2,0153" fld="38" baseField="0" baseItem="0"/>
    <dataField name="Suma de 2,0162" fld="34" baseField="0" baseItem="0"/>
    <dataField name="Suma de 2,0163" fld="39" baseField="9" baseItem="23"/>
  </dataFields>
  <pivotTableStyleInfo showRowHeaders="1" showColHeaders="1" showRowStripes="0" showColStripes="0" showLastColumn="1"/>
</pivotTableDefinition>
</file>

<file path=xl/pivotTables/pivotTable5.xml><?xml version="1.0" encoding="utf-8"?>
<pivotTableDefinition xmlns="http://schemas.openxmlformats.org/spreadsheetml/2006/main" name="Tabla dinámica2" cacheId="15" applyNumberFormats="0" applyBorderFormats="0" applyFontFormats="0" applyPatternFormats="0" applyAlignmentFormats="0" applyWidthHeightFormats="1" dataCaption="Datos" updatedVersion="5" minRefreshableVersion="3" showMemberPropertyTips="0" useAutoFormatting="1" itemPrintTitles="1" createdVersion="5" indent="0" compact="0" compactData="0" gridDropZones="1">
  <location ref="A3:W47" firstHeaderRow="1" firstDataRow="2" firstDataCol="6"/>
  <pivotFields count="51">
    <pivotField compact="0" outline="0" subtotalTop="0" showAll="0" includeNewItemsInFilter="1"/>
    <pivotField compact="0" outline="0" subtotalTop="0" showAll="0" includeNewItemsInFilter="1"/>
    <pivotField axis="axisRow" compact="0" outline="0" subtotalTop="0" showAll="0" includeNewItemsInFilter="1" defaultSubtotal="0">
      <items count="3">
        <item x="0"/>
        <item x="1"/>
        <item x="2"/>
      </items>
    </pivotField>
    <pivotField compact="0" outline="0" subtotalTop="0" showAll="0" includeNewItemsInFilter="1"/>
    <pivotField axis="axisRow" compact="0" outline="0" subtotalTop="0" showAll="0" includeNewItemsInFilter="1" defaultSubtotal="0">
      <items count="17">
        <item x="0"/>
        <item x="1"/>
        <item x="2"/>
        <item x="3"/>
        <item x="4"/>
        <item x="5"/>
        <item x="6"/>
        <item x="7"/>
        <item x="8"/>
        <item x="9"/>
        <item x="10"/>
        <item x="11"/>
        <item x="12"/>
        <item x="13"/>
        <item x="14"/>
        <item x="15"/>
        <item x="16"/>
      </items>
    </pivotField>
    <pivotField compact="0" outline="0" subtotalTop="0" showAll="0" includeNewItemsInFilter="1"/>
    <pivotField compact="0" outline="0" subtotalTop="0" showAll="0" includeNewItemsInFilter="1"/>
    <pivotField axis="axisRow" compact="0" outline="0" subtotalTop="0" showAll="0" includeNewItemsInFilter="1" defaultSubtotal="0">
      <items count="46">
        <item x="14"/>
        <item x="10"/>
        <item x="0"/>
        <item x="18"/>
        <item x="7"/>
        <item x="32"/>
        <item x="37"/>
        <item x="31"/>
        <item x="40"/>
        <item x="23"/>
        <item x="25"/>
        <item x="27"/>
        <item x="38"/>
        <item m="1" x="42"/>
        <item x="39"/>
        <item x="21"/>
        <item x="20"/>
        <item x="19"/>
        <item x="24"/>
        <item x="22"/>
        <item x="30"/>
        <item x="13"/>
        <item m="1" x="43"/>
        <item x="3"/>
        <item x="2"/>
        <item x="29"/>
        <item x="1"/>
        <item x="9"/>
        <item x="11"/>
        <item x="8"/>
        <item x="4"/>
        <item x="17"/>
        <item x="41"/>
        <item x="16"/>
        <item x="26"/>
        <item x="33"/>
        <item x="28"/>
        <item x="5"/>
        <item m="1" x="44"/>
        <item x="35"/>
        <item x="36"/>
        <item m="1" x="45"/>
        <item x="6"/>
        <item x="12"/>
        <item x="15"/>
        <item x="34"/>
      </items>
    </pivotField>
    <pivotField compact="0" outline="0" subtotalTop="0" showAll="0" includeNewItemsInFilter="1"/>
    <pivotField compact="0" outline="0" subtotalTop="0" showAll="0" includeNewItemsInFilter="1"/>
    <pivotField axis="axisRow" compact="0" outline="0" subtotalTop="0" showAll="0" includeNewItemsInFilter="1" defaultSubtotal="0">
      <items count="18">
        <item x="0"/>
        <item x="1"/>
        <item x="2"/>
        <item x="4"/>
        <item x="5"/>
        <item x="6"/>
        <item x="3"/>
        <item x="7"/>
        <item x="14"/>
        <item x="8"/>
        <item x="9"/>
        <item x="16"/>
        <item x="10"/>
        <item x="17"/>
        <item x="11"/>
        <item x="15"/>
        <item x="12"/>
        <item x="13"/>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2">
        <item x="1"/>
        <item x="0"/>
      </items>
    </pivotField>
    <pivotField compact="0" outline="0" subtotalTop="0" showAll="0" includeNewItemsInFilter="1"/>
    <pivotField compact="0" numFmtId="9" outline="0" subtotalTop="0" showAll="0" includeNewItemsInFilter="1"/>
    <pivotField dataField="1" compact="0" numFmtId="9" outline="0" subtotalTop="0" showAll="0" includeNewItemsInFilter="1"/>
    <pivotField compact="0" numFmtId="9" outline="0" subtotalTop="0" showAll="0" includeNewItemsInFilter="1"/>
    <pivotField dataField="1" compact="0" numFmtId="9"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ubtotalTop="0" showAll="0" includeNewItemsInFilter="1"/>
    <pivotField dataField="1" compact="0" outline="0" showAll="0" defaultSubtotal="0"/>
    <pivotField dataField="1" compact="0" outline="0" showAll="0" defaultSubtotal="0"/>
    <pivotField dataField="1" compact="0" outline="0" showAll="0" defaultSubtotal="0"/>
    <pivotField axis="axisRow" compact="0" outline="0" showAll="0" defaultSubtotal="0">
      <items count="7">
        <item x="0"/>
        <item x="4"/>
        <item x="6"/>
        <item x="5"/>
        <item x="2"/>
        <item x="3"/>
        <item x="1"/>
      </items>
    </pivotField>
    <pivotField dataField="1" compact="0" outline="0" subtotalTop="0" showAll="0" includeNewItemsInFilter="1"/>
    <pivotField dataField="1" compact="0" numFmtId="171" outline="0" showAll="0" defaultSubtotal="0"/>
    <pivotField dataField="1" compact="0" numFmtId="171" outline="0" showAll="0" defaultSubtotal="0"/>
    <pivotField dataField="1" compact="0" numFmtId="171" outline="0" showAll="0" defaultSubtotal="0"/>
    <pivotField dataField="1" compact="0" numFmtId="171" outline="0" showAll="0" defaultSubtotal="0"/>
    <pivotField dataField="1" compact="0" numFmtId="171" outline="0" subtotalTop="0" showAll="0" includeNewItemsInFilter="1" defaultSubtotal="0"/>
    <pivotField compact="0" outline="0" showAll="0" defaultSubtotal="0"/>
    <pivotField compact="0" numFmtId="171" outline="0" showAll="0" defaultSubtotal="0"/>
    <pivotField compact="0" numFmtId="171" outline="0" showAll="0" defaultSubtotal="0"/>
    <pivotField dataField="1" compact="0" numFmtId="171" outline="0" showAll="0" defaultSubtotal="0"/>
    <pivotField compact="0" numFmtId="171" outline="0" subtotalTop="0" showAll="0" includeNewItemsInFilter="1" defaultSubtotal="0"/>
  </pivotFields>
  <rowFields count="6">
    <field x="2"/>
    <field x="4"/>
    <field x="7"/>
    <field x="10"/>
    <field x="19"/>
    <field x="39"/>
  </rowFields>
  <rowItems count="43">
    <i>
      <x/>
      <x/>
      <x v="2"/>
      <x/>
      <x v="1"/>
      <x/>
    </i>
    <i r="2">
      <x v="26"/>
      <x/>
      <x v="1"/>
      <x/>
    </i>
    <i r="1">
      <x v="1"/>
      <x v="23"/>
      <x v="1"/>
      <x v="1"/>
      <x v="6"/>
    </i>
    <i r="2">
      <x v="24"/>
      <x v="1"/>
      <x v="1"/>
      <x v="6"/>
    </i>
    <i r="2">
      <x v="30"/>
      <x v="1"/>
      <x v="1"/>
      <x v="6"/>
    </i>
    <i r="1">
      <x v="2"/>
      <x v="4"/>
      <x v="2"/>
      <x v="1"/>
      <x/>
    </i>
    <i r="2">
      <x v="29"/>
      <x v="2"/>
      <x v="1"/>
      <x v="4"/>
    </i>
    <i r="2">
      <x v="37"/>
      <x v="2"/>
      <x v="1"/>
      <x/>
    </i>
    <i r="2">
      <x v="42"/>
      <x v="2"/>
      <x v="1"/>
      <x/>
    </i>
    <i r="1">
      <x v="3"/>
      <x v="27"/>
      <x v="6"/>
      <x v="1"/>
      <x/>
    </i>
    <i r="1">
      <x v="4"/>
      <x v="1"/>
      <x v="3"/>
      <x/>
      <x v="5"/>
    </i>
    <i r="2">
      <x v="21"/>
      <x v="3"/>
      <x v="1"/>
      <x/>
    </i>
    <i r="2">
      <x v="28"/>
      <x v="3"/>
      <x v="1"/>
      <x/>
    </i>
    <i r="2">
      <x v="43"/>
      <x v="3"/>
      <x v="1"/>
      <x/>
    </i>
    <i r="1">
      <x v="5"/>
      <x/>
      <x v="4"/>
      <x v="1"/>
      <x/>
    </i>
    <i r="2">
      <x v="3"/>
      <x v="4"/>
      <x v="1"/>
      <x/>
    </i>
    <i r="2">
      <x v="31"/>
      <x v="4"/>
      <x/>
      <x/>
    </i>
    <i r="2">
      <x v="33"/>
      <x v="5"/>
      <x v="1"/>
      <x/>
    </i>
    <i r="2">
      <x v="44"/>
      <x v="4"/>
      <x/>
      <x v="1"/>
    </i>
    <i>
      <x v="1"/>
      <x v="6"/>
      <x v="15"/>
      <x v="7"/>
      <x v="1"/>
      <x/>
    </i>
    <i r="2">
      <x v="16"/>
      <x v="7"/>
      <x v="1"/>
      <x/>
    </i>
    <i r="2">
      <x v="17"/>
      <x v="7"/>
      <x v="1"/>
      <x v="3"/>
    </i>
    <i r="2">
      <x v="19"/>
      <x v="7"/>
      <x v="1"/>
      <x/>
    </i>
    <i r="1">
      <x v="7"/>
      <x v="9"/>
      <x v="9"/>
      <x v="1"/>
      <x/>
    </i>
    <i r="2">
      <x v="10"/>
      <x v="9"/>
      <x v="1"/>
      <x/>
    </i>
    <i r="2">
      <x v="18"/>
      <x v="9"/>
      <x v="1"/>
      <x/>
    </i>
    <i r="1">
      <x v="8"/>
      <x v="11"/>
      <x v="10"/>
      <x v="1"/>
      <x/>
    </i>
    <i r="2">
      <x v="34"/>
      <x v="10"/>
      <x v="1"/>
      <x/>
    </i>
    <i r="1">
      <x v="9"/>
      <x v="36"/>
      <x v="12"/>
      <x v="1"/>
      <x/>
    </i>
    <i r="1">
      <x v="10"/>
      <x v="25"/>
      <x v="14"/>
      <x v="1"/>
      <x/>
    </i>
    <i>
      <x v="2"/>
      <x v="11"/>
      <x v="5"/>
      <x v="16"/>
      <x v="1"/>
      <x/>
    </i>
    <i r="2">
      <x v="7"/>
      <x v="16"/>
      <x v="1"/>
      <x/>
    </i>
    <i r="2">
      <x v="20"/>
      <x v="16"/>
      <x v="1"/>
      <x/>
    </i>
    <i r="1">
      <x v="12"/>
      <x v="35"/>
      <x v="17"/>
      <x v="1"/>
      <x/>
    </i>
    <i r="1">
      <x v="13"/>
      <x v="39"/>
      <x v="8"/>
      <x v="1"/>
      <x/>
    </i>
    <i r="2">
      <x v="40"/>
      <x v="8"/>
      <x v="1"/>
      <x/>
    </i>
    <i r="2">
      <x v="45"/>
      <x v="8"/>
      <x v="1"/>
      <x/>
    </i>
    <i r="1">
      <x v="14"/>
      <x v="6"/>
      <x v="15"/>
      <x/>
      <x/>
    </i>
    <i r="1">
      <x v="15"/>
      <x v="8"/>
      <x v="11"/>
      <x/>
      <x v="1"/>
    </i>
    <i r="2">
      <x v="12"/>
      <x v="11"/>
      <x/>
      <x v="1"/>
    </i>
    <i r="2">
      <x v="14"/>
      <x v="11"/>
      <x/>
      <x v="2"/>
    </i>
    <i r="1">
      <x v="16"/>
      <x v="32"/>
      <x v="13"/>
      <x v="1"/>
      <x/>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dataFields count="17">
    <dataField name="Suma de 2,0132" fld="31" baseField="0" baseItem="0"/>
    <dataField name="Suma de 2,0142" fld="32" baseField="0" baseItem="0"/>
    <dataField name="Suma de 2,0152" fld="33" baseField="0" baseItem="0"/>
    <dataField name="Suma de 2,0162" fld="34" baseField="0" baseItem="0"/>
    <dataField name="Suma de Ejecucion fisica ACUMULADA" fld="35" baseField="0" baseItem="0"/>
    <dataField name="Suma de % AVANCE META PLAN CONSOLIDADO (contratado)" fld="22" baseField="0" baseItem="0"/>
    <dataField name="Suma de 2,0133" fld="36" baseField="0" baseItem="0"/>
    <dataField name="Suma de 2,0143" fld="37" baseField="0" baseItem="0"/>
    <dataField name="Suma de 2,0153" fld="38" baseField="0" baseItem="0"/>
    <dataField name="Suma de Ejecucion fisica real ACUMULADA" fld="40" baseField="0" baseItem="0"/>
    <dataField name="Suma de % AVANCE META PLAN CONSOLIDADO (ejecución real)" fld="24" baseField="0" baseItem="0"/>
    <dataField name="Suma de 2,0134" fld="41" baseField="0" baseItem="0"/>
    <dataField name="Suma de 2,0144" fld="42" baseField="0" baseItem="0"/>
    <dataField name="Suma de 2,0154" fld="43" baseField="0" baseItem="0"/>
    <dataField name="Suma de 2,0164" fld="44" baseField="0" baseItem="0"/>
    <dataField name="Suma de Total2" fld="45" baseField="0" baseItem="0"/>
    <dataField name="Suma de 2,0165" fld="49"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E83"/>
  <sheetViews>
    <sheetView zoomScale="130" zoomScaleNormal="130" zoomScaleSheetLayoutView="30" zoomScalePageLayoutView="70" workbookViewId="0">
      <selection activeCell="N31" sqref="N31"/>
    </sheetView>
  </sheetViews>
  <sheetFormatPr baseColWidth="10" defaultColWidth="7.140625" defaultRowHeight="13.5" x14ac:dyDescent="0.25"/>
  <cols>
    <col min="1" max="1" width="7.140625" style="1" customWidth="1"/>
    <col min="2" max="2" width="14.5703125" style="2" customWidth="1"/>
    <col min="3" max="3" width="7.140625" style="1" customWidth="1"/>
    <col min="4" max="4" width="14.5703125" style="3" customWidth="1"/>
    <col min="5" max="5" width="7.140625" style="1" customWidth="1"/>
    <col min="6" max="6" width="20.28515625" style="3" customWidth="1"/>
    <col min="7" max="7" width="7.140625" style="4" customWidth="1"/>
    <col min="8" max="8" width="19.85546875" style="3" customWidth="1"/>
    <col min="9" max="9" width="7.140625" style="5" customWidth="1"/>
    <col min="10" max="10" width="19.85546875" style="3" customWidth="1"/>
    <col min="11" max="11" width="11.7109375" style="5" customWidth="1"/>
    <col min="12" max="12" width="22" style="3" customWidth="1"/>
    <col min="13" max="13" width="7.140625" style="5"/>
    <col min="14" max="14" width="11" style="3" customWidth="1"/>
    <col min="15" max="15" width="11" style="5" customWidth="1"/>
    <col min="16" max="16" width="19.85546875" style="3" customWidth="1"/>
    <col min="17" max="17" width="27.42578125" style="3" customWidth="1"/>
    <col min="18" max="18" width="17.42578125" style="5" customWidth="1"/>
    <col min="19" max="19" width="24.140625" style="3" customWidth="1"/>
    <col min="20" max="25" width="11.5703125" style="5" customWidth="1"/>
    <col min="26" max="26" width="12" style="5" customWidth="1"/>
    <col min="27" max="41" width="12" style="6" customWidth="1"/>
    <col min="42" max="54" width="16.42578125" style="6" customWidth="1"/>
    <col min="55" max="55" width="21.140625" style="6" customWidth="1"/>
    <col min="56" max="60" width="7.140625" style="7"/>
    <col min="61" max="61" width="11.85546875" style="7" customWidth="1"/>
    <col min="62" max="187" width="7.140625" style="7"/>
    <col min="188" max="16384" width="7.140625" style="8"/>
  </cols>
  <sheetData>
    <row r="1" spans="1:55" s="11" customFormat="1" ht="26.25" customHeight="1" x14ac:dyDescent="0.25">
      <c r="A1" s="555" t="s">
        <v>0</v>
      </c>
      <c r="B1" s="555"/>
      <c r="C1" s="555"/>
      <c r="D1" s="555"/>
      <c r="E1" s="555"/>
      <c r="F1" s="555"/>
      <c r="G1" s="555"/>
      <c r="H1" s="555"/>
      <c r="I1" s="555"/>
      <c r="J1" s="555"/>
      <c r="K1" s="555"/>
      <c r="L1" s="555"/>
      <c r="M1" s="555"/>
      <c r="N1" s="555"/>
      <c r="O1" s="555"/>
      <c r="P1" s="555"/>
      <c r="Q1" s="555"/>
      <c r="R1" s="555"/>
      <c r="S1" s="555"/>
      <c r="T1" s="556" t="s">
        <v>1</v>
      </c>
      <c r="U1" s="556"/>
      <c r="V1" s="556"/>
      <c r="W1" s="556"/>
      <c r="X1" s="556"/>
      <c r="Y1" s="556"/>
      <c r="Z1" s="556"/>
      <c r="AA1" s="553" t="s">
        <v>2</v>
      </c>
      <c r="AB1" s="553"/>
      <c r="AC1" s="553"/>
      <c r="AD1" s="553"/>
      <c r="AE1" s="553"/>
      <c r="AF1" s="553" t="s">
        <v>3</v>
      </c>
      <c r="AG1" s="553"/>
      <c r="AH1" s="553"/>
      <c r="AI1" s="553"/>
      <c r="AJ1" s="553"/>
      <c r="AK1" s="553" t="s">
        <v>4</v>
      </c>
      <c r="AL1" s="553"/>
      <c r="AM1" s="553"/>
      <c r="AN1" s="553"/>
      <c r="AO1" s="553"/>
      <c r="AP1" s="553" t="s">
        <v>5</v>
      </c>
      <c r="AQ1" s="553"/>
      <c r="AR1" s="553"/>
      <c r="AS1" s="553"/>
      <c r="AT1" s="553"/>
      <c r="AU1" s="553" t="s">
        <v>6</v>
      </c>
      <c r="AV1" s="553"/>
      <c r="AW1" s="553"/>
      <c r="AX1" s="553"/>
      <c r="AY1" s="553"/>
      <c r="AZ1" s="554" t="s">
        <v>7</v>
      </c>
      <c r="BA1" s="554"/>
      <c r="BB1" s="10"/>
      <c r="BC1" s="9"/>
    </row>
    <row r="2" spans="1:55" s="18" customFormat="1" ht="60" customHeight="1" x14ac:dyDescent="0.25">
      <c r="A2" s="12" t="s">
        <v>8</v>
      </c>
      <c r="B2" s="12" t="s">
        <v>9</v>
      </c>
      <c r="C2" s="12" t="s">
        <v>10</v>
      </c>
      <c r="D2" s="12" t="s">
        <v>11</v>
      </c>
      <c r="E2" s="12" t="s">
        <v>12</v>
      </c>
      <c r="F2" s="12" t="s">
        <v>13</v>
      </c>
      <c r="G2" s="12" t="s">
        <v>14</v>
      </c>
      <c r="H2" s="13" t="s">
        <v>15</v>
      </c>
      <c r="I2" s="12" t="s">
        <v>16</v>
      </c>
      <c r="J2" s="13" t="s">
        <v>17</v>
      </c>
      <c r="K2" s="12" t="s">
        <v>18</v>
      </c>
      <c r="L2" s="12" t="s">
        <v>19</v>
      </c>
      <c r="M2" s="12" t="s">
        <v>20</v>
      </c>
      <c r="N2" s="12" t="s">
        <v>21</v>
      </c>
      <c r="O2" s="14" t="s">
        <v>22</v>
      </c>
      <c r="P2" s="12" t="s">
        <v>23</v>
      </c>
      <c r="Q2" s="12" t="s">
        <v>24</v>
      </c>
      <c r="R2" s="12" t="s">
        <v>25</v>
      </c>
      <c r="S2" s="15" t="s">
        <v>26</v>
      </c>
      <c r="T2" s="12" t="s">
        <v>27</v>
      </c>
      <c r="U2" s="12" t="s">
        <v>28</v>
      </c>
      <c r="V2" s="12" t="s">
        <v>29</v>
      </c>
      <c r="W2" s="15" t="s">
        <v>30</v>
      </c>
      <c r="X2" s="12" t="s">
        <v>31</v>
      </c>
      <c r="Y2" s="15" t="s">
        <v>32</v>
      </c>
      <c r="Z2" s="13" t="s">
        <v>33</v>
      </c>
      <c r="AA2" s="15">
        <v>2013</v>
      </c>
      <c r="AB2" s="14">
        <v>2014</v>
      </c>
      <c r="AC2" s="14">
        <v>2015</v>
      </c>
      <c r="AD2" s="14">
        <v>2016</v>
      </c>
      <c r="AE2" s="14" t="s">
        <v>34</v>
      </c>
      <c r="AF2" s="14">
        <v>2013</v>
      </c>
      <c r="AG2" s="15">
        <v>2014</v>
      </c>
      <c r="AH2" s="14">
        <v>2015</v>
      </c>
      <c r="AI2" s="14">
        <v>2016</v>
      </c>
      <c r="AJ2" s="15" t="s">
        <v>35</v>
      </c>
      <c r="AK2" s="15">
        <v>2013</v>
      </c>
      <c r="AL2" s="15">
        <v>2014</v>
      </c>
      <c r="AM2" s="15">
        <v>2015</v>
      </c>
      <c r="AN2" s="14">
        <v>2016</v>
      </c>
      <c r="AO2" s="15" t="s">
        <v>36</v>
      </c>
      <c r="AP2" s="14">
        <v>2013</v>
      </c>
      <c r="AQ2" s="16">
        <v>2014</v>
      </c>
      <c r="AR2" s="14">
        <v>2015</v>
      </c>
      <c r="AS2" s="14">
        <v>2016</v>
      </c>
      <c r="AT2" s="16" t="s">
        <v>34</v>
      </c>
      <c r="AU2" s="14">
        <v>2013</v>
      </c>
      <c r="AV2" s="16">
        <v>2014</v>
      </c>
      <c r="AW2" s="14">
        <v>2015</v>
      </c>
      <c r="AX2" s="14">
        <v>2016</v>
      </c>
      <c r="AY2" s="16" t="s">
        <v>34</v>
      </c>
      <c r="AZ2" s="17" t="s">
        <v>1703</v>
      </c>
      <c r="BA2" s="17" t="s">
        <v>1704</v>
      </c>
      <c r="BB2" s="17" t="s">
        <v>37</v>
      </c>
      <c r="BC2" s="16" t="s">
        <v>38</v>
      </c>
    </row>
    <row r="3" spans="1:55" s="25" customFormat="1" ht="15" customHeight="1" x14ac:dyDescent="0.25">
      <c r="A3" s="19">
        <v>3</v>
      </c>
      <c r="B3" s="20" t="s">
        <v>39</v>
      </c>
      <c r="C3" s="19">
        <v>1</v>
      </c>
      <c r="D3" s="20" t="s">
        <v>40</v>
      </c>
      <c r="E3" s="19">
        <v>1</v>
      </c>
      <c r="F3" s="20" t="s">
        <v>41</v>
      </c>
      <c r="G3" s="19">
        <v>102</v>
      </c>
      <c r="H3" s="20" t="s">
        <v>42</v>
      </c>
      <c r="I3" s="19">
        <v>2</v>
      </c>
      <c r="J3" s="20" t="s">
        <v>43</v>
      </c>
      <c r="K3" s="19">
        <v>1147</v>
      </c>
      <c r="L3" s="20" t="s">
        <v>44</v>
      </c>
      <c r="M3" s="19">
        <v>2</v>
      </c>
      <c r="N3" s="20" t="s">
        <v>45</v>
      </c>
      <c r="O3" s="19">
        <v>30</v>
      </c>
      <c r="P3" s="20" t="s">
        <v>46</v>
      </c>
      <c r="Q3" s="20" t="s">
        <v>47</v>
      </c>
      <c r="R3" s="21" t="s">
        <v>48</v>
      </c>
      <c r="S3" s="21" t="s">
        <v>49</v>
      </c>
      <c r="T3" s="19" t="s">
        <v>50</v>
      </c>
      <c r="U3" s="22">
        <v>1</v>
      </c>
      <c r="V3" s="22">
        <f t="shared" ref="V3:V44" si="0">AJ3/O3</f>
        <v>0.9</v>
      </c>
      <c r="W3" s="22">
        <f t="shared" ref="W3:W44" si="1">U3*V3</f>
        <v>0.9</v>
      </c>
      <c r="X3" s="22">
        <f t="shared" ref="X3:X44" si="2">AO3/O3</f>
        <v>1.0333333333333334</v>
      </c>
      <c r="Y3" s="22">
        <f t="shared" ref="Y3:Y44" si="3">X3*U3</f>
        <v>1.0333333333333334</v>
      </c>
      <c r="Z3" s="23">
        <v>50</v>
      </c>
      <c r="AA3" s="23">
        <v>8</v>
      </c>
      <c r="AB3" s="23">
        <v>7</v>
      </c>
      <c r="AC3" s="23">
        <v>8</v>
      </c>
      <c r="AD3" s="23">
        <v>7</v>
      </c>
      <c r="AE3" s="23">
        <f t="shared" ref="AE3:AE44" si="4">IF(T3="Constante",AVERAGE(AA3,AB3,AC3,AD3),IF(T3="Suma",SUM(AA3,AB3,AC3,AD3),0))</f>
        <v>30</v>
      </c>
      <c r="AF3" s="23">
        <v>8</v>
      </c>
      <c r="AG3" s="23">
        <v>7</v>
      </c>
      <c r="AH3" s="39">
        <v>12</v>
      </c>
      <c r="AI3" s="39">
        <v>0</v>
      </c>
      <c r="AJ3" s="39">
        <f t="shared" ref="AJ3:AJ44" si="5">IF(T3="Constante",AVERAGE(AF3,AG3,AH3,AI3),IF(T3="Suma",SUM(AF3,AG3,AH3,AI3),0))</f>
        <v>27</v>
      </c>
      <c r="AK3" s="39">
        <v>8</v>
      </c>
      <c r="AL3" s="338">
        <v>11</v>
      </c>
      <c r="AM3" s="39">
        <v>12</v>
      </c>
      <c r="AN3" s="23">
        <v>0</v>
      </c>
      <c r="AO3" s="23">
        <f t="shared" ref="AO3:AO44" si="6">IF(T3="Constante",AVERAGE(AK3,AL3,AM3,AN3),IF(T3="Suma",SUM(AK3,AL3,AM3,AN3),0))</f>
        <v>31</v>
      </c>
      <c r="AP3" s="24">
        <v>188551992</v>
      </c>
      <c r="AQ3" s="24">
        <v>176319333</v>
      </c>
      <c r="AR3" s="24">
        <v>50000000</v>
      </c>
      <c r="AS3" s="24">
        <f>AZ3</f>
        <v>0</v>
      </c>
      <c r="AT3" s="24">
        <f t="shared" ref="AT3:AT44" si="7">SUM(AP3:AS3)</f>
        <v>414871325</v>
      </c>
      <c r="AU3" s="24">
        <v>0</v>
      </c>
      <c r="AV3" s="24">
        <v>0</v>
      </c>
      <c r="AW3" s="24">
        <v>0</v>
      </c>
      <c r="AX3" s="24">
        <f>BA3</f>
        <v>0</v>
      </c>
      <c r="AY3" s="24">
        <f t="shared" ref="AY3:AY44" si="8">SUM(AU3:AX3)</f>
        <v>0</v>
      </c>
      <c r="AZ3" s="24">
        <f>SUMIF(contratacion2016!A2:A147,MUSI!G3,contratacion2016!AD2:AD147)</f>
        <v>0</v>
      </c>
      <c r="BA3" s="24">
        <f>SUMIF(contratacion2016!A2:A147,MUSI!G3,contratacion2016!AQ2:AQ147)</f>
        <v>0</v>
      </c>
      <c r="BB3" s="24"/>
      <c r="BC3" s="21"/>
    </row>
    <row r="4" spans="1:55" s="25" customFormat="1" x14ac:dyDescent="0.25">
      <c r="A4" s="19">
        <v>3</v>
      </c>
      <c r="B4" s="20" t="s">
        <v>39</v>
      </c>
      <c r="C4" s="19">
        <v>1</v>
      </c>
      <c r="D4" s="20" t="s">
        <v>40</v>
      </c>
      <c r="E4" s="19">
        <v>1</v>
      </c>
      <c r="F4" s="20" t="s">
        <v>41</v>
      </c>
      <c r="G4" s="19">
        <v>103</v>
      </c>
      <c r="H4" s="20" t="s">
        <v>51</v>
      </c>
      <c r="I4" s="19">
        <v>1</v>
      </c>
      <c r="J4" s="20" t="s">
        <v>52</v>
      </c>
      <c r="K4" s="19">
        <v>1147</v>
      </c>
      <c r="L4" s="20" t="s">
        <v>44</v>
      </c>
      <c r="M4" s="19">
        <v>1</v>
      </c>
      <c r="N4" s="20" t="s">
        <v>53</v>
      </c>
      <c r="O4" s="19">
        <v>2000</v>
      </c>
      <c r="P4" s="20" t="s">
        <v>54</v>
      </c>
      <c r="Q4" s="20" t="s">
        <v>55</v>
      </c>
      <c r="R4" s="21" t="s">
        <v>48</v>
      </c>
      <c r="S4" s="20" t="s">
        <v>56</v>
      </c>
      <c r="T4" s="19" t="s">
        <v>50</v>
      </c>
      <c r="U4" s="22">
        <v>1</v>
      </c>
      <c r="V4" s="22">
        <f t="shared" si="0"/>
        <v>0.92300000000000004</v>
      </c>
      <c r="W4" s="22">
        <f t="shared" si="1"/>
        <v>0.92300000000000004</v>
      </c>
      <c r="X4" s="22">
        <f t="shared" si="2"/>
        <v>0.92300000000000004</v>
      </c>
      <c r="Y4" s="22">
        <f t="shared" si="3"/>
        <v>0.92300000000000004</v>
      </c>
      <c r="Z4" s="26">
        <v>500</v>
      </c>
      <c r="AA4" s="26">
        <v>500</v>
      </c>
      <c r="AB4" s="26">
        <v>500</v>
      </c>
      <c r="AC4" s="26">
        <v>500</v>
      </c>
      <c r="AD4" s="26">
        <v>500</v>
      </c>
      <c r="AE4" s="26">
        <f t="shared" si="4"/>
        <v>2000</v>
      </c>
      <c r="AF4" s="19">
        <v>1395</v>
      </c>
      <c r="AG4" s="19">
        <v>451</v>
      </c>
      <c r="AH4" s="26">
        <v>0</v>
      </c>
      <c r="AI4" s="26">
        <v>0</v>
      </c>
      <c r="AJ4" s="26">
        <f t="shared" si="5"/>
        <v>1846</v>
      </c>
      <c r="AK4" s="26">
        <v>1395</v>
      </c>
      <c r="AL4" s="338">
        <v>451</v>
      </c>
      <c r="AM4" s="26">
        <v>0</v>
      </c>
      <c r="AN4" s="19">
        <v>0</v>
      </c>
      <c r="AO4" s="19">
        <f t="shared" si="6"/>
        <v>1846</v>
      </c>
      <c r="AP4" s="24">
        <v>247000000</v>
      </c>
      <c r="AQ4" s="24">
        <v>305521001</v>
      </c>
      <c r="AR4" s="468">
        <v>0</v>
      </c>
      <c r="AS4" s="24">
        <f t="shared" ref="AS4:AS44" si="9">AZ4</f>
        <v>0</v>
      </c>
      <c r="AT4" s="24">
        <f t="shared" si="7"/>
        <v>552521001</v>
      </c>
      <c r="AU4" s="24"/>
      <c r="AV4" s="24">
        <v>0</v>
      </c>
      <c r="AW4" s="24">
        <v>0</v>
      </c>
      <c r="AX4" s="24">
        <f t="shared" ref="AX4:AX44" si="10">BA4</f>
        <v>0</v>
      </c>
      <c r="AY4" s="24">
        <f t="shared" si="8"/>
        <v>0</v>
      </c>
      <c r="AZ4" s="24">
        <f>SUMIF(contratacion2016!A3:A148,MUSI!G4,contratacion2016!AD3:AD148)</f>
        <v>0</v>
      </c>
      <c r="BA4" s="24">
        <f>SUMIF(contratacion2016!A3:A148,MUSI!G4,contratacion2016!AQ3:AQ148)</f>
        <v>0</v>
      </c>
      <c r="BB4" s="24"/>
      <c r="BC4" s="20"/>
    </row>
    <row r="5" spans="1:55" s="25" customFormat="1" x14ac:dyDescent="0.25">
      <c r="A5" s="19">
        <v>3</v>
      </c>
      <c r="B5" s="20" t="s">
        <v>39</v>
      </c>
      <c r="C5" s="26">
        <v>1</v>
      </c>
      <c r="D5" s="27" t="s">
        <v>40</v>
      </c>
      <c r="E5" s="26">
        <v>2</v>
      </c>
      <c r="F5" s="27" t="s">
        <v>57</v>
      </c>
      <c r="G5" s="26">
        <v>104</v>
      </c>
      <c r="H5" s="27" t="s">
        <v>58</v>
      </c>
      <c r="I5" s="26">
        <v>4</v>
      </c>
      <c r="J5" s="27" t="s">
        <v>59</v>
      </c>
      <c r="K5" s="26">
        <v>1149</v>
      </c>
      <c r="L5" s="27" t="s">
        <v>60</v>
      </c>
      <c r="M5" s="26">
        <v>1</v>
      </c>
      <c r="N5" s="27" t="s">
        <v>53</v>
      </c>
      <c r="O5" s="26">
        <v>12000</v>
      </c>
      <c r="P5" s="27" t="s">
        <v>61</v>
      </c>
      <c r="Q5" s="27" t="s">
        <v>62</v>
      </c>
      <c r="R5" s="21" t="s">
        <v>63</v>
      </c>
      <c r="S5" s="27" t="s">
        <v>64</v>
      </c>
      <c r="T5" s="26" t="s">
        <v>50</v>
      </c>
      <c r="U5" s="26">
        <v>1</v>
      </c>
      <c r="V5" s="28">
        <f t="shared" si="0"/>
        <v>1.0908333333333333</v>
      </c>
      <c r="W5" s="28">
        <f t="shared" si="1"/>
        <v>1.0908333333333333</v>
      </c>
      <c r="X5" s="28">
        <f t="shared" si="2"/>
        <v>0.75</v>
      </c>
      <c r="Y5" s="28">
        <f t="shared" si="3"/>
        <v>0.75</v>
      </c>
      <c r="Z5" s="26">
        <v>600</v>
      </c>
      <c r="AA5" s="26">
        <v>3000</v>
      </c>
      <c r="AB5" s="26">
        <v>3000</v>
      </c>
      <c r="AC5" s="26">
        <v>3000</v>
      </c>
      <c r="AD5" s="26">
        <v>3000</v>
      </c>
      <c r="AE5" s="26">
        <f t="shared" si="4"/>
        <v>12000</v>
      </c>
      <c r="AF5" s="26">
        <v>3000</v>
      </c>
      <c r="AG5" s="26">
        <v>3000</v>
      </c>
      <c r="AH5" s="338">
        <v>3000</v>
      </c>
      <c r="AI5" s="23">
        <v>4090</v>
      </c>
      <c r="AJ5" s="26">
        <f t="shared" si="5"/>
        <v>13090</v>
      </c>
      <c r="AK5" s="26">
        <v>3000</v>
      </c>
      <c r="AL5" s="338">
        <v>3000</v>
      </c>
      <c r="AM5" s="26">
        <v>3000</v>
      </c>
      <c r="AN5" s="23"/>
      <c r="AO5" s="26">
        <f t="shared" si="6"/>
        <v>9000</v>
      </c>
      <c r="AP5" s="24">
        <v>534472033</v>
      </c>
      <c r="AQ5" s="24">
        <v>426981220</v>
      </c>
      <c r="AR5" s="24">
        <v>115419463</v>
      </c>
      <c r="AS5" s="24">
        <f t="shared" si="9"/>
        <v>222923260</v>
      </c>
      <c r="AT5" s="24">
        <f t="shared" si="7"/>
        <v>1299795976</v>
      </c>
      <c r="AU5" s="24">
        <v>9699998</v>
      </c>
      <c r="AV5" s="24">
        <v>0</v>
      </c>
      <c r="AW5" s="24">
        <v>7500000</v>
      </c>
      <c r="AX5" s="24">
        <f t="shared" si="10"/>
        <v>0</v>
      </c>
      <c r="AY5" s="24">
        <f t="shared" si="8"/>
        <v>17199998</v>
      </c>
      <c r="AZ5" s="24">
        <f>SUMIF(contratacion2016!A4:A149,MUSI!G5,contratacion2016!AD4:AD149)</f>
        <v>222923260</v>
      </c>
      <c r="BA5" s="24">
        <f>SUMIF(contratacion2016!A4:A149,MUSI!G5,contratacion2016!AQ4:AQ149)</f>
        <v>0</v>
      </c>
      <c r="BB5" s="29"/>
      <c r="BC5" s="30"/>
    </row>
    <row r="6" spans="1:55" s="25" customFormat="1" x14ac:dyDescent="0.25">
      <c r="A6" s="19">
        <v>3</v>
      </c>
      <c r="B6" s="20" t="s">
        <v>39</v>
      </c>
      <c r="C6" s="19">
        <v>1</v>
      </c>
      <c r="D6" s="20" t="s">
        <v>40</v>
      </c>
      <c r="E6" s="19">
        <v>2</v>
      </c>
      <c r="F6" s="20" t="s">
        <v>57</v>
      </c>
      <c r="G6" s="19">
        <v>105</v>
      </c>
      <c r="H6" s="20" t="s">
        <v>65</v>
      </c>
      <c r="I6" s="19">
        <v>4</v>
      </c>
      <c r="J6" s="20" t="s">
        <v>59</v>
      </c>
      <c r="K6" s="19">
        <v>1149</v>
      </c>
      <c r="L6" s="20" t="s">
        <v>60</v>
      </c>
      <c r="M6" s="19">
        <v>2</v>
      </c>
      <c r="N6" s="20" t="s">
        <v>53</v>
      </c>
      <c r="O6" s="19">
        <v>1200</v>
      </c>
      <c r="P6" s="20" t="s">
        <v>61</v>
      </c>
      <c r="Q6" s="20" t="s">
        <v>66</v>
      </c>
      <c r="R6" s="21" t="s">
        <v>63</v>
      </c>
      <c r="S6" s="21" t="s">
        <v>64</v>
      </c>
      <c r="T6" s="23" t="s">
        <v>50</v>
      </c>
      <c r="U6" s="22">
        <v>1</v>
      </c>
      <c r="V6" s="22">
        <f t="shared" si="0"/>
        <v>1.5</v>
      </c>
      <c r="W6" s="22">
        <f t="shared" si="1"/>
        <v>1.5</v>
      </c>
      <c r="X6" s="22">
        <f t="shared" si="2"/>
        <v>0.81666666666666665</v>
      </c>
      <c r="Y6" s="22">
        <f t="shared" si="3"/>
        <v>0.81666666666666665</v>
      </c>
      <c r="Z6" s="23">
        <v>1795</v>
      </c>
      <c r="AA6" s="23">
        <v>300</v>
      </c>
      <c r="AB6" s="23">
        <v>300</v>
      </c>
      <c r="AC6" s="23">
        <v>300</v>
      </c>
      <c r="AD6" s="23">
        <v>300</v>
      </c>
      <c r="AE6" s="23">
        <f t="shared" si="4"/>
        <v>1200</v>
      </c>
      <c r="AF6" s="23">
        <v>300</v>
      </c>
      <c r="AG6" s="23">
        <v>220</v>
      </c>
      <c r="AH6" s="39">
        <v>380</v>
      </c>
      <c r="AI6" s="23">
        <v>900</v>
      </c>
      <c r="AJ6" s="39">
        <f t="shared" si="5"/>
        <v>1800</v>
      </c>
      <c r="AK6" s="39">
        <v>300</v>
      </c>
      <c r="AL6" s="337">
        <v>300</v>
      </c>
      <c r="AM6" s="39">
        <v>380</v>
      </c>
      <c r="AN6" s="23"/>
      <c r="AO6" s="23">
        <f t="shared" si="6"/>
        <v>980</v>
      </c>
      <c r="AP6" s="24">
        <v>96950000</v>
      </c>
      <c r="AQ6" s="24">
        <v>21958780</v>
      </c>
      <c r="AR6" s="24">
        <v>83937681</v>
      </c>
      <c r="AS6" s="24">
        <f t="shared" si="9"/>
        <v>113750000</v>
      </c>
      <c r="AT6" s="24">
        <f t="shared" si="7"/>
        <v>316596461</v>
      </c>
      <c r="AU6" s="24"/>
      <c r="AV6" s="24">
        <v>0</v>
      </c>
      <c r="AW6" s="24">
        <v>1200000</v>
      </c>
      <c r="AX6" s="24">
        <f t="shared" si="10"/>
        <v>2250000</v>
      </c>
      <c r="AY6" s="24">
        <f t="shared" si="8"/>
        <v>3450000</v>
      </c>
      <c r="AZ6" s="24">
        <f>SUMIF(contratacion2016!A5:A150,MUSI!G6,contratacion2016!AD5:AD150)</f>
        <v>113750000</v>
      </c>
      <c r="BA6" s="24">
        <f>SUMIF(contratacion2016!A5:A150,MUSI!G6,contratacion2016!AQ5:AQ150)</f>
        <v>2250000</v>
      </c>
      <c r="BB6" s="24"/>
      <c r="BC6" s="21"/>
    </row>
    <row r="7" spans="1:55" s="25" customFormat="1" x14ac:dyDescent="0.25">
      <c r="A7" s="19">
        <v>3</v>
      </c>
      <c r="B7" s="20" t="s">
        <v>39</v>
      </c>
      <c r="C7" s="19">
        <v>1</v>
      </c>
      <c r="D7" s="20" t="s">
        <v>40</v>
      </c>
      <c r="E7" s="19">
        <v>2</v>
      </c>
      <c r="F7" s="20" t="s">
        <v>57</v>
      </c>
      <c r="G7" s="19">
        <v>106</v>
      </c>
      <c r="H7" s="20" t="s">
        <v>67</v>
      </c>
      <c r="I7" s="19">
        <v>5</v>
      </c>
      <c r="J7" s="20" t="s">
        <v>68</v>
      </c>
      <c r="K7" s="19">
        <v>1149</v>
      </c>
      <c r="L7" s="20" t="s">
        <v>60</v>
      </c>
      <c r="M7" s="19">
        <v>3</v>
      </c>
      <c r="N7" s="20" t="s">
        <v>53</v>
      </c>
      <c r="O7" s="19">
        <v>320</v>
      </c>
      <c r="P7" s="20" t="s">
        <v>61</v>
      </c>
      <c r="Q7" s="20" t="s">
        <v>69</v>
      </c>
      <c r="R7" s="21" t="s">
        <v>63</v>
      </c>
      <c r="S7" s="21" t="s">
        <v>64</v>
      </c>
      <c r="T7" s="23" t="s">
        <v>50</v>
      </c>
      <c r="U7" s="22">
        <v>1</v>
      </c>
      <c r="V7" s="22">
        <f t="shared" si="0"/>
        <v>1.09375</v>
      </c>
      <c r="W7" s="22">
        <f t="shared" si="1"/>
        <v>1.09375</v>
      </c>
      <c r="X7" s="22">
        <f t="shared" si="2"/>
        <v>1.3</v>
      </c>
      <c r="Y7" s="22">
        <f t="shared" si="3"/>
        <v>1.3</v>
      </c>
      <c r="Z7" s="23">
        <v>90</v>
      </c>
      <c r="AA7" s="23">
        <f>320/4</f>
        <v>80</v>
      </c>
      <c r="AB7" s="23">
        <f>320/4</f>
        <v>80</v>
      </c>
      <c r="AC7" s="23">
        <f>320/4</f>
        <v>80</v>
      </c>
      <c r="AD7" s="23">
        <f>320/4</f>
        <v>80</v>
      </c>
      <c r="AE7" s="23">
        <f t="shared" si="4"/>
        <v>320</v>
      </c>
      <c r="AF7" s="23">
        <v>80</v>
      </c>
      <c r="AG7" s="23">
        <v>90</v>
      </c>
      <c r="AH7" s="337">
        <v>100</v>
      </c>
      <c r="AI7" s="23">
        <v>80</v>
      </c>
      <c r="AJ7" s="39">
        <f t="shared" si="5"/>
        <v>350</v>
      </c>
      <c r="AK7" s="39">
        <v>66</v>
      </c>
      <c r="AL7" s="337">
        <v>250</v>
      </c>
      <c r="AM7" s="39">
        <v>100</v>
      </c>
      <c r="AN7" s="23"/>
      <c r="AO7" s="23">
        <f t="shared" si="6"/>
        <v>416</v>
      </c>
      <c r="AP7" s="24">
        <v>104781818</v>
      </c>
      <c r="AQ7" s="24">
        <v>100000000</v>
      </c>
      <c r="AR7" s="24">
        <v>50642856</v>
      </c>
      <c r="AS7" s="24">
        <f t="shared" si="9"/>
        <v>184000000</v>
      </c>
      <c r="AT7" s="24">
        <f t="shared" si="7"/>
        <v>439424674</v>
      </c>
      <c r="AU7" s="24"/>
      <c r="AV7" s="24">
        <v>0</v>
      </c>
      <c r="AW7" s="24">
        <v>5440160</v>
      </c>
      <c r="AX7" s="24">
        <f t="shared" si="10"/>
        <v>0</v>
      </c>
      <c r="AY7" s="24">
        <f t="shared" si="8"/>
        <v>5440160</v>
      </c>
      <c r="AZ7" s="24">
        <f>SUMIF(contratacion2016!A6:A151,MUSI!G7,contratacion2016!AD6:AD151)</f>
        <v>184000000</v>
      </c>
      <c r="BA7" s="24">
        <f>SUMIF(contratacion2016!A6:A151,MUSI!G7,contratacion2016!AQ6:AQ151)</f>
        <v>0</v>
      </c>
      <c r="BB7" s="24"/>
      <c r="BC7" s="21"/>
    </row>
    <row r="8" spans="1:55" s="25" customFormat="1" ht="15" customHeight="1" x14ac:dyDescent="0.25">
      <c r="A8" s="19">
        <v>3</v>
      </c>
      <c r="B8" s="20" t="s">
        <v>39</v>
      </c>
      <c r="C8" s="19">
        <v>1</v>
      </c>
      <c r="D8" s="20" t="s">
        <v>40</v>
      </c>
      <c r="E8" s="19">
        <v>3</v>
      </c>
      <c r="F8" s="20" t="s">
        <v>70</v>
      </c>
      <c r="G8" s="19">
        <v>107</v>
      </c>
      <c r="H8" s="20" t="s">
        <v>71</v>
      </c>
      <c r="I8" s="19">
        <v>11</v>
      </c>
      <c r="J8" s="20" t="s">
        <v>72</v>
      </c>
      <c r="K8" s="19">
        <v>1150</v>
      </c>
      <c r="L8" s="20" t="s">
        <v>73</v>
      </c>
      <c r="M8" s="19">
        <v>1</v>
      </c>
      <c r="N8" s="20" t="s">
        <v>53</v>
      </c>
      <c r="O8" s="19">
        <v>400</v>
      </c>
      <c r="P8" s="20" t="s">
        <v>74</v>
      </c>
      <c r="Q8" s="20" t="s">
        <v>75</v>
      </c>
      <c r="R8" s="21" t="s">
        <v>76</v>
      </c>
      <c r="S8" s="21" t="s">
        <v>77</v>
      </c>
      <c r="T8" s="23" t="s">
        <v>50</v>
      </c>
      <c r="U8" s="22">
        <v>1</v>
      </c>
      <c r="V8" s="22">
        <f t="shared" si="0"/>
        <v>1.2375</v>
      </c>
      <c r="W8" s="22">
        <f t="shared" si="1"/>
        <v>1.2375</v>
      </c>
      <c r="X8" s="22">
        <f t="shared" si="2"/>
        <v>1.0625</v>
      </c>
      <c r="Y8" s="22">
        <f t="shared" si="3"/>
        <v>1.0625</v>
      </c>
      <c r="Z8" s="23">
        <v>0</v>
      </c>
      <c r="AA8" s="23">
        <v>100</v>
      </c>
      <c r="AB8" s="23">
        <v>100</v>
      </c>
      <c r="AC8" s="23">
        <v>100</v>
      </c>
      <c r="AD8" s="23">
        <v>100</v>
      </c>
      <c r="AE8" s="23">
        <f t="shared" si="4"/>
        <v>400</v>
      </c>
      <c r="AF8" s="23">
        <v>100</v>
      </c>
      <c r="AG8" s="23">
        <v>270</v>
      </c>
      <c r="AH8" s="39">
        <v>25</v>
      </c>
      <c r="AI8" s="39">
        <v>100</v>
      </c>
      <c r="AJ8" s="39">
        <f t="shared" si="5"/>
        <v>495</v>
      </c>
      <c r="AK8" s="39">
        <v>130</v>
      </c>
      <c r="AL8" s="337">
        <v>270</v>
      </c>
      <c r="AM8" s="39">
        <v>25</v>
      </c>
      <c r="AN8" s="23">
        <v>0</v>
      </c>
      <c r="AO8" s="23">
        <f t="shared" si="6"/>
        <v>425</v>
      </c>
      <c r="AP8" s="24">
        <v>194630000</v>
      </c>
      <c r="AQ8" s="24">
        <v>442042074</v>
      </c>
      <c r="AR8" s="24">
        <v>41000000</v>
      </c>
      <c r="AS8" s="24">
        <f t="shared" si="9"/>
        <v>172454389</v>
      </c>
      <c r="AT8" s="24">
        <f t="shared" si="7"/>
        <v>850126463</v>
      </c>
      <c r="AU8" s="24"/>
      <c r="AV8" s="24">
        <v>0</v>
      </c>
      <c r="AW8" s="24">
        <v>0</v>
      </c>
      <c r="AX8" s="24">
        <f t="shared" si="10"/>
        <v>0</v>
      </c>
      <c r="AY8" s="24">
        <f t="shared" si="8"/>
        <v>0</v>
      </c>
      <c r="AZ8" s="24">
        <f>SUMIF(contratacion2016!A6:A152,MUSI!G8,contratacion2016!AD6:AD152)</f>
        <v>172454389</v>
      </c>
      <c r="BA8" s="24">
        <f>SUMIF(contratacion2016!A6:A152,MUSI!G8,contratacion2016!AQ6:AQ152)</f>
        <v>0</v>
      </c>
      <c r="BB8" s="24"/>
      <c r="BC8" s="31"/>
    </row>
    <row r="9" spans="1:55" s="25" customFormat="1" x14ac:dyDescent="0.25">
      <c r="A9" s="19">
        <v>3</v>
      </c>
      <c r="B9" s="20" t="s">
        <v>39</v>
      </c>
      <c r="C9" s="19">
        <v>1</v>
      </c>
      <c r="D9" s="20" t="s">
        <v>40</v>
      </c>
      <c r="E9" s="19">
        <v>3</v>
      </c>
      <c r="F9" s="20" t="s">
        <v>70</v>
      </c>
      <c r="G9" s="19">
        <v>108</v>
      </c>
      <c r="H9" s="20" t="s">
        <v>78</v>
      </c>
      <c r="I9" s="19">
        <v>9</v>
      </c>
      <c r="J9" s="20" t="s">
        <v>79</v>
      </c>
      <c r="K9" s="19">
        <v>1150</v>
      </c>
      <c r="L9" s="20" t="s">
        <v>73</v>
      </c>
      <c r="M9" s="19">
        <v>2</v>
      </c>
      <c r="N9" s="20" t="s">
        <v>80</v>
      </c>
      <c r="O9" s="19">
        <v>1000</v>
      </c>
      <c r="P9" s="20" t="s">
        <v>81</v>
      </c>
      <c r="Q9" s="20" t="s">
        <v>82</v>
      </c>
      <c r="R9" s="21" t="s">
        <v>76</v>
      </c>
      <c r="S9" s="20" t="s">
        <v>83</v>
      </c>
      <c r="T9" s="19" t="s">
        <v>50</v>
      </c>
      <c r="U9" s="22">
        <v>1</v>
      </c>
      <c r="V9" s="22">
        <f t="shared" si="0"/>
        <v>1.2</v>
      </c>
      <c r="W9" s="22">
        <f t="shared" si="1"/>
        <v>1.2</v>
      </c>
      <c r="X9" s="22">
        <f t="shared" si="2"/>
        <v>1.2</v>
      </c>
      <c r="Y9" s="22">
        <f t="shared" si="3"/>
        <v>1.2</v>
      </c>
      <c r="Z9" s="19">
        <v>0</v>
      </c>
      <c r="AA9" s="19">
        <v>250</v>
      </c>
      <c r="AB9" s="19">
        <v>250</v>
      </c>
      <c r="AC9" s="19">
        <v>250</v>
      </c>
      <c r="AD9" s="19">
        <v>250</v>
      </c>
      <c r="AE9" s="19">
        <f t="shared" si="4"/>
        <v>1000</v>
      </c>
      <c r="AF9" s="19">
        <v>900</v>
      </c>
      <c r="AG9" s="19">
        <v>0</v>
      </c>
      <c r="AH9" s="26">
        <v>300</v>
      </c>
      <c r="AI9" s="26">
        <v>0</v>
      </c>
      <c r="AJ9" s="26">
        <f t="shared" si="5"/>
        <v>1200</v>
      </c>
      <c r="AK9" s="26">
        <v>900</v>
      </c>
      <c r="AL9" s="338">
        <v>0</v>
      </c>
      <c r="AM9" s="26">
        <v>300</v>
      </c>
      <c r="AN9" s="19">
        <v>0</v>
      </c>
      <c r="AO9" s="19">
        <f t="shared" si="6"/>
        <v>1200</v>
      </c>
      <c r="AP9" s="24">
        <v>198507100</v>
      </c>
      <c r="AQ9" s="24">
        <v>6600000</v>
      </c>
      <c r="AR9" s="24">
        <v>117566000</v>
      </c>
      <c r="AS9" s="24">
        <f t="shared" si="9"/>
        <v>0</v>
      </c>
      <c r="AT9" s="24">
        <f t="shared" si="7"/>
        <v>322673100</v>
      </c>
      <c r="AU9" s="24">
        <v>46658300</v>
      </c>
      <c r="AV9" s="24">
        <v>0</v>
      </c>
      <c r="AW9" s="24">
        <v>114246000</v>
      </c>
      <c r="AX9" s="24">
        <f t="shared" si="10"/>
        <v>0</v>
      </c>
      <c r="AY9" s="24">
        <f t="shared" si="8"/>
        <v>160904300</v>
      </c>
      <c r="AZ9" s="24">
        <f>SUMIF(contratacion2016!A6:A153,MUSI!G9,contratacion2016!AD6:AD153)</f>
        <v>0</v>
      </c>
      <c r="BA9" s="24">
        <f>SUMIF(contratacion2016!A6:A153,MUSI!G9,contratacion2016!AQ6:AQ153)</f>
        <v>0</v>
      </c>
      <c r="BB9" s="24"/>
      <c r="BC9" s="32"/>
    </row>
    <row r="10" spans="1:55" s="25" customFormat="1" x14ac:dyDescent="0.25">
      <c r="A10" s="19">
        <v>3</v>
      </c>
      <c r="B10" s="20" t="s">
        <v>39</v>
      </c>
      <c r="C10" s="19">
        <v>1</v>
      </c>
      <c r="D10" s="20" t="s">
        <v>40</v>
      </c>
      <c r="E10" s="19">
        <v>3</v>
      </c>
      <c r="F10" s="20" t="s">
        <v>70</v>
      </c>
      <c r="G10" s="19">
        <v>109</v>
      </c>
      <c r="H10" s="20" t="s">
        <v>84</v>
      </c>
      <c r="I10" s="19">
        <v>7</v>
      </c>
      <c r="J10" s="20" t="s">
        <v>85</v>
      </c>
      <c r="K10" s="19">
        <v>1150</v>
      </c>
      <c r="L10" s="20" t="s">
        <v>73</v>
      </c>
      <c r="M10" s="19">
        <v>3</v>
      </c>
      <c r="N10" s="20" t="s">
        <v>45</v>
      </c>
      <c r="O10" s="19">
        <v>8</v>
      </c>
      <c r="P10" s="20" t="s">
        <v>86</v>
      </c>
      <c r="Q10" s="20" t="s">
        <v>87</v>
      </c>
      <c r="R10" s="21" t="s">
        <v>76</v>
      </c>
      <c r="S10" s="21" t="s">
        <v>88</v>
      </c>
      <c r="T10" s="23" t="s">
        <v>50</v>
      </c>
      <c r="U10" s="22">
        <v>1</v>
      </c>
      <c r="V10" s="22">
        <f t="shared" si="0"/>
        <v>1.125</v>
      </c>
      <c r="W10" s="22">
        <f t="shared" si="1"/>
        <v>1.125</v>
      </c>
      <c r="X10" s="22">
        <f t="shared" si="2"/>
        <v>1.125</v>
      </c>
      <c r="Y10" s="22">
        <f t="shared" si="3"/>
        <v>1.125</v>
      </c>
      <c r="Z10" s="23">
        <v>0</v>
      </c>
      <c r="AA10" s="23"/>
      <c r="AB10" s="23">
        <v>2</v>
      </c>
      <c r="AC10" s="23">
        <v>2</v>
      </c>
      <c r="AD10" s="23">
        <v>3</v>
      </c>
      <c r="AE10" s="23">
        <f t="shared" si="4"/>
        <v>7</v>
      </c>
      <c r="AF10" s="23">
        <v>0</v>
      </c>
      <c r="AG10" s="23">
        <v>9</v>
      </c>
      <c r="AH10" s="39">
        <v>0</v>
      </c>
      <c r="AI10" s="39">
        <v>0</v>
      </c>
      <c r="AJ10" s="39">
        <f t="shared" si="5"/>
        <v>9</v>
      </c>
      <c r="AK10" s="39">
        <v>0</v>
      </c>
      <c r="AL10" s="337">
        <v>9</v>
      </c>
      <c r="AM10" s="39">
        <v>0</v>
      </c>
      <c r="AN10" s="23">
        <v>0</v>
      </c>
      <c r="AO10" s="23">
        <f t="shared" si="6"/>
        <v>9</v>
      </c>
      <c r="AP10" s="24">
        <v>0</v>
      </c>
      <c r="AQ10" s="24">
        <v>88229200</v>
      </c>
      <c r="AR10" s="24">
        <v>0</v>
      </c>
      <c r="AS10" s="24">
        <f t="shared" si="9"/>
        <v>0</v>
      </c>
      <c r="AT10" s="24">
        <f t="shared" si="7"/>
        <v>88229200</v>
      </c>
      <c r="AU10" s="24">
        <v>0</v>
      </c>
      <c r="AV10" s="24">
        <v>0</v>
      </c>
      <c r="AW10" s="24">
        <v>0</v>
      </c>
      <c r="AX10" s="24">
        <f t="shared" si="10"/>
        <v>0</v>
      </c>
      <c r="AY10" s="24">
        <f t="shared" si="8"/>
        <v>0</v>
      </c>
      <c r="AZ10" s="24">
        <f>SUMIF(contratacion2016!A7:A154,MUSI!G10,contratacion2016!AD7:AD154)</f>
        <v>0</v>
      </c>
      <c r="BA10" s="24">
        <f>SUMIF(contratacion2016!A7:A154,MUSI!G10,contratacion2016!AQ7:AQ154)</f>
        <v>0</v>
      </c>
      <c r="BB10" s="24"/>
      <c r="BC10" s="21"/>
    </row>
    <row r="11" spans="1:55" s="25" customFormat="1" x14ac:dyDescent="0.25">
      <c r="A11" s="19">
        <v>3</v>
      </c>
      <c r="B11" s="20" t="s">
        <v>39</v>
      </c>
      <c r="C11" s="19">
        <v>1</v>
      </c>
      <c r="D11" s="20" t="s">
        <v>40</v>
      </c>
      <c r="E11" s="19">
        <v>3</v>
      </c>
      <c r="F11" s="20" t="s">
        <v>70</v>
      </c>
      <c r="G11" s="19">
        <v>110</v>
      </c>
      <c r="H11" s="20" t="s">
        <v>89</v>
      </c>
      <c r="I11" s="19" t="s">
        <v>90</v>
      </c>
      <c r="J11" s="20" t="s">
        <v>91</v>
      </c>
      <c r="K11" s="19">
        <v>1150</v>
      </c>
      <c r="L11" s="20" t="s">
        <v>73</v>
      </c>
      <c r="M11" s="19">
        <v>4</v>
      </c>
      <c r="N11" s="20" t="s">
        <v>53</v>
      </c>
      <c r="O11" s="19">
        <v>3000</v>
      </c>
      <c r="P11" s="20" t="s">
        <v>61</v>
      </c>
      <c r="Q11" s="20" t="s">
        <v>92</v>
      </c>
      <c r="R11" s="21" t="s">
        <v>90</v>
      </c>
      <c r="S11" s="21" t="s">
        <v>90</v>
      </c>
      <c r="T11" s="23" t="s">
        <v>50</v>
      </c>
      <c r="U11" s="22">
        <v>1</v>
      </c>
      <c r="V11" s="22">
        <f t="shared" si="0"/>
        <v>0.94333333333333336</v>
      </c>
      <c r="W11" s="22">
        <f t="shared" si="1"/>
        <v>0.94333333333333336</v>
      </c>
      <c r="X11" s="22">
        <f t="shared" si="2"/>
        <v>0.96</v>
      </c>
      <c r="Y11" s="22">
        <f t="shared" si="3"/>
        <v>0.96</v>
      </c>
      <c r="Z11" s="23"/>
      <c r="AA11" s="23">
        <f>3000/4</f>
        <v>750</v>
      </c>
      <c r="AB11" s="23">
        <f>3000/4</f>
        <v>750</v>
      </c>
      <c r="AC11" s="23">
        <f>3000/4</f>
        <v>750</v>
      </c>
      <c r="AD11" s="23">
        <f>3000/4</f>
        <v>750</v>
      </c>
      <c r="AE11" s="23">
        <f t="shared" si="4"/>
        <v>3000</v>
      </c>
      <c r="AF11" s="23">
        <v>600</v>
      </c>
      <c r="AG11" s="23">
        <v>800</v>
      </c>
      <c r="AH11" s="39">
        <v>900</v>
      </c>
      <c r="AI11" s="39">
        <v>530</v>
      </c>
      <c r="AJ11" s="39">
        <f t="shared" si="5"/>
        <v>2830</v>
      </c>
      <c r="AK11" s="39">
        <v>650</v>
      </c>
      <c r="AL11" s="39">
        <v>800</v>
      </c>
      <c r="AM11" s="39">
        <v>900</v>
      </c>
      <c r="AN11" s="23">
        <v>530</v>
      </c>
      <c r="AO11" s="23">
        <f t="shared" si="6"/>
        <v>2880</v>
      </c>
      <c r="AP11" s="24">
        <v>16464000</v>
      </c>
      <c r="AQ11" s="24">
        <v>135015223</v>
      </c>
      <c r="AR11" s="24">
        <v>19720000</v>
      </c>
      <c r="AS11" s="24">
        <f>AZ11</f>
        <v>12365880</v>
      </c>
      <c r="AT11" s="24">
        <f t="shared" si="7"/>
        <v>183565103</v>
      </c>
      <c r="AU11" s="24">
        <v>16464000</v>
      </c>
      <c r="AV11" s="24">
        <v>133290223</v>
      </c>
      <c r="AW11" s="24">
        <v>19720000</v>
      </c>
      <c r="AX11" s="24">
        <f t="shared" si="10"/>
        <v>12365880</v>
      </c>
      <c r="AY11" s="24">
        <f t="shared" si="8"/>
        <v>181840103</v>
      </c>
      <c r="AZ11" s="24">
        <f>SUMIF(contratacion2016!A8:A155,MUSI!G11,contratacion2016!AD8:AD155)</f>
        <v>12365880</v>
      </c>
      <c r="BA11" s="24">
        <f>SUMIF(contratacion2016!A8:A155,MUSI!G11,contratacion2016!AQ8:AQ155)</f>
        <v>12365880</v>
      </c>
      <c r="BB11" s="24"/>
      <c r="BC11" s="21"/>
    </row>
    <row r="12" spans="1:55" s="25" customFormat="1" x14ac:dyDescent="0.25">
      <c r="A12" s="19">
        <v>3</v>
      </c>
      <c r="B12" s="20" t="s">
        <v>39</v>
      </c>
      <c r="C12" s="19">
        <v>1</v>
      </c>
      <c r="D12" s="20" t="s">
        <v>40</v>
      </c>
      <c r="E12" s="19">
        <v>4</v>
      </c>
      <c r="F12" s="20" t="s">
        <v>93</v>
      </c>
      <c r="G12" s="19">
        <v>111</v>
      </c>
      <c r="H12" s="20" t="s">
        <v>94</v>
      </c>
      <c r="I12" s="19">
        <v>14</v>
      </c>
      <c r="J12" s="20" t="s">
        <v>95</v>
      </c>
      <c r="K12" s="19">
        <v>1164</v>
      </c>
      <c r="L12" s="20" t="s">
        <v>96</v>
      </c>
      <c r="M12" s="19">
        <v>1</v>
      </c>
      <c r="N12" s="20" t="s">
        <v>53</v>
      </c>
      <c r="O12" s="19">
        <v>200</v>
      </c>
      <c r="P12" s="20" t="s">
        <v>97</v>
      </c>
      <c r="Q12" s="20" t="s">
        <v>1285</v>
      </c>
      <c r="R12" s="21" t="s">
        <v>99</v>
      </c>
      <c r="S12" s="21" t="s">
        <v>100</v>
      </c>
      <c r="T12" s="23" t="s">
        <v>50</v>
      </c>
      <c r="U12" s="22">
        <v>1</v>
      </c>
      <c r="V12" s="22">
        <f t="shared" si="0"/>
        <v>1.25</v>
      </c>
      <c r="W12" s="22">
        <f t="shared" si="1"/>
        <v>1.25</v>
      </c>
      <c r="X12" s="22">
        <f t="shared" si="2"/>
        <v>0</v>
      </c>
      <c r="Y12" s="22">
        <f t="shared" si="3"/>
        <v>0</v>
      </c>
      <c r="Z12" s="23"/>
      <c r="AA12" s="23"/>
      <c r="AB12" s="23">
        <v>66</v>
      </c>
      <c r="AC12" s="23">
        <v>67</v>
      </c>
      <c r="AD12" s="23">
        <v>67</v>
      </c>
      <c r="AE12" s="23">
        <f t="shared" si="4"/>
        <v>200</v>
      </c>
      <c r="AF12" s="23">
        <v>0</v>
      </c>
      <c r="AG12" s="23">
        <v>0</v>
      </c>
      <c r="AH12" s="39">
        <v>0</v>
      </c>
      <c r="AI12" s="39">
        <v>250</v>
      </c>
      <c r="AJ12" s="39">
        <f t="shared" si="5"/>
        <v>250</v>
      </c>
      <c r="AK12" s="39">
        <v>0</v>
      </c>
      <c r="AL12" s="337">
        <v>0</v>
      </c>
      <c r="AM12" s="39">
        <v>0</v>
      </c>
      <c r="AN12" s="23">
        <v>0</v>
      </c>
      <c r="AO12" s="23">
        <f t="shared" si="6"/>
        <v>0</v>
      </c>
      <c r="AP12" s="24">
        <v>0</v>
      </c>
      <c r="AQ12" s="24">
        <v>0</v>
      </c>
      <c r="AR12" s="24">
        <v>0</v>
      </c>
      <c r="AS12" s="24">
        <f t="shared" si="9"/>
        <v>27960668</v>
      </c>
      <c r="AT12" s="24">
        <f t="shared" si="7"/>
        <v>27960668</v>
      </c>
      <c r="AU12" s="24">
        <v>0</v>
      </c>
      <c r="AV12" s="24">
        <v>0</v>
      </c>
      <c r="AW12" s="24">
        <v>0</v>
      </c>
      <c r="AX12" s="24">
        <f t="shared" si="10"/>
        <v>0</v>
      </c>
      <c r="AY12" s="24">
        <f t="shared" si="8"/>
        <v>0</v>
      </c>
      <c r="AZ12" s="24">
        <f>SUMIF(contratacion2016!A9:A156,MUSI!G12,contratacion2016!AD9:AD156)</f>
        <v>27960668</v>
      </c>
      <c r="BA12" s="24">
        <f>SUMIF(contratacion2016!A9:A156,MUSI!G12,contratacion2016!AQ9:AQ156)</f>
        <v>0</v>
      </c>
      <c r="BB12" s="24"/>
      <c r="BC12" s="21"/>
    </row>
    <row r="13" spans="1:55" s="25" customFormat="1" x14ac:dyDescent="0.25">
      <c r="A13" s="19">
        <v>3</v>
      </c>
      <c r="B13" s="20" t="s">
        <v>39</v>
      </c>
      <c r="C13" s="19">
        <v>1</v>
      </c>
      <c r="D13" s="20" t="s">
        <v>40</v>
      </c>
      <c r="E13" s="19">
        <v>5</v>
      </c>
      <c r="F13" s="20" t="s">
        <v>101</v>
      </c>
      <c r="G13" s="19">
        <v>112</v>
      </c>
      <c r="H13" s="20" t="s">
        <v>102</v>
      </c>
      <c r="I13" s="19">
        <v>19</v>
      </c>
      <c r="J13" s="20" t="s">
        <v>103</v>
      </c>
      <c r="K13" s="19">
        <v>1157</v>
      </c>
      <c r="L13" s="20" t="s">
        <v>104</v>
      </c>
      <c r="M13" s="19">
        <v>1</v>
      </c>
      <c r="N13" s="20" t="s">
        <v>105</v>
      </c>
      <c r="O13" s="19">
        <v>900</v>
      </c>
      <c r="P13" s="20" t="s">
        <v>106</v>
      </c>
      <c r="Q13" s="20" t="s">
        <v>107</v>
      </c>
      <c r="R13" s="21" t="s">
        <v>48</v>
      </c>
      <c r="S13" s="20" t="s">
        <v>108</v>
      </c>
      <c r="T13" s="19" t="s">
        <v>109</v>
      </c>
      <c r="U13" s="22">
        <v>1</v>
      </c>
      <c r="V13" s="22">
        <f t="shared" si="0"/>
        <v>1.9722222222222223</v>
      </c>
      <c r="W13" s="22">
        <f t="shared" si="1"/>
        <v>1.9722222222222223</v>
      </c>
      <c r="X13" s="22">
        <f t="shared" si="2"/>
        <v>2.0277777777777777</v>
      </c>
      <c r="Y13" s="22">
        <f t="shared" si="3"/>
        <v>2.0277777777777777</v>
      </c>
      <c r="Z13" s="19">
        <v>900</v>
      </c>
      <c r="AA13" s="19">
        <v>900</v>
      </c>
      <c r="AB13" s="19">
        <v>900</v>
      </c>
      <c r="AC13" s="19">
        <v>900</v>
      </c>
      <c r="AD13" s="19">
        <v>900</v>
      </c>
      <c r="AE13" s="19">
        <f t="shared" si="4"/>
        <v>900</v>
      </c>
      <c r="AF13" s="19">
        <v>900</v>
      </c>
      <c r="AG13" s="19">
        <v>1200</v>
      </c>
      <c r="AH13" s="26">
        <v>2300</v>
      </c>
      <c r="AI13" s="26">
        <v>2700</v>
      </c>
      <c r="AJ13" s="26">
        <f t="shared" si="5"/>
        <v>1775</v>
      </c>
      <c r="AK13" s="26">
        <v>900</v>
      </c>
      <c r="AL13" s="26">
        <v>1200</v>
      </c>
      <c r="AM13" s="26">
        <v>2500</v>
      </c>
      <c r="AN13" s="19">
        <v>2700</v>
      </c>
      <c r="AO13" s="19">
        <f t="shared" si="6"/>
        <v>1825</v>
      </c>
      <c r="AP13" s="24">
        <v>1813000000</v>
      </c>
      <c r="AQ13" s="24">
        <v>1800498972</v>
      </c>
      <c r="AR13" s="24">
        <v>4622824460</v>
      </c>
      <c r="AS13" s="24">
        <f t="shared" si="9"/>
        <v>3400000000</v>
      </c>
      <c r="AT13" s="24">
        <f t="shared" si="7"/>
        <v>11636323432</v>
      </c>
      <c r="AU13" s="24">
        <v>1063706081</v>
      </c>
      <c r="AV13" s="24">
        <v>680684506</v>
      </c>
      <c r="AW13" s="24">
        <v>1230720000</v>
      </c>
      <c r="AX13" s="24">
        <f t="shared" si="10"/>
        <v>306316134</v>
      </c>
      <c r="AY13" s="24">
        <f t="shared" si="8"/>
        <v>3281426721</v>
      </c>
      <c r="AZ13" s="24">
        <f>SUMIF(contratacion2016!A9:A157,MUSI!G13,contratacion2016!AD9:AD157)</f>
        <v>3400000000</v>
      </c>
      <c r="BA13" s="24">
        <f>SUMIF(contratacion2016!A9:A157,MUSI!G13,contratacion2016!AQ9:AQ157)</f>
        <v>306316134</v>
      </c>
      <c r="BB13" s="24"/>
      <c r="BC13" s="31"/>
    </row>
    <row r="14" spans="1:55" s="33" customFormat="1" ht="13.5" customHeight="1" x14ac:dyDescent="0.25">
      <c r="A14" s="19">
        <v>3</v>
      </c>
      <c r="B14" s="20" t="s">
        <v>39</v>
      </c>
      <c r="C14" s="19">
        <v>1</v>
      </c>
      <c r="D14" s="20" t="s">
        <v>40</v>
      </c>
      <c r="E14" s="19">
        <v>5</v>
      </c>
      <c r="F14" s="20" t="s">
        <v>101</v>
      </c>
      <c r="G14" s="19">
        <v>113</v>
      </c>
      <c r="H14" s="20" t="s">
        <v>110</v>
      </c>
      <c r="I14" s="19" t="s">
        <v>90</v>
      </c>
      <c r="J14" s="20" t="s">
        <v>91</v>
      </c>
      <c r="K14" s="19">
        <v>1157</v>
      </c>
      <c r="L14" s="20" t="s">
        <v>104</v>
      </c>
      <c r="M14" s="19">
        <v>2</v>
      </c>
      <c r="N14" s="20" t="s">
        <v>53</v>
      </c>
      <c r="O14" s="19">
        <v>220</v>
      </c>
      <c r="P14" s="20" t="s">
        <v>61</v>
      </c>
      <c r="Q14" s="20" t="s">
        <v>111</v>
      </c>
      <c r="R14" s="21" t="s">
        <v>90</v>
      </c>
      <c r="S14" s="20" t="s">
        <v>90</v>
      </c>
      <c r="T14" s="19" t="s">
        <v>50</v>
      </c>
      <c r="U14" s="22">
        <v>1</v>
      </c>
      <c r="V14" s="22">
        <f t="shared" si="0"/>
        <v>0.95454545454545459</v>
      </c>
      <c r="W14" s="22">
        <f t="shared" si="1"/>
        <v>0.95454545454545459</v>
      </c>
      <c r="X14" s="22">
        <f t="shared" si="2"/>
        <v>0.95454545454545459</v>
      </c>
      <c r="Y14" s="22">
        <f t="shared" si="3"/>
        <v>0.95454545454545459</v>
      </c>
      <c r="Z14" s="19">
        <v>0</v>
      </c>
      <c r="AA14" s="19">
        <f>220/4</f>
        <v>55</v>
      </c>
      <c r="AB14" s="19">
        <f>220/4</f>
        <v>55</v>
      </c>
      <c r="AC14" s="19">
        <f>220/4</f>
        <v>55</v>
      </c>
      <c r="AD14" s="19">
        <f>220/4</f>
        <v>55</v>
      </c>
      <c r="AE14" s="19">
        <f t="shared" si="4"/>
        <v>220</v>
      </c>
      <c r="AF14" s="19">
        <v>210</v>
      </c>
      <c r="AG14" s="19">
        <v>0</v>
      </c>
      <c r="AH14" s="26">
        <v>0</v>
      </c>
      <c r="AI14" s="26">
        <v>0</v>
      </c>
      <c r="AJ14" s="26">
        <f t="shared" si="5"/>
        <v>210</v>
      </c>
      <c r="AK14" s="26">
        <v>210</v>
      </c>
      <c r="AL14" s="26">
        <v>0</v>
      </c>
      <c r="AM14" s="26">
        <v>0</v>
      </c>
      <c r="AN14" s="19">
        <v>0</v>
      </c>
      <c r="AO14" s="19">
        <f t="shared" si="6"/>
        <v>210</v>
      </c>
      <c r="AP14" s="24">
        <v>300546142</v>
      </c>
      <c r="AQ14" s="24">
        <v>0</v>
      </c>
      <c r="AR14" s="24">
        <v>0</v>
      </c>
      <c r="AS14" s="24">
        <f t="shared" si="9"/>
        <v>0</v>
      </c>
      <c r="AT14" s="24">
        <f t="shared" si="7"/>
        <v>300546142</v>
      </c>
      <c r="AU14" s="24">
        <v>36836795</v>
      </c>
      <c r="AV14" s="24">
        <v>0</v>
      </c>
      <c r="AW14" s="24">
        <v>0</v>
      </c>
      <c r="AX14" s="24">
        <f t="shared" si="10"/>
        <v>0</v>
      </c>
      <c r="AY14" s="24">
        <f t="shared" si="8"/>
        <v>36836795</v>
      </c>
      <c r="AZ14" s="24">
        <f>SUMIF(contratacion2016!A9:A158,MUSI!G14,contratacion2016!AD9:AD158)</f>
        <v>0</v>
      </c>
      <c r="BA14" s="24">
        <f>SUMIF(contratacion2016!A9:A158,MUSI!G14,contratacion2016!AQ9:AQ158)</f>
        <v>0</v>
      </c>
      <c r="BB14" s="24"/>
      <c r="BC14" s="31"/>
    </row>
    <row r="15" spans="1:55" s="33" customFormat="1" x14ac:dyDescent="0.25">
      <c r="A15" s="19">
        <v>3</v>
      </c>
      <c r="B15" s="20" t="s">
        <v>39</v>
      </c>
      <c r="C15" s="19">
        <v>1</v>
      </c>
      <c r="D15" s="20" t="s">
        <v>40</v>
      </c>
      <c r="E15" s="19">
        <v>5</v>
      </c>
      <c r="F15" s="20" t="s">
        <v>101</v>
      </c>
      <c r="G15" s="19">
        <v>114</v>
      </c>
      <c r="H15" s="20" t="s">
        <v>112</v>
      </c>
      <c r="I15" s="19">
        <v>15</v>
      </c>
      <c r="J15" s="20" t="s">
        <v>113</v>
      </c>
      <c r="K15" s="19">
        <v>1157</v>
      </c>
      <c r="L15" s="20" t="s">
        <v>104</v>
      </c>
      <c r="M15" s="19">
        <v>3</v>
      </c>
      <c r="N15" s="20" t="s">
        <v>53</v>
      </c>
      <c r="O15" s="19">
        <v>5000</v>
      </c>
      <c r="P15" s="20" t="s">
        <v>61</v>
      </c>
      <c r="Q15" s="20" t="s">
        <v>114</v>
      </c>
      <c r="R15" s="21" t="s">
        <v>115</v>
      </c>
      <c r="S15" s="21" t="s">
        <v>100</v>
      </c>
      <c r="T15" s="23" t="s">
        <v>50</v>
      </c>
      <c r="U15" s="22">
        <v>1</v>
      </c>
      <c r="V15" s="22">
        <f t="shared" si="0"/>
        <v>0.86</v>
      </c>
      <c r="W15" s="22">
        <f t="shared" si="1"/>
        <v>0.86</v>
      </c>
      <c r="X15" s="22">
        <f t="shared" si="2"/>
        <v>0.86</v>
      </c>
      <c r="Y15" s="22">
        <f t="shared" si="3"/>
        <v>0.86</v>
      </c>
      <c r="Z15" s="23">
        <v>5</v>
      </c>
      <c r="AA15" s="23">
        <v>1250</v>
      </c>
      <c r="AB15" s="23">
        <v>1250</v>
      </c>
      <c r="AC15" s="23">
        <v>1250</v>
      </c>
      <c r="AD15" s="23">
        <v>1250</v>
      </c>
      <c r="AE15" s="23">
        <f t="shared" si="4"/>
        <v>5000</v>
      </c>
      <c r="AF15" s="23">
        <v>1250</v>
      </c>
      <c r="AG15" s="23">
        <v>1250</v>
      </c>
      <c r="AH15" s="39">
        <v>1800</v>
      </c>
      <c r="AI15" s="39">
        <v>0</v>
      </c>
      <c r="AJ15" s="39">
        <f t="shared" si="5"/>
        <v>4300</v>
      </c>
      <c r="AK15" s="39">
        <v>1250</v>
      </c>
      <c r="AL15" s="39">
        <v>1250</v>
      </c>
      <c r="AM15" s="39">
        <v>1800</v>
      </c>
      <c r="AN15" s="23">
        <v>0</v>
      </c>
      <c r="AO15" s="23">
        <f t="shared" si="6"/>
        <v>4300</v>
      </c>
      <c r="AP15" s="24">
        <v>236477888</v>
      </c>
      <c r="AQ15" s="24">
        <v>261732500</v>
      </c>
      <c r="AR15" s="24">
        <v>305050000</v>
      </c>
      <c r="AS15" s="24">
        <f t="shared" si="9"/>
        <v>0</v>
      </c>
      <c r="AT15" s="24">
        <f t="shared" si="7"/>
        <v>803260388</v>
      </c>
      <c r="AU15" s="24"/>
      <c r="AV15" s="24">
        <v>92732500</v>
      </c>
      <c r="AW15" s="24">
        <v>305050000</v>
      </c>
      <c r="AX15" s="24">
        <f t="shared" si="10"/>
        <v>0</v>
      </c>
      <c r="AY15" s="24">
        <f t="shared" si="8"/>
        <v>397782500</v>
      </c>
      <c r="AZ15" s="24">
        <f>SUMIF(contratacion2016!A10:A159,MUSI!G15,contratacion2016!AD10:AD159)</f>
        <v>0</v>
      </c>
      <c r="BA15" s="24">
        <f>SUMIF(contratacion2016!A10:A159,MUSI!G15,contratacion2016!AQ10:AQ159)</f>
        <v>0</v>
      </c>
      <c r="BB15" s="34"/>
      <c r="BC15" s="31"/>
    </row>
    <row r="16" spans="1:55" s="33" customFormat="1" x14ac:dyDescent="0.25">
      <c r="A16" s="19">
        <v>3</v>
      </c>
      <c r="B16" s="20" t="s">
        <v>39</v>
      </c>
      <c r="C16" s="19">
        <v>1</v>
      </c>
      <c r="D16" s="20" t="s">
        <v>40</v>
      </c>
      <c r="E16" s="19">
        <v>5</v>
      </c>
      <c r="F16" s="20" t="s">
        <v>101</v>
      </c>
      <c r="G16" s="19">
        <v>115</v>
      </c>
      <c r="H16" s="20" t="s">
        <v>116</v>
      </c>
      <c r="I16" s="19">
        <v>16</v>
      </c>
      <c r="J16" s="20" t="s">
        <v>117</v>
      </c>
      <c r="K16" s="19">
        <v>1157</v>
      </c>
      <c r="L16" s="20" t="s">
        <v>104</v>
      </c>
      <c r="M16" s="19">
        <v>4</v>
      </c>
      <c r="N16" s="20" t="s">
        <v>53</v>
      </c>
      <c r="O16" s="19">
        <v>1000</v>
      </c>
      <c r="P16" s="20" t="s">
        <v>61</v>
      </c>
      <c r="Q16" s="20" t="s">
        <v>118</v>
      </c>
      <c r="R16" s="21" t="s">
        <v>48</v>
      </c>
      <c r="S16" s="21" t="s">
        <v>108</v>
      </c>
      <c r="T16" s="23" t="s">
        <v>50</v>
      </c>
      <c r="U16" s="22">
        <v>1</v>
      </c>
      <c r="V16" s="22">
        <f t="shared" si="0"/>
        <v>0.9</v>
      </c>
      <c r="W16" s="22">
        <f t="shared" si="1"/>
        <v>0.9</v>
      </c>
      <c r="X16" s="22">
        <f t="shared" si="2"/>
        <v>0.9</v>
      </c>
      <c r="Y16" s="22">
        <f t="shared" si="3"/>
        <v>0.9</v>
      </c>
      <c r="Z16" s="23">
        <v>0</v>
      </c>
      <c r="AA16" s="23">
        <v>250</v>
      </c>
      <c r="AB16" s="23">
        <v>250</v>
      </c>
      <c r="AC16" s="23">
        <v>250</v>
      </c>
      <c r="AD16" s="23">
        <v>250</v>
      </c>
      <c r="AE16" s="23">
        <f t="shared" si="4"/>
        <v>1000</v>
      </c>
      <c r="AF16" s="23">
        <v>250</v>
      </c>
      <c r="AG16" s="23">
        <v>250</v>
      </c>
      <c r="AH16" s="39">
        <v>400</v>
      </c>
      <c r="AI16" s="39">
        <v>0</v>
      </c>
      <c r="AJ16" s="39">
        <f t="shared" si="5"/>
        <v>900</v>
      </c>
      <c r="AK16" s="39">
        <v>250</v>
      </c>
      <c r="AL16" s="39">
        <v>250</v>
      </c>
      <c r="AM16" s="39">
        <v>400</v>
      </c>
      <c r="AN16" s="23">
        <v>0</v>
      </c>
      <c r="AO16" s="23">
        <f t="shared" si="6"/>
        <v>900</v>
      </c>
      <c r="AP16" s="24">
        <v>294209970</v>
      </c>
      <c r="AQ16" s="24">
        <v>312947000</v>
      </c>
      <c r="AR16" s="24">
        <v>316000000</v>
      </c>
      <c r="AS16" s="24">
        <f t="shared" si="9"/>
        <v>0</v>
      </c>
      <c r="AT16" s="24">
        <f t="shared" si="7"/>
        <v>923156970</v>
      </c>
      <c r="AU16" s="24"/>
      <c r="AV16" s="24">
        <v>2000000</v>
      </c>
      <c r="AW16" s="24">
        <v>0</v>
      </c>
      <c r="AX16" s="24">
        <f t="shared" si="10"/>
        <v>0</v>
      </c>
      <c r="AY16" s="24">
        <f t="shared" si="8"/>
        <v>2000000</v>
      </c>
      <c r="AZ16" s="24">
        <f>SUMIF(contratacion2016!A11:A160,MUSI!G16,contratacion2016!AD11:AD160)</f>
        <v>0</v>
      </c>
      <c r="BA16" s="24">
        <f>SUMIF(contratacion2016!A11:A160,MUSI!G16,contratacion2016!AQ11:AQ160)</f>
        <v>0</v>
      </c>
      <c r="BB16" s="24"/>
      <c r="BC16" s="21"/>
    </row>
    <row r="17" spans="1:55" s="33" customFormat="1" x14ac:dyDescent="0.25">
      <c r="A17" s="19">
        <v>3</v>
      </c>
      <c r="B17" s="20" t="s">
        <v>39</v>
      </c>
      <c r="C17" s="19">
        <v>1</v>
      </c>
      <c r="D17" s="20" t="s">
        <v>40</v>
      </c>
      <c r="E17" s="19">
        <v>8</v>
      </c>
      <c r="F17" s="20" t="s">
        <v>119</v>
      </c>
      <c r="G17" s="19">
        <v>116</v>
      </c>
      <c r="H17" s="20" t="s">
        <v>120</v>
      </c>
      <c r="I17" s="19">
        <v>29</v>
      </c>
      <c r="J17" s="20" t="s">
        <v>121</v>
      </c>
      <c r="K17" s="19">
        <v>1161</v>
      </c>
      <c r="L17" s="20" t="s">
        <v>122</v>
      </c>
      <c r="M17" s="19">
        <v>3</v>
      </c>
      <c r="N17" s="20" t="s">
        <v>123</v>
      </c>
      <c r="O17" s="19">
        <v>2</v>
      </c>
      <c r="P17" s="20" t="s">
        <v>124</v>
      </c>
      <c r="Q17" s="20" t="s">
        <v>125</v>
      </c>
      <c r="R17" s="21" t="s">
        <v>126</v>
      </c>
      <c r="S17" s="21" t="s">
        <v>127</v>
      </c>
      <c r="T17" s="23" t="s">
        <v>50</v>
      </c>
      <c r="U17" s="22">
        <v>1</v>
      </c>
      <c r="V17" s="22">
        <f t="shared" si="0"/>
        <v>1.5</v>
      </c>
      <c r="W17" s="22">
        <f t="shared" si="1"/>
        <v>1.5</v>
      </c>
      <c r="X17" s="22">
        <f t="shared" si="2"/>
        <v>1.5</v>
      </c>
      <c r="Y17" s="22">
        <f t="shared" si="3"/>
        <v>1.5</v>
      </c>
      <c r="Z17" s="23">
        <v>0</v>
      </c>
      <c r="AA17" s="23">
        <v>1</v>
      </c>
      <c r="AB17" s="23"/>
      <c r="AC17" s="23">
        <v>1</v>
      </c>
      <c r="AD17" s="23"/>
      <c r="AE17" s="23">
        <f t="shared" si="4"/>
        <v>2</v>
      </c>
      <c r="AF17" s="23">
        <v>1</v>
      </c>
      <c r="AG17" s="23">
        <v>2</v>
      </c>
      <c r="AH17" s="39">
        <v>0</v>
      </c>
      <c r="AI17" s="39">
        <v>0</v>
      </c>
      <c r="AJ17" s="39">
        <f t="shared" si="5"/>
        <v>3</v>
      </c>
      <c r="AK17" s="39">
        <v>1</v>
      </c>
      <c r="AL17" s="39">
        <v>2</v>
      </c>
      <c r="AM17" s="39">
        <v>0</v>
      </c>
      <c r="AN17" s="23">
        <v>0</v>
      </c>
      <c r="AO17" s="23">
        <f t="shared" si="6"/>
        <v>3</v>
      </c>
      <c r="AP17" s="24">
        <v>253216540</v>
      </c>
      <c r="AQ17" s="24">
        <v>163770000</v>
      </c>
      <c r="AR17" s="24">
        <v>16000000</v>
      </c>
      <c r="AS17" s="24">
        <f t="shared" si="9"/>
        <v>0</v>
      </c>
      <c r="AT17" s="24">
        <f t="shared" si="7"/>
        <v>432986540</v>
      </c>
      <c r="AU17" s="24">
        <v>14392540</v>
      </c>
      <c r="AV17" s="24">
        <v>53170000</v>
      </c>
      <c r="AW17" s="24">
        <v>0</v>
      </c>
      <c r="AX17" s="24">
        <f t="shared" si="10"/>
        <v>0</v>
      </c>
      <c r="AY17" s="24">
        <f t="shared" si="8"/>
        <v>67562540</v>
      </c>
      <c r="AZ17" s="24">
        <f>SUMIF(contratacion2016!A12:A161,MUSI!G17,contratacion2016!AD12:AD161)</f>
        <v>0</v>
      </c>
      <c r="BA17" s="24">
        <f>SUMIF(contratacion2016!A12:A161,MUSI!G17,contratacion2016!AQ12:AQ161)</f>
        <v>0</v>
      </c>
      <c r="BB17" s="24"/>
      <c r="BC17" s="31"/>
    </row>
    <row r="18" spans="1:55" s="33" customFormat="1" x14ac:dyDescent="0.25">
      <c r="A18" s="19">
        <v>3</v>
      </c>
      <c r="B18" s="20" t="s">
        <v>39</v>
      </c>
      <c r="C18" s="19">
        <v>1</v>
      </c>
      <c r="D18" s="20" t="s">
        <v>40</v>
      </c>
      <c r="E18" s="19">
        <v>8</v>
      </c>
      <c r="F18" s="20" t="s">
        <v>119</v>
      </c>
      <c r="G18" s="19">
        <v>117</v>
      </c>
      <c r="H18" s="20" t="s">
        <v>128</v>
      </c>
      <c r="I18" s="19">
        <v>23</v>
      </c>
      <c r="J18" s="20" t="s">
        <v>129</v>
      </c>
      <c r="K18" s="19">
        <v>1161</v>
      </c>
      <c r="L18" s="20" t="s">
        <v>122</v>
      </c>
      <c r="M18" s="19">
        <v>1</v>
      </c>
      <c r="N18" s="20" t="s">
        <v>130</v>
      </c>
      <c r="O18" s="19">
        <v>9</v>
      </c>
      <c r="P18" s="20" t="s">
        <v>131</v>
      </c>
      <c r="Q18" s="20" t="s">
        <v>132</v>
      </c>
      <c r="R18" s="21" t="s">
        <v>126</v>
      </c>
      <c r="S18" s="20" t="s">
        <v>133</v>
      </c>
      <c r="T18" s="19" t="s">
        <v>109</v>
      </c>
      <c r="U18" s="22">
        <v>1</v>
      </c>
      <c r="V18" s="22">
        <f t="shared" si="0"/>
        <v>1.0833333333333333</v>
      </c>
      <c r="W18" s="22">
        <f t="shared" si="1"/>
        <v>1.0833333333333333</v>
      </c>
      <c r="X18" s="22">
        <f t="shared" si="2"/>
        <v>0.94444444444444442</v>
      </c>
      <c r="Y18" s="22">
        <f t="shared" si="3"/>
        <v>0.94444444444444442</v>
      </c>
      <c r="Z18" s="19">
        <v>6</v>
      </c>
      <c r="AA18" s="19">
        <v>9</v>
      </c>
      <c r="AB18" s="19">
        <v>9</v>
      </c>
      <c r="AC18" s="19">
        <v>9</v>
      </c>
      <c r="AD18" s="19">
        <v>9</v>
      </c>
      <c r="AE18" s="19">
        <f t="shared" si="4"/>
        <v>9</v>
      </c>
      <c r="AF18" s="19">
        <v>12</v>
      </c>
      <c r="AG18" s="19">
        <v>13</v>
      </c>
      <c r="AH18" s="26">
        <v>8</v>
      </c>
      <c r="AI18" s="26">
        <v>6</v>
      </c>
      <c r="AJ18" s="26">
        <f t="shared" si="5"/>
        <v>9.75</v>
      </c>
      <c r="AK18" s="26">
        <v>12</v>
      </c>
      <c r="AL18" s="26">
        <v>13</v>
      </c>
      <c r="AM18" s="26">
        <v>8</v>
      </c>
      <c r="AN18" s="19">
        <v>1</v>
      </c>
      <c r="AO18" s="19">
        <f t="shared" si="6"/>
        <v>8.5</v>
      </c>
      <c r="AP18" s="24">
        <v>614233685</v>
      </c>
      <c r="AQ18" s="24">
        <v>634919725</v>
      </c>
      <c r="AR18" s="24">
        <v>693708384</v>
      </c>
      <c r="AS18" s="24">
        <f t="shared" si="9"/>
        <v>487863030</v>
      </c>
      <c r="AT18" s="24">
        <f t="shared" si="7"/>
        <v>2430724824</v>
      </c>
      <c r="AU18" s="24">
        <v>126182653</v>
      </c>
      <c r="AV18" s="24">
        <v>93882275</v>
      </c>
      <c r="AW18" s="24">
        <v>190532858</v>
      </c>
      <c r="AX18" s="24">
        <f t="shared" si="10"/>
        <v>0</v>
      </c>
      <c r="AY18" s="24">
        <f t="shared" si="8"/>
        <v>410597786</v>
      </c>
      <c r="AZ18" s="24">
        <f>SUMIF(contratacion2016!A12:A162,MUSI!G18,contratacion2016!AD12:AD162)</f>
        <v>487863030</v>
      </c>
      <c r="BA18" s="24">
        <f>SUMIF(contratacion2016!A12:A162,MUSI!G18,contratacion2016!AQ12:AQ162)</f>
        <v>0</v>
      </c>
      <c r="BB18" s="24"/>
      <c r="BC18" s="31"/>
    </row>
    <row r="19" spans="1:55" s="33" customFormat="1" x14ac:dyDescent="0.25">
      <c r="A19" s="19">
        <v>3</v>
      </c>
      <c r="B19" s="20" t="s">
        <v>39</v>
      </c>
      <c r="C19" s="19">
        <v>1</v>
      </c>
      <c r="D19" s="20" t="s">
        <v>40</v>
      </c>
      <c r="E19" s="19">
        <v>8</v>
      </c>
      <c r="F19" s="20" t="s">
        <v>119</v>
      </c>
      <c r="G19" s="19">
        <v>118</v>
      </c>
      <c r="H19" s="20" t="s">
        <v>134</v>
      </c>
      <c r="I19" s="19">
        <v>32</v>
      </c>
      <c r="J19" s="20" t="s">
        <v>135</v>
      </c>
      <c r="K19" s="19">
        <v>1163</v>
      </c>
      <c r="L19" s="20" t="s">
        <v>136</v>
      </c>
      <c r="M19" s="19">
        <v>1</v>
      </c>
      <c r="N19" s="20" t="s">
        <v>53</v>
      </c>
      <c r="O19" s="19">
        <v>4500</v>
      </c>
      <c r="P19" s="20" t="s">
        <v>61</v>
      </c>
      <c r="Q19" s="20" t="s">
        <v>137</v>
      </c>
      <c r="R19" s="21" t="s">
        <v>126</v>
      </c>
      <c r="S19" s="20" t="s">
        <v>138</v>
      </c>
      <c r="T19" s="19" t="s">
        <v>50</v>
      </c>
      <c r="U19" s="22">
        <v>1</v>
      </c>
      <c r="V19" s="22">
        <f t="shared" si="0"/>
        <v>1.47</v>
      </c>
      <c r="W19" s="22">
        <f t="shared" si="1"/>
        <v>1.47</v>
      </c>
      <c r="X19" s="22">
        <f t="shared" si="2"/>
        <v>1.2177777777777778</v>
      </c>
      <c r="Y19" s="22">
        <f t="shared" si="3"/>
        <v>1.2177777777777778</v>
      </c>
      <c r="Z19" s="19">
        <v>1680</v>
      </c>
      <c r="AA19" s="19">
        <f>4500/4</f>
        <v>1125</v>
      </c>
      <c r="AB19" s="19">
        <f>4500/4</f>
        <v>1125</v>
      </c>
      <c r="AC19" s="19">
        <f>4500/4</f>
        <v>1125</v>
      </c>
      <c r="AD19" s="19">
        <f>4500/4</f>
        <v>1125</v>
      </c>
      <c r="AE19" s="19">
        <f t="shared" si="4"/>
        <v>4500</v>
      </c>
      <c r="AF19" s="19">
        <f>500+450+250+800</f>
        <v>2000</v>
      </c>
      <c r="AG19" s="19">
        <v>2000</v>
      </c>
      <c r="AH19" s="26">
        <v>1480</v>
      </c>
      <c r="AI19" s="26">
        <v>1135</v>
      </c>
      <c r="AJ19" s="26">
        <f t="shared" si="5"/>
        <v>6615</v>
      </c>
      <c r="AK19" s="26">
        <v>2000</v>
      </c>
      <c r="AL19" s="338">
        <v>2000</v>
      </c>
      <c r="AM19" s="26">
        <v>1480</v>
      </c>
      <c r="AN19" s="19">
        <v>0</v>
      </c>
      <c r="AO19" s="19">
        <f t="shared" si="6"/>
        <v>5480</v>
      </c>
      <c r="AP19" s="24">
        <v>544213543</v>
      </c>
      <c r="AQ19" s="24">
        <v>690703293</v>
      </c>
      <c r="AR19" s="24">
        <v>597258335</v>
      </c>
      <c r="AS19" s="24">
        <f t="shared" si="9"/>
        <v>644697339</v>
      </c>
      <c r="AT19" s="24">
        <f t="shared" si="7"/>
        <v>2476872510</v>
      </c>
      <c r="AU19" s="24">
        <v>85062988</v>
      </c>
      <c r="AV19" s="24">
        <v>241468000</v>
      </c>
      <c r="AW19" s="24">
        <v>340679335</v>
      </c>
      <c r="AX19" s="24">
        <f t="shared" si="10"/>
        <v>0</v>
      </c>
      <c r="AY19" s="24">
        <f t="shared" si="8"/>
        <v>667210323</v>
      </c>
      <c r="AZ19" s="24">
        <f>SUMIF(contratacion2016!A12:A163,MUSI!G19,contratacion2016!AD12:AD163)</f>
        <v>644697339</v>
      </c>
      <c r="BA19" s="24">
        <f>SUMIF(contratacion2016!A12:A163,MUSI!G19,contratacion2016!AQ12:AQ163)</f>
        <v>0</v>
      </c>
      <c r="BB19" s="35"/>
      <c r="BC19" s="36"/>
    </row>
    <row r="20" spans="1:55" s="33" customFormat="1" x14ac:dyDescent="0.25">
      <c r="A20" s="19">
        <v>3</v>
      </c>
      <c r="B20" s="20" t="s">
        <v>39</v>
      </c>
      <c r="C20" s="19">
        <v>1</v>
      </c>
      <c r="D20" s="20" t="s">
        <v>40</v>
      </c>
      <c r="E20" s="19">
        <v>8</v>
      </c>
      <c r="F20" s="20" t="s">
        <v>119</v>
      </c>
      <c r="G20" s="19">
        <v>119</v>
      </c>
      <c r="H20" s="20" t="s">
        <v>139</v>
      </c>
      <c r="I20" s="19">
        <v>25</v>
      </c>
      <c r="J20" s="20" t="s">
        <v>140</v>
      </c>
      <c r="K20" s="19">
        <v>1161</v>
      </c>
      <c r="L20" s="20" t="s">
        <v>122</v>
      </c>
      <c r="M20" s="19">
        <v>2</v>
      </c>
      <c r="N20" s="20" t="s">
        <v>53</v>
      </c>
      <c r="O20" s="19">
        <v>350</v>
      </c>
      <c r="P20" s="20" t="s">
        <v>141</v>
      </c>
      <c r="Q20" s="20" t="s">
        <v>142</v>
      </c>
      <c r="R20" s="21" t="s">
        <v>126</v>
      </c>
      <c r="S20" s="20" t="s">
        <v>143</v>
      </c>
      <c r="T20" s="19" t="s">
        <v>109</v>
      </c>
      <c r="U20" s="22">
        <v>1</v>
      </c>
      <c r="V20" s="22">
        <f t="shared" si="0"/>
        <v>0.9464285714285714</v>
      </c>
      <c r="W20" s="22">
        <f t="shared" si="1"/>
        <v>0.9464285714285714</v>
      </c>
      <c r="X20" s="22">
        <f t="shared" si="2"/>
        <v>0.6964285714285714</v>
      </c>
      <c r="Y20" s="22">
        <f t="shared" si="3"/>
        <v>0.6964285714285714</v>
      </c>
      <c r="Z20" s="19"/>
      <c r="AA20" s="19">
        <v>350</v>
      </c>
      <c r="AB20" s="19">
        <v>350</v>
      </c>
      <c r="AC20" s="19">
        <v>350</v>
      </c>
      <c r="AD20" s="19">
        <v>350</v>
      </c>
      <c r="AE20" s="19">
        <f t="shared" si="4"/>
        <v>350</v>
      </c>
      <c r="AF20" s="19">
        <v>475</v>
      </c>
      <c r="AG20" s="19">
        <v>250</v>
      </c>
      <c r="AH20" s="26">
        <v>250</v>
      </c>
      <c r="AI20" s="26">
        <v>350</v>
      </c>
      <c r="AJ20" s="26">
        <f t="shared" si="5"/>
        <v>331.25</v>
      </c>
      <c r="AK20" s="26">
        <v>475</v>
      </c>
      <c r="AL20" s="26">
        <v>250</v>
      </c>
      <c r="AM20" s="26">
        <v>250</v>
      </c>
      <c r="AN20" s="19">
        <v>0</v>
      </c>
      <c r="AO20" s="19">
        <f t="shared" si="6"/>
        <v>243.75</v>
      </c>
      <c r="AP20" s="24">
        <v>488305000</v>
      </c>
      <c r="AQ20" s="24">
        <v>391822500</v>
      </c>
      <c r="AR20" s="24">
        <v>492371000</v>
      </c>
      <c r="AS20" s="24">
        <f t="shared" si="9"/>
        <v>187521521</v>
      </c>
      <c r="AT20" s="24">
        <f t="shared" si="7"/>
        <v>1560020021</v>
      </c>
      <c r="AU20" s="24">
        <v>97125000</v>
      </c>
      <c r="AV20" s="24">
        <v>85480000</v>
      </c>
      <c r="AW20" s="24">
        <v>314512000</v>
      </c>
      <c r="AX20" s="24">
        <f t="shared" si="10"/>
        <v>0</v>
      </c>
      <c r="AY20" s="24">
        <f t="shared" si="8"/>
        <v>497117000</v>
      </c>
      <c r="AZ20" s="24">
        <f>SUMIF(contratacion2016!A12:A164,MUSI!G20,contratacion2016!AD12:AD164)</f>
        <v>187521521</v>
      </c>
      <c r="BA20" s="24">
        <f>SUMIF(contratacion2016!A12:A164,MUSI!G20,contratacion2016!AQ12:AQ164)</f>
        <v>0</v>
      </c>
      <c r="BB20" s="37"/>
      <c r="BC20" s="38"/>
    </row>
    <row r="21" spans="1:55" s="33" customFormat="1" x14ac:dyDescent="0.25">
      <c r="A21" s="19">
        <v>3</v>
      </c>
      <c r="B21" s="20" t="s">
        <v>39</v>
      </c>
      <c r="C21" s="19">
        <v>1</v>
      </c>
      <c r="D21" s="20" t="s">
        <v>40</v>
      </c>
      <c r="E21" s="19">
        <v>8</v>
      </c>
      <c r="F21" s="20" t="s">
        <v>119</v>
      </c>
      <c r="G21" s="19">
        <v>120</v>
      </c>
      <c r="H21" s="20" t="s">
        <v>144</v>
      </c>
      <c r="I21" s="19">
        <v>27</v>
      </c>
      <c r="J21" s="20" t="s">
        <v>145</v>
      </c>
      <c r="K21" s="19">
        <v>1161</v>
      </c>
      <c r="L21" s="20" t="s">
        <v>122</v>
      </c>
      <c r="M21" s="19">
        <v>4</v>
      </c>
      <c r="N21" s="20" t="s">
        <v>45</v>
      </c>
      <c r="O21" s="19">
        <v>4</v>
      </c>
      <c r="P21" s="20" t="s">
        <v>146</v>
      </c>
      <c r="Q21" s="20" t="s">
        <v>147</v>
      </c>
      <c r="R21" s="21" t="s">
        <v>126</v>
      </c>
      <c r="S21" s="21" t="s">
        <v>127</v>
      </c>
      <c r="T21" s="23" t="s">
        <v>50</v>
      </c>
      <c r="U21" s="22">
        <v>1</v>
      </c>
      <c r="V21" s="22">
        <f t="shared" si="0"/>
        <v>0.75</v>
      </c>
      <c r="W21" s="22">
        <f t="shared" si="1"/>
        <v>0.75</v>
      </c>
      <c r="X21" s="22">
        <f t="shared" si="2"/>
        <v>1.5</v>
      </c>
      <c r="Y21" s="22">
        <f t="shared" si="3"/>
        <v>1.5</v>
      </c>
      <c r="Z21" s="23"/>
      <c r="AA21" s="23"/>
      <c r="AB21" s="23">
        <v>1</v>
      </c>
      <c r="AC21" s="23">
        <v>1</v>
      </c>
      <c r="AD21" s="23">
        <v>2</v>
      </c>
      <c r="AE21" s="23">
        <f t="shared" si="4"/>
        <v>4</v>
      </c>
      <c r="AF21" s="23">
        <v>0</v>
      </c>
      <c r="AG21" s="23">
        <v>0</v>
      </c>
      <c r="AH21" s="39">
        <v>3</v>
      </c>
      <c r="AI21" s="39">
        <v>0</v>
      </c>
      <c r="AJ21" s="39">
        <f t="shared" si="5"/>
        <v>3</v>
      </c>
      <c r="AK21" s="39">
        <v>0</v>
      </c>
      <c r="AL21" s="39">
        <v>3</v>
      </c>
      <c r="AM21" s="39">
        <v>3</v>
      </c>
      <c r="AN21" s="23">
        <v>0</v>
      </c>
      <c r="AO21" s="23">
        <f t="shared" si="6"/>
        <v>6</v>
      </c>
      <c r="AP21" s="24">
        <v>0</v>
      </c>
      <c r="AQ21" s="24">
        <v>0</v>
      </c>
      <c r="AR21" s="24">
        <v>62866389</v>
      </c>
      <c r="AS21" s="24">
        <f t="shared" si="9"/>
        <v>0</v>
      </c>
      <c r="AT21" s="24">
        <f t="shared" si="7"/>
        <v>62866389</v>
      </c>
      <c r="AU21" s="24">
        <v>0</v>
      </c>
      <c r="AV21" s="24">
        <v>0</v>
      </c>
      <c r="AW21" s="24">
        <v>62866389</v>
      </c>
      <c r="AX21" s="24">
        <f t="shared" si="10"/>
        <v>0</v>
      </c>
      <c r="AY21" s="24">
        <f t="shared" si="8"/>
        <v>62866389</v>
      </c>
      <c r="AZ21" s="24">
        <f>SUMIF(contratacion2016!A12:A165,MUSI!G21,contratacion2016!AD12:AD165)</f>
        <v>0</v>
      </c>
      <c r="BA21" s="24">
        <f>SUMIF(contratacion2016!A12:A165,MUSI!G21,contratacion2016!AQ12:AQ165)</f>
        <v>0</v>
      </c>
      <c r="BB21" s="24"/>
      <c r="BC21" s="21"/>
    </row>
    <row r="22" spans="1:55" s="33" customFormat="1" x14ac:dyDescent="0.25">
      <c r="A22" s="19">
        <v>3</v>
      </c>
      <c r="B22" s="20" t="s">
        <v>39</v>
      </c>
      <c r="C22" s="19">
        <v>2</v>
      </c>
      <c r="D22" s="20" t="s">
        <v>148</v>
      </c>
      <c r="E22" s="19">
        <v>17</v>
      </c>
      <c r="F22" s="20" t="s">
        <v>149</v>
      </c>
      <c r="G22" s="19">
        <v>121</v>
      </c>
      <c r="H22" s="20" t="s">
        <v>150</v>
      </c>
      <c r="I22" s="19">
        <v>45</v>
      </c>
      <c r="J22" s="20" t="s">
        <v>151</v>
      </c>
      <c r="K22" s="19">
        <v>1165</v>
      </c>
      <c r="L22" s="20" t="s">
        <v>152</v>
      </c>
      <c r="M22" s="19">
        <v>1</v>
      </c>
      <c r="N22" s="20" t="s">
        <v>153</v>
      </c>
      <c r="O22" s="19">
        <v>3</v>
      </c>
      <c r="P22" s="20" t="s">
        <v>154</v>
      </c>
      <c r="Q22" s="20" t="s">
        <v>155</v>
      </c>
      <c r="R22" s="21" t="s">
        <v>156</v>
      </c>
      <c r="S22" s="21" t="s">
        <v>157</v>
      </c>
      <c r="T22" s="23" t="s">
        <v>50</v>
      </c>
      <c r="U22" s="22">
        <v>1</v>
      </c>
      <c r="V22" s="22">
        <f t="shared" si="0"/>
        <v>7.333333333333333</v>
      </c>
      <c r="W22" s="22">
        <f t="shared" si="1"/>
        <v>7.333333333333333</v>
      </c>
      <c r="X22" s="22">
        <f t="shared" si="2"/>
        <v>9.3333333333333339</v>
      </c>
      <c r="Y22" s="22">
        <f t="shared" si="3"/>
        <v>9.3333333333333339</v>
      </c>
      <c r="Z22" s="23">
        <v>0</v>
      </c>
      <c r="AA22" s="23">
        <v>1</v>
      </c>
      <c r="AB22" s="23">
        <v>1</v>
      </c>
      <c r="AC22" s="23">
        <v>1</v>
      </c>
      <c r="AD22" s="23"/>
      <c r="AE22" s="23">
        <f t="shared" si="4"/>
        <v>3</v>
      </c>
      <c r="AF22" s="23">
        <v>5</v>
      </c>
      <c r="AG22" s="23">
        <v>5</v>
      </c>
      <c r="AH22" s="39">
        <v>9</v>
      </c>
      <c r="AI22" s="39">
        <v>3</v>
      </c>
      <c r="AJ22" s="39">
        <f t="shared" si="5"/>
        <v>22</v>
      </c>
      <c r="AK22" s="39">
        <v>5</v>
      </c>
      <c r="AL22" s="39">
        <v>5</v>
      </c>
      <c r="AM22" s="39">
        <v>9</v>
      </c>
      <c r="AN22" s="23">
        <v>9</v>
      </c>
      <c r="AO22" s="23">
        <f t="shared" si="6"/>
        <v>28</v>
      </c>
      <c r="AP22" s="24">
        <v>291269046</v>
      </c>
      <c r="AQ22" s="24">
        <v>137500000</v>
      </c>
      <c r="AR22" s="24">
        <v>262500000</v>
      </c>
      <c r="AS22" s="24">
        <f t="shared" si="9"/>
        <v>209083333</v>
      </c>
      <c r="AT22" s="24">
        <f t="shared" si="7"/>
        <v>900352379</v>
      </c>
      <c r="AU22" s="24"/>
      <c r="AV22" s="24">
        <v>0</v>
      </c>
      <c r="AW22" s="24">
        <v>119646780</v>
      </c>
      <c r="AX22" s="24">
        <f t="shared" si="10"/>
        <v>2083333</v>
      </c>
      <c r="AY22" s="24">
        <f t="shared" si="8"/>
        <v>121730113</v>
      </c>
      <c r="AZ22" s="24">
        <f>SUMIF(contratacion2016!A12:A166,MUSI!G22,contratacion2016!AD12:AD166)</f>
        <v>209083333</v>
      </c>
      <c r="BA22" s="24">
        <f>SUMIF(contratacion2016!A12:A166,MUSI!G22,contratacion2016!AQ12:AQ166)</f>
        <v>2083333</v>
      </c>
      <c r="BB22" s="24"/>
      <c r="BC22" s="21" t="s">
        <v>1676</v>
      </c>
    </row>
    <row r="23" spans="1:55" s="33" customFormat="1" x14ac:dyDescent="0.25">
      <c r="A23" s="19">
        <v>3</v>
      </c>
      <c r="B23" s="20" t="s">
        <v>39</v>
      </c>
      <c r="C23" s="19">
        <v>2</v>
      </c>
      <c r="D23" s="20" t="s">
        <v>148</v>
      </c>
      <c r="E23" s="19">
        <v>17</v>
      </c>
      <c r="F23" s="20" t="s">
        <v>149</v>
      </c>
      <c r="G23" s="19">
        <v>122</v>
      </c>
      <c r="H23" s="20" t="s">
        <v>158</v>
      </c>
      <c r="I23" s="19">
        <v>45</v>
      </c>
      <c r="J23" s="20" t="s">
        <v>151</v>
      </c>
      <c r="K23" s="19">
        <v>1165</v>
      </c>
      <c r="L23" s="20" t="s">
        <v>152</v>
      </c>
      <c r="M23" s="19">
        <v>2</v>
      </c>
      <c r="N23" s="20" t="s">
        <v>153</v>
      </c>
      <c r="O23" s="19">
        <v>25</v>
      </c>
      <c r="P23" s="20" t="s">
        <v>159</v>
      </c>
      <c r="Q23" s="20" t="s">
        <v>160</v>
      </c>
      <c r="R23" s="21" t="s">
        <v>156</v>
      </c>
      <c r="S23" s="21" t="s">
        <v>157</v>
      </c>
      <c r="T23" s="23" t="s">
        <v>50</v>
      </c>
      <c r="U23" s="22">
        <v>1</v>
      </c>
      <c r="V23" s="22">
        <f t="shared" si="0"/>
        <v>1</v>
      </c>
      <c r="W23" s="22">
        <f t="shared" si="1"/>
        <v>1</v>
      </c>
      <c r="X23" s="22">
        <f t="shared" si="2"/>
        <v>0.92</v>
      </c>
      <c r="Y23" s="22">
        <f t="shared" si="3"/>
        <v>0.92</v>
      </c>
      <c r="Z23" s="23">
        <v>3</v>
      </c>
      <c r="AA23" s="23">
        <v>6</v>
      </c>
      <c r="AB23" s="23">
        <v>6</v>
      </c>
      <c r="AC23" s="23">
        <v>6</v>
      </c>
      <c r="AD23" s="23">
        <v>7</v>
      </c>
      <c r="AE23" s="23">
        <f t="shared" si="4"/>
        <v>25</v>
      </c>
      <c r="AF23" s="23">
        <v>10</v>
      </c>
      <c r="AG23" s="23">
        <v>0</v>
      </c>
      <c r="AH23" s="39">
        <v>15</v>
      </c>
      <c r="AI23" s="39">
        <v>0</v>
      </c>
      <c r="AJ23" s="39">
        <f t="shared" si="5"/>
        <v>25</v>
      </c>
      <c r="AK23" s="39">
        <v>8</v>
      </c>
      <c r="AL23" s="39">
        <v>0</v>
      </c>
      <c r="AM23" s="39">
        <v>15</v>
      </c>
      <c r="AN23" s="23">
        <v>0</v>
      </c>
      <c r="AO23" s="23">
        <f t="shared" si="6"/>
        <v>23</v>
      </c>
      <c r="AP23" s="24">
        <v>229200000</v>
      </c>
      <c r="AQ23" s="24">
        <v>0</v>
      </c>
      <c r="AR23" s="24">
        <v>148351743</v>
      </c>
      <c r="AS23" s="24">
        <f t="shared" si="9"/>
        <v>0</v>
      </c>
      <c r="AT23" s="24">
        <f t="shared" si="7"/>
        <v>377551743</v>
      </c>
      <c r="AU23" s="24"/>
      <c r="AV23" s="24">
        <v>0</v>
      </c>
      <c r="AW23" s="24">
        <v>0</v>
      </c>
      <c r="AX23" s="24">
        <f t="shared" si="10"/>
        <v>0</v>
      </c>
      <c r="AY23" s="24">
        <f t="shared" si="8"/>
        <v>0</v>
      </c>
      <c r="AZ23" s="24">
        <f>SUMIF(contratacion2016!A12:A167,MUSI!G23,contratacion2016!AD12:AD167)</f>
        <v>0</v>
      </c>
      <c r="BA23" s="24">
        <f>SUMIF(contratacion2016!A12:A167,MUSI!G23,contratacion2016!AQ12:AQ167)</f>
        <v>0</v>
      </c>
      <c r="BB23" s="24"/>
      <c r="BC23" s="21"/>
    </row>
    <row r="24" spans="1:55" s="33" customFormat="1" x14ac:dyDescent="0.25">
      <c r="A24" s="19">
        <v>3</v>
      </c>
      <c r="B24" s="20" t="s">
        <v>39</v>
      </c>
      <c r="C24" s="19">
        <v>2</v>
      </c>
      <c r="D24" s="20" t="s">
        <v>148</v>
      </c>
      <c r="E24" s="19">
        <v>17</v>
      </c>
      <c r="F24" s="20" t="s">
        <v>149</v>
      </c>
      <c r="G24" s="19">
        <v>123</v>
      </c>
      <c r="H24" s="20" t="s">
        <v>161</v>
      </c>
      <c r="I24" s="19" t="s">
        <v>90</v>
      </c>
      <c r="J24" s="20" t="s">
        <v>91</v>
      </c>
      <c r="K24" s="19">
        <v>1165</v>
      </c>
      <c r="L24" s="20" t="s">
        <v>152</v>
      </c>
      <c r="M24" s="19">
        <v>3</v>
      </c>
      <c r="N24" s="20" t="s">
        <v>153</v>
      </c>
      <c r="O24" s="19">
        <v>10</v>
      </c>
      <c r="P24" s="20" t="s">
        <v>162</v>
      </c>
      <c r="Q24" s="20" t="s">
        <v>163</v>
      </c>
      <c r="R24" s="21" t="s">
        <v>90</v>
      </c>
      <c r="S24" s="21" t="s">
        <v>90</v>
      </c>
      <c r="T24" s="23" t="s">
        <v>50</v>
      </c>
      <c r="U24" s="22">
        <v>1</v>
      </c>
      <c r="V24" s="22">
        <f t="shared" si="0"/>
        <v>2.0499999999999998</v>
      </c>
      <c r="W24" s="22">
        <f t="shared" si="1"/>
        <v>2.0499999999999998</v>
      </c>
      <c r="X24" s="22">
        <f t="shared" si="2"/>
        <v>0.8</v>
      </c>
      <c r="Y24" s="22">
        <f t="shared" si="3"/>
        <v>0.8</v>
      </c>
      <c r="Z24" s="23">
        <v>0</v>
      </c>
      <c r="AA24" s="23">
        <v>2</v>
      </c>
      <c r="AB24" s="23">
        <v>2</v>
      </c>
      <c r="AC24" s="23">
        <v>3</v>
      </c>
      <c r="AD24" s="23">
        <v>3</v>
      </c>
      <c r="AE24" s="23">
        <f t="shared" si="4"/>
        <v>10</v>
      </c>
      <c r="AF24" s="23">
        <v>3</v>
      </c>
      <c r="AG24" s="23">
        <v>2.5</v>
      </c>
      <c r="AH24" s="39">
        <v>2</v>
      </c>
      <c r="AI24" s="39">
        <v>13</v>
      </c>
      <c r="AJ24" s="39">
        <f t="shared" si="5"/>
        <v>20.5</v>
      </c>
      <c r="AK24" s="39">
        <v>3</v>
      </c>
      <c r="AL24" s="39">
        <v>3</v>
      </c>
      <c r="AM24" s="39">
        <v>2</v>
      </c>
      <c r="AN24" s="23">
        <v>0</v>
      </c>
      <c r="AO24" s="23">
        <f t="shared" si="6"/>
        <v>8</v>
      </c>
      <c r="AP24" s="24">
        <v>130500000</v>
      </c>
      <c r="AQ24" s="24">
        <v>134700000</v>
      </c>
      <c r="AR24" s="24">
        <v>208000000</v>
      </c>
      <c r="AS24" s="24">
        <f t="shared" si="9"/>
        <v>190424205</v>
      </c>
      <c r="AT24" s="24">
        <f t="shared" si="7"/>
        <v>663624205</v>
      </c>
      <c r="AU24" s="24"/>
      <c r="AV24" s="24">
        <v>44700000</v>
      </c>
      <c r="AW24" s="24">
        <v>199999976</v>
      </c>
      <c r="AX24" s="24">
        <f t="shared" si="10"/>
        <v>368372</v>
      </c>
      <c r="AY24" s="24">
        <f t="shared" si="8"/>
        <v>245068348</v>
      </c>
      <c r="AZ24" s="24">
        <f>SUMIF(contratacion2016!A13:A168,MUSI!G24,contratacion2016!AD13:AD168)</f>
        <v>190424205</v>
      </c>
      <c r="BA24" s="24">
        <f>SUMIF(contratacion2016!A13:A168,MUSI!G24,contratacion2016!AQ13:AQ168)</f>
        <v>368372</v>
      </c>
      <c r="BB24" s="24"/>
      <c r="BC24" s="21"/>
    </row>
    <row r="25" spans="1:55" s="33" customFormat="1" x14ac:dyDescent="0.25">
      <c r="A25" s="19">
        <v>3</v>
      </c>
      <c r="B25" s="20" t="s">
        <v>39</v>
      </c>
      <c r="C25" s="19">
        <v>2</v>
      </c>
      <c r="D25" s="20" t="s">
        <v>148</v>
      </c>
      <c r="E25" s="19">
        <v>17</v>
      </c>
      <c r="F25" s="20" t="s">
        <v>149</v>
      </c>
      <c r="G25" s="19">
        <v>124</v>
      </c>
      <c r="H25" s="20" t="s">
        <v>164</v>
      </c>
      <c r="I25" s="19">
        <v>41</v>
      </c>
      <c r="J25" s="20" t="s">
        <v>165</v>
      </c>
      <c r="K25" s="19">
        <v>1165</v>
      </c>
      <c r="L25" s="20" t="s">
        <v>152</v>
      </c>
      <c r="M25" s="19">
        <v>4</v>
      </c>
      <c r="N25" s="20" t="s">
        <v>53</v>
      </c>
      <c r="O25" s="19">
        <v>500</v>
      </c>
      <c r="P25" s="20" t="s">
        <v>61</v>
      </c>
      <c r="Q25" s="20" t="s">
        <v>166</v>
      </c>
      <c r="R25" s="21" t="s">
        <v>156</v>
      </c>
      <c r="S25" s="21" t="s">
        <v>157</v>
      </c>
      <c r="T25" s="23" t="s">
        <v>50</v>
      </c>
      <c r="U25" s="22">
        <v>1</v>
      </c>
      <c r="V25" s="22">
        <f t="shared" si="0"/>
        <v>0.25</v>
      </c>
      <c r="W25" s="22">
        <f t="shared" si="1"/>
        <v>0.25</v>
      </c>
      <c r="X25" s="22">
        <f t="shared" si="2"/>
        <v>0.25</v>
      </c>
      <c r="Y25" s="22">
        <f t="shared" si="3"/>
        <v>0.25</v>
      </c>
      <c r="Z25" s="23">
        <v>0</v>
      </c>
      <c r="AA25" s="23">
        <v>125</v>
      </c>
      <c r="AB25" s="23">
        <v>125</v>
      </c>
      <c r="AC25" s="23">
        <v>125</v>
      </c>
      <c r="AD25" s="23">
        <v>125</v>
      </c>
      <c r="AE25" s="23">
        <f t="shared" si="4"/>
        <v>500</v>
      </c>
      <c r="AF25" s="23">
        <v>125</v>
      </c>
      <c r="AG25" s="23">
        <v>0</v>
      </c>
      <c r="AH25" s="39">
        <v>0</v>
      </c>
      <c r="AI25" s="39">
        <v>0</v>
      </c>
      <c r="AJ25" s="39">
        <f t="shared" si="5"/>
        <v>125</v>
      </c>
      <c r="AK25" s="39">
        <v>125</v>
      </c>
      <c r="AL25" s="39">
        <v>0</v>
      </c>
      <c r="AM25" s="39">
        <v>0</v>
      </c>
      <c r="AN25" s="23">
        <v>0</v>
      </c>
      <c r="AO25" s="23">
        <f t="shared" si="6"/>
        <v>125</v>
      </c>
      <c r="AP25" s="24">
        <v>167300000</v>
      </c>
      <c r="AQ25" s="24">
        <v>12000000</v>
      </c>
      <c r="AR25" s="24">
        <v>0</v>
      </c>
      <c r="AS25" s="24">
        <f t="shared" si="9"/>
        <v>0</v>
      </c>
      <c r="AT25" s="24">
        <f t="shared" si="7"/>
        <v>179300000</v>
      </c>
      <c r="AU25" s="24"/>
      <c r="AV25" s="24">
        <v>12000000</v>
      </c>
      <c r="AW25" s="24">
        <v>0</v>
      </c>
      <c r="AX25" s="24">
        <f t="shared" si="10"/>
        <v>0</v>
      </c>
      <c r="AY25" s="24">
        <f t="shared" si="8"/>
        <v>12000000</v>
      </c>
      <c r="AZ25" s="24">
        <f>SUMIF(contratacion2016!A14:A169,MUSI!G25,contratacion2016!AD14:AD169)</f>
        <v>0</v>
      </c>
      <c r="BA25" s="24">
        <f>SUMIF(contratacion2016!A14:A169,MUSI!G25,contratacion2016!AQ14:AQ169)</f>
        <v>0</v>
      </c>
      <c r="BB25" s="24"/>
      <c r="BC25" s="21"/>
    </row>
    <row r="26" spans="1:55" s="33" customFormat="1" x14ac:dyDescent="0.25">
      <c r="A26" s="19">
        <v>3</v>
      </c>
      <c r="B26" s="20" t="s">
        <v>39</v>
      </c>
      <c r="C26" s="19">
        <v>2</v>
      </c>
      <c r="D26" s="20" t="s">
        <v>148</v>
      </c>
      <c r="E26" s="19">
        <v>19</v>
      </c>
      <c r="F26" s="20" t="s">
        <v>167</v>
      </c>
      <c r="G26" s="19">
        <v>125</v>
      </c>
      <c r="H26" s="20" t="s">
        <v>168</v>
      </c>
      <c r="I26" s="19">
        <v>46</v>
      </c>
      <c r="J26" s="20" t="s">
        <v>169</v>
      </c>
      <c r="K26" s="19">
        <v>1168</v>
      </c>
      <c r="L26" s="20" t="s">
        <v>170</v>
      </c>
      <c r="M26" s="19">
        <v>1</v>
      </c>
      <c r="N26" s="20" t="s">
        <v>171</v>
      </c>
      <c r="O26" s="19">
        <v>64</v>
      </c>
      <c r="P26" s="20" t="s">
        <v>172</v>
      </c>
      <c r="Q26" s="20" t="s">
        <v>173</v>
      </c>
      <c r="R26" s="21" t="s">
        <v>174</v>
      </c>
      <c r="S26" s="21" t="s">
        <v>175</v>
      </c>
      <c r="T26" s="23" t="s">
        <v>50</v>
      </c>
      <c r="U26" s="22">
        <v>1</v>
      </c>
      <c r="V26" s="22">
        <f t="shared" si="0"/>
        <v>7.7968750000000003E-2</v>
      </c>
      <c r="W26" s="22">
        <f t="shared" si="1"/>
        <v>7.7968750000000003E-2</v>
      </c>
      <c r="X26" s="22">
        <f t="shared" si="2"/>
        <v>7.8125E-2</v>
      </c>
      <c r="Y26" s="22">
        <f t="shared" si="3"/>
        <v>7.8125E-2</v>
      </c>
      <c r="Z26" s="23"/>
      <c r="AA26" s="23">
        <f>64/4</f>
        <v>16</v>
      </c>
      <c r="AB26" s="23">
        <f>64/4</f>
        <v>16</v>
      </c>
      <c r="AC26" s="23">
        <f>64/4</f>
        <v>16</v>
      </c>
      <c r="AD26" s="23">
        <f>64/4</f>
        <v>16</v>
      </c>
      <c r="AE26" s="23">
        <f t="shared" si="4"/>
        <v>64</v>
      </c>
      <c r="AF26" s="23">
        <v>4.99</v>
      </c>
      <c r="AG26" s="23">
        <v>0</v>
      </c>
      <c r="AH26" s="39">
        <v>0</v>
      </c>
      <c r="AI26" s="39">
        <v>0</v>
      </c>
      <c r="AJ26" s="39">
        <f t="shared" si="5"/>
        <v>4.99</v>
      </c>
      <c r="AK26" s="39">
        <v>5</v>
      </c>
      <c r="AL26" s="39">
        <v>0</v>
      </c>
      <c r="AM26" s="39">
        <v>0</v>
      </c>
      <c r="AN26" s="23">
        <v>0</v>
      </c>
      <c r="AO26" s="23">
        <f t="shared" si="6"/>
        <v>5</v>
      </c>
      <c r="AP26" s="24">
        <v>4620000000</v>
      </c>
      <c r="AQ26" s="24">
        <v>42829428</v>
      </c>
      <c r="AR26" s="24">
        <v>0</v>
      </c>
      <c r="AS26" s="24">
        <f t="shared" si="9"/>
        <v>0</v>
      </c>
      <c r="AT26" s="24">
        <f t="shared" si="7"/>
        <v>4662829428</v>
      </c>
      <c r="AU26" s="24">
        <v>1043000000</v>
      </c>
      <c r="AV26" s="24">
        <v>42829427.399999999</v>
      </c>
      <c r="AW26" s="24">
        <v>0</v>
      </c>
      <c r="AX26" s="24">
        <f t="shared" si="10"/>
        <v>0</v>
      </c>
      <c r="AY26" s="24">
        <f t="shared" si="8"/>
        <v>1085829427.4000001</v>
      </c>
      <c r="AZ26" s="24">
        <f>SUMIF(contratacion2016!A15:A170,MUSI!G26,contratacion2016!AD15:AD170)</f>
        <v>0</v>
      </c>
      <c r="BA26" s="24">
        <f>SUMIF(contratacion2016!A15:A170,MUSI!G26,contratacion2016!AQ15:AQ170)</f>
        <v>0</v>
      </c>
      <c r="BB26" s="24"/>
      <c r="BC26" s="21"/>
    </row>
    <row r="27" spans="1:55" s="33" customFormat="1" x14ac:dyDescent="0.25">
      <c r="A27" s="19">
        <v>3</v>
      </c>
      <c r="B27" s="20" t="s">
        <v>39</v>
      </c>
      <c r="C27" s="19">
        <v>2</v>
      </c>
      <c r="D27" s="20" t="s">
        <v>148</v>
      </c>
      <c r="E27" s="19">
        <v>19</v>
      </c>
      <c r="F27" s="20" t="s">
        <v>167</v>
      </c>
      <c r="G27" s="19">
        <v>126</v>
      </c>
      <c r="H27" s="20" t="s">
        <v>176</v>
      </c>
      <c r="I27" s="19">
        <v>46</v>
      </c>
      <c r="J27" s="20" t="s">
        <v>169</v>
      </c>
      <c r="K27" s="19">
        <v>1168</v>
      </c>
      <c r="L27" s="20" t="s">
        <v>170</v>
      </c>
      <c r="M27" s="19">
        <v>2</v>
      </c>
      <c r="N27" s="20" t="s">
        <v>177</v>
      </c>
      <c r="O27" s="19">
        <v>19</v>
      </c>
      <c r="P27" s="20" t="s">
        <v>172</v>
      </c>
      <c r="Q27" s="20" t="s">
        <v>173</v>
      </c>
      <c r="R27" s="21" t="s">
        <v>174</v>
      </c>
      <c r="S27" s="21" t="s">
        <v>175</v>
      </c>
      <c r="T27" s="23" t="s">
        <v>50</v>
      </c>
      <c r="U27" s="22">
        <v>1</v>
      </c>
      <c r="V27" s="22">
        <f t="shared" si="0"/>
        <v>0.5</v>
      </c>
      <c r="W27" s="22">
        <f t="shared" si="1"/>
        <v>0.5</v>
      </c>
      <c r="X27" s="22">
        <f t="shared" si="2"/>
        <v>0.37368421052631579</v>
      </c>
      <c r="Y27" s="22">
        <f t="shared" si="3"/>
        <v>0.37368421052631579</v>
      </c>
      <c r="Z27" s="23"/>
      <c r="AA27" s="23">
        <v>5</v>
      </c>
      <c r="AB27" s="23">
        <v>5</v>
      </c>
      <c r="AC27" s="23">
        <v>5</v>
      </c>
      <c r="AD27" s="23">
        <v>4</v>
      </c>
      <c r="AE27" s="23">
        <f t="shared" si="4"/>
        <v>19</v>
      </c>
      <c r="AF27" s="39">
        <v>0</v>
      </c>
      <c r="AG27" s="23">
        <v>4</v>
      </c>
      <c r="AH27" s="39">
        <v>2</v>
      </c>
      <c r="AI27" s="39">
        <v>3.5</v>
      </c>
      <c r="AJ27" s="39">
        <f t="shared" si="5"/>
        <v>9.5</v>
      </c>
      <c r="AK27" s="39">
        <v>0</v>
      </c>
      <c r="AL27" s="39">
        <v>4</v>
      </c>
      <c r="AM27" s="39">
        <v>3.1</v>
      </c>
      <c r="AN27" s="23">
        <v>0</v>
      </c>
      <c r="AO27" s="23">
        <f t="shared" si="6"/>
        <v>7.1</v>
      </c>
      <c r="AP27" s="24">
        <v>0</v>
      </c>
      <c r="AQ27" s="24">
        <v>4000000000</v>
      </c>
      <c r="AR27" s="24">
        <v>6124021803</v>
      </c>
      <c r="AS27" s="24">
        <f t="shared" si="9"/>
        <v>7582150000</v>
      </c>
      <c r="AT27" s="24">
        <f t="shared" si="7"/>
        <v>17706171803</v>
      </c>
      <c r="AU27" s="24">
        <v>0</v>
      </c>
      <c r="AV27" s="24">
        <v>1648007395</v>
      </c>
      <c r="AW27" s="24">
        <v>2479501306</v>
      </c>
      <c r="AX27" s="24">
        <f t="shared" si="10"/>
        <v>346956956</v>
      </c>
      <c r="AY27" s="24">
        <f t="shared" si="8"/>
        <v>4474465657</v>
      </c>
      <c r="AZ27" s="24">
        <f>SUMIF(contratacion2016!A15:A171,MUSI!G27,contratacion2016!AD15:AD171)</f>
        <v>7582150000</v>
      </c>
      <c r="BA27" s="24">
        <f>SUMIF(contratacion2016!A15:A171,MUSI!G27,contratacion2016!AQ15:AQ171)</f>
        <v>346956956</v>
      </c>
      <c r="BB27" s="24"/>
      <c r="BC27" s="21"/>
    </row>
    <row r="28" spans="1:55" s="33" customFormat="1" x14ac:dyDescent="0.25">
      <c r="A28" s="19">
        <v>3</v>
      </c>
      <c r="B28" s="20" t="s">
        <v>39</v>
      </c>
      <c r="C28" s="19">
        <v>2</v>
      </c>
      <c r="D28" s="20" t="s">
        <v>148</v>
      </c>
      <c r="E28" s="19">
        <v>19</v>
      </c>
      <c r="F28" s="20" t="s">
        <v>167</v>
      </c>
      <c r="G28" s="19">
        <v>127</v>
      </c>
      <c r="H28" s="20" t="s">
        <v>178</v>
      </c>
      <c r="I28" s="19">
        <v>51</v>
      </c>
      <c r="J28" s="20" t="s">
        <v>179</v>
      </c>
      <c r="K28" s="19">
        <v>1168</v>
      </c>
      <c r="L28" s="20" t="s">
        <v>170</v>
      </c>
      <c r="M28" s="19">
        <v>3</v>
      </c>
      <c r="N28" s="20" t="s">
        <v>171</v>
      </c>
      <c r="O28" s="19">
        <v>12000</v>
      </c>
      <c r="P28" s="20" t="s">
        <v>180</v>
      </c>
      <c r="Q28" s="20" t="s">
        <v>181</v>
      </c>
      <c r="R28" s="21" t="s">
        <v>174</v>
      </c>
      <c r="S28" s="21" t="s">
        <v>182</v>
      </c>
      <c r="T28" s="23" t="s">
        <v>50</v>
      </c>
      <c r="U28" s="22">
        <v>1</v>
      </c>
      <c r="V28" s="22">
        <f t="shared" si="0"/>
        <v>1.33</v>
      </c>
      <c r="W28" s="22">
        <f t="shared" si="1"/>
        <v>1.33</v>
      </c>
      <c r="X28" s="22">
        <f t="shared" si="2"/>
        <v>1.1187499999999999</v>
      </c>
      <c r="Y28" s="22">
        <f t="shared" si="3"/>
        <v>1.1187499999999999</v>
      </c>
      <c r="Z28" s="23"/>
      <c r="AA28" s="23">
        <v>3000</v>
      </c>
      <c r="AB28" s="23">
        <v>3000</v>
      </c>
      <c r="AC28" s="23">
        <v>3000</v>
      </c>
      <c r="AD28" s="23">
        <v>3000</v>
      </c>
      <c r="AE28" s="23">
        <f t="shared" si="4"/>
        <v>12000</v>
      </c>
      <c r="AF28" s="23">
        <v>1191</v>
      </c>
      <c r="AG28" s="23">
        <v>5600</v>
      </c>
      <c r="AH28" s="39">
        <v>2169</v>
      </c>
      <c r="AI28" s="39">
        <v>7000</v>
      </c>
      <c r="AJ28" s="39">
        <f t="shared" si="5"/>
        <v>15960</v>
      </c>
      <c r="AK28" s="39">
        <v>5656</v>
      </c>
      <c r="AL28" s="39">
        <v>5600</v>
      </c>
      <c r="AM28" s="39">
        <v>2169</v>
      </c>
      <c r="AN28" s="23">
        <v>0</v>
      </c>
      <c r="AO28" s="23">
        <f t="shared" si="6"/>
        <v>13425</v>
      </c>
      <c r="AP28" s="24">
        <v>1767304000</v>
      </c>
      <c r="AQ28" s="24">
        <v>4573579496</v>
      </c>
      <c r="AR28" s="24">
        <v>1392961107</v>
      </c>
      <c r="AS28" s="24">
        <f t="shared" si="9"/>
        <v>1276383257</v>
      </c>
      <c r="AT28" s="24">
        <f t="shared" si="7"/>
        <v>9010227860</v>
      </c>
      <c r="AU28" s="24">
        <v>934825822</v>
      </c>
      <c r="AV28" s="24">
        <v>1771771445</v>
      </c>
      <c r="AW28" s="24">
        <v>653197810</v>
      </c>
      <c r="AX28" s="24">
        <f t="shared" si="10"/>
        <v>0</v>
      </c>
      <c r="AY28" s="24">
        <f t="shared" si="8"/>
        <v>3359795077</v>
      </c>
      <c r="AZ28" s="24">
        <f>SUMIF(contratacion2016!A15:A172,MUSI!G28,contratacion2016!AD15:AD172)</f>
        <v>1276383257</v>
      </c>
      <c r="BA28" s="24">
        <f>SUMIF(contratacion2016!A15:A172,MUSI!G28,contratacion2016!AQ15:AQ172)</f>
        <v>0</v>
      </c>
      <c r="BB28" s="24"/>
      <c r="BC28" s="31"/>
    </row>
    <row r="29" spans="1:55" s="33" customFormat="1" x14ac:dyDescent="0.25">
      <c r="A29" s="19">
        <v>3</v>
      </c>
      <c r="B29" s="20" t="s">
        <v>39</v>
      </c>
      <c r="C29" s="19">
        <v>2</v>
      </c>
      <c r="D29" s="20" t="s">
        <v>148</v>
      </c>
      <c r="E29" s="19">
        <v>20</v>
      </c>
      <c r="F29" s="20" t="s">
        <v>183</v>
      </c>
      <c r="G29" s="19">
        <v>128</v>
      </c>
      <c r="H29" s="20" t="s">
        <v>184</v>
      </c>
      <c r="I29" s="19">
        <v>55</v>
      </c>
      <c r="J29" s="20" t="s">
        <v>185</v>
      </c>
      <c r="K29" s="19">
        <v>1170</v>
      </c>
      <c r="L29" s="20" t="s">
        <v>186</v>
      </c>
      <c r="M29" s="19">
        <v>1</v>
      </c>
      <c r="N29" s="20" t="s">
        <v>53</v>
      </c>
      <c r="O29" s="19">
        <v>400</v>
      </c>
      <c r="P29" s="20" t="s">
        <v>61</v>
      </c>
      <c r="Q29" s="20" t="s">
        <v>187</v>
      </c>
      <c r="R29" s="21" t="s">
        <v>156</v>
      </c>
      <c r="S29" s="21" t="s">
        <v>188</v>
      </c>
      <c r="T29" s="19" t="s">
        <v>50</v>
      </c>
      <c r="U29" s="22">
        <v>1</v>
      </c>
      <c r="V29" s="22">
        <f t="shared" si="0"/>
        <v>1</v>
      </c>
      <c r="W29" s="22">
        <f t="shared" si="1"/>
        <v>1</v>
      </c>
      <c r="X29" s="22">
        <f t="shared" si="2"/>
        <v>0.5</v>
      </c>
      <c r="Y29" s="22">
        <f t="shared" si="3"/>
        <v>0.5</v>
      </c>
      <c r="Z29" s="23"/>
      <c r="AA29" s="23">
        <v>100</v>
      </c>
      <c r="AB29" s="23">
        <v>100</v>
      </c>
      <c r="AC29" s="23">
        <v>100</v>
      </c>
      <c r="AD29" s="23">
        <v>100</v>
      </c>
      <c r="AE29" s="23">
        <f t="shared" si="4"/>
        <v>400</v>
      </c>
      <c r="AF29" s="23">
        <v>100</v>
      </c>
      <c r="AG29" s="23">
        <v>100</v>
      </c>
      <c r="AH29" s="39">
        <v>0</v>
      </c>
      <c r="AI29" s="39">
        <v>200</v>
      </c>
      <c r="AJ29" s="39">
        <f t="shared" si="5"/>
        <v>400</v>
      </c>
      <c r="AK29" s="39">
        <v>100</v>
      </c>
      <c r="AL29" s="39">
        <v>100</v>
      </c>
      <c r="AM29" s="39">
        <v>0</v>
      </c>
      <c r="AN29" s="23">
        <v>0</v>
      </c>
      <c r="AO29" s="23">
        <f t="shared" si="6"/>
        <v>200</v>
      </c>
      <c r="AP29" s="24">
        <v>2905927335</v>
      </c>
      <c r="AQ29" s="24">
        <v>1149677110</v>
      </c>
      <c r="AR29" s="24">
        <v>3320000</v>
      </c>
      <c r="AS29" s="24">
        <f t="shared" si="9"/>
        <v>16974000</v>
      </c>
      <c r="AT29" s="24">
        <f t="shared" si="7"/>
        <v>4075898445</v>
      </c>
      <c r="AU29" s="24">
        <v>2813927335</v>
      </c>
      <c r="AV29" s="24">
        <v>1044120000</v>
      </c>
      <c r="AW29" s="24">
        <v>3320000</v>
      </c>
      <c r="AX29" s="24">
        <f t="shared" si="10"/>
        <v>0</v>
      </c>
      <c r="AY29" s="24">
        <f t="shared" si="8"/>
        <v>3861367335</v>
      </c>
      <c r="AZ29" s="24">
        <f>SUMIF(contratacion2016!A15:A173,MUSI!G29,contratacion2016!AD15:AD173)</f>
        <v>16974000</v>
      </c>
      <c r="BA29" s="24">
        <f>SUMIF(contratacion2016!A15:A173,MUSI!G29,contratacion2016!AQ15:AQ173)</f>
        <v>0</v>
      </c>
      <c r="BB29" s="24"/>
      <c r="BC29" s="31"/>
    </row>
    <row r="30" spans="1:55" s="33" customFormat="1" x14ac:dyDescent="0.25">
      <c r="A30" s="19">
        <v>3</v>
      </c>
      <c r="B30" s="20" t="s">
        <v>39</v>
      </c>
      <c r="C30" s="19">
        <v>2</v>
      </c>
      <c r="D30" s="20" t="s">
        <v>148</v>
      </c>
      <c r="E30" s="19">
        <v>20</v>
      </c>
      <c r="F30" s="20" t="s">
        <v>183</v>
      </c>
      <c r="G30" s="19">
        <v>129</v>
      </c>
      <c r="H30" s="20" t="s">
        <v>189</v>
      </c>
      <c r="I30" s="19">
        <v>56</v>
      </c>
      <c r="J30" s="20" t="s">
        <v>190</v>
      </c>
      <c r="K30" s="19">
        <v>1170</v>
      </c>
      <c r="L30" s="20" t="s">
        <v>186</v>
      </c>
      <c r="M30" s="19">
        <v>2</v>
      </c>
      <c r="N30" s="20" t="s">
        <v>130</v>
      </c>
      <c r="O30" s="19">
        <v>1</v>
      </c>
      <c r="P30" s="20" t="s">
        <v>191</v>
      </c>
      <c r="Q30" s="20" t="s">
        <v>192</v>
      </c>
      <c r="R30" s="21" t="s">
        <v>156</v>
      </c>
      <c r="S30" s="21" t="s">
        <v>188</v>
      </c>
      <c r="T30" s="23" t="s">
        <v>50</v>
      </c>
      <c r="U30" s="22">
        <v>1</v>
      </c>
      <c r="V30" s="22">
        <f t="shared" si="0"/>
        <v>3.5</v>
      </c>
      <c r="W30" s="22">
        <f t="shared" si="1"/>
        <v>3.5</v>
      </c>
      <c r="X30" s="22">
        <f t="shared" si="2"/>
        <v>2.5</v>
      </c>
      <c r="Y30" s="22">
        <f t="shared" si="3"/>
        <v>2.5</v>
      </c>
      <c r="Z30" s="23">
        <v>1</v>
      </c>
      <c r="AA30" s="23"/>
      <c r="AB30" s="40">
        <v>0.5</v>
      </c>
      <c r="AC30" s="40">
        <v>0.5</v>
      </c>
      <c r="AD30" s="23"/>
      <c r="AE30" s="23">
        <f t="shared" si="4"/>
        <v>1</v>
      </c>
      <c r="AF30" s="23">
        <v>0.5</v>
      </c>
      <c r="AG30" s="23">
        <v>1</v>
      </c>
      <c r="AH30" s="39">
        <v>1</v>
      </c>
      <c r="AI30" s="39">
        <v>1</v>
      </c>
      <c r="AJ30" s="39">
        <f t="shared" si="5"/>
        <v>3.5</v>
      </c>
      <c r="AK30" s="39">
        <v>0.5</v>
      </c>
      <c r="AL30" s="337">
        <v>1</v>
      </c>
      <c r="AM30" s="39">
        <v>1</v>
      </c>
      <c r="AN30" s="23">
        <v>0</v>
      </c>
      <c r="AO30" s="23">
        <f t="shared" si="6"/>
        <v>2.5</v>
      </c>
      <c r="AP30" s="24">
        <v>9879488</v>
      </c>
      <c r="AQ30" s="24">
        <v>14380725</v>
      </c>
      <c r="AR30" s="24">
        <v>21513000</v>
      </c>
      <c r="AS30" s="24">
        <f t="shared" si="9"/>
        <v>17779931</v>
      </c>
      <c r="AT30" s="24">
        <f t="shared" si="7"/>
        <v>63553144</v>
      </c>
      <c r="AU30" s="24">
        <v>0</v>
      </c>
      <c r="AV30" s="24">
        <v>0</v>
      </c>
      <c r="AW30" s="24">
        <v>17978227</v>
      </c>
      <c r="AX30" s="24">
        <f t="shared" si="10"/>
        <v>0</v>
      </c>
      <c r="AY30" s="24">
        <f t="shared" si="8"/>
        <v>17978227</v>
      </c>
      <c r="AZ30" s="24">
        <f>SUMIF(contratacion2016!A15:A174,MUSI!G30,contratacion2016!AD15:AD174)</f>
        <v>17779931</v>
      </c>
      <c r="BA30" s="24">
        <f>SUMIF(contratacion2016!A15:A174,MUSI!G30,contratacion2016!AQ15:AQ174)</f>
        <v>0</v>
      </c>
      <c r="BB30" s="24"/>
      <c r="BC30" s="21"/>
    </row>
    <row r="31" spans="1:55" s="25" customFormat="1" ht="13.5" customHeight="1" x14ac:dyDescent="0.25">
      <c r="A31" s="19">
        <v>3</v>
      </c>
      <c r="B31" s="20" t="s">
        <v>39</v>
      </c>
      <c r="C31" s="19">
        <v>2</v>
      </c>
      <c r="D31" s="20" t="s">
        <v>148</v>
      </c>
      <c r="E31" s="19">
        <v>21</v>
      </c>
      <c r="F31" s="20" t="s">
        <v>193</v>
      </c>
      <c r="G31" s="19">
        <v>130</v>
      </c>
      <c r="H31" s="20" t="s">
        <v>194</v>
      </c>
      <c r="I31" s="19">
        <v>57</v>
      </c>
      <c r="J31" s="20" t="s">
        <v>195</v>
      </c>
      <c r="K31" s="19">
        <v>1172</v>
      </c>
      <c r="L31" s="20" t="s">
        <v>196</v>
      </c>
      <c r="M31" s="19">
        <v>1</v>
      </c>
      <c r="N31" s="20" t="s">
        <v>53</v>
      </c>
      <c r="O31" s="19">
        <v>400</v>
      </c>
      <c r="P31" s="20" t="s">
        <v>61</v>
      </c>
      <c r="Q31" s="20" t="s">
        <v>197</v>
      </c>
      <c r="R31" s="21" t="s">
        <v>198</v>
      </c>
      <c r="S31" s="21" t="s">
        <v>199</v>
      </c>
      <c r="T31" s="23" t="s">
        <v>50</v>
      </c>
      <c r="U31" s="22">
        <v>1</v>
      </c>
      <c r="V31" s="22">
        <f t="shared" si="0"/>
        <v>3.125</v>
      </c>
      <c r="W31" s="22">
        <f t="shared" si="1"/>
        <v>3.125</v>
      </c>
      <c r="X31" s="22">
        <f t="shared" si="2"/>
        <v>1</v>
      </c>
      <c r="Y31" s="22">
        <f t="shared" si="3"/>
        <v>1</v>
      </c>
      <c r="Z31" s="23">
        <v>50</v>
      </c>
      <c r="AA31" s="23">
        <v>100</v>
      </c>
      <c r="AB31" s="23">
        <v>100</v>
      </c>
      <c r="AC31" s="23">
        <v>100</v>
      </c>
      <c r="AD31" s="23">
        <v>100</v>
      </c>
      <c r="AE31" s="23">
        <f t="shared" si="4"/>
        <v>400</v>
      </c>
      <c r="AF31" s="23">
        <v>100</v>
      </c>
      <c r="AG31" s="23">
        <v>100</v>
      </c>
      <c r="AH31" s="39">
        <v>150</v>
      </c>
      <c r="AI31" s="39">
        <v>900</v>
      </c>
      <c r="AJ31" s="39">
        <f t="shared" si="5"/>
        <v>1250</v>
      </c>
      <c r="AK31" s="39">
        <v>100</v>
      </c>
      <c r="AL31" s="337">
        <v>100</v>
      </c>
      <c r="AM31" s="39">
        <v>200</v>
      </c>
      <c r="AN31" s="23">
        <v>0</v>
      </c>
      <c r="AO31" s="23">
        <f t="shared" si="6"/>
        <v>400</v>
      </c>
      <c r="AP31" s="24">
        <v>128815800</v>
      </c>
      <c r="AQ31" s="24">
        <v>147440000</v>
      </c>
      <c r="AR31" s="24">
        <v>70663102</v>
      </c>
      <c r="AS31" s="24">
        <f t="shared" si="9"/>
        <v>120000000</v>
      </c>
      <c r="AT31" s="24">
        <f t="shared" si="7"/>
        <v>466918902</v>
      </c>
      <c r="AU31" s="24"/>
      <c r="AV31" s="24">
        <v>0</v>
      </c>
      <c r="AW31" s="24">
        <v>30773828</v>
      </c>
      <c r="AX31" s="24">
        <f t="shared" si="10"/>
        <v>0</v>
      </c>
      <c r="AY31" s="24">
        <f t="shared" si="8"/>
        <v>30773828</v>
      </c>
      <c r="AZ31" s="24">
        <f>SUMIF(contratacion2016!A16:A175,MUSI!G31,contratacion2016!AD16:AD175)</f>
        <v>120000000</v>
      </c>
      <c r="BA31" s="24">
        <f>SUMIF(contratacion2016!A16:A175,MUSI!G31,contratacion2016!AQ16:AQ175)</f>
        <v>0</v>
      </c>
      <c r="BB31" s="24"/>
      <c r="BC31" s="21"/>
    </row>
    <row r="32" spans="1:55" s="25" customFormat="1" x14ac:dyDescent="0.25">
      <c r="A32" s="19">
        <v>3</v>
      </c>
      <c r="B32" s="20" t="s">
        <v>39</v>
      </c>
      <c r="C32" s="19">
        <v>2</v>
      </c>
      <c r="D32" s="20" t="s">
        <v>148</v>
      </c>
      <c r="E32" s="19">
        <v>22</v>
      </c>
      <c r="F32" s="20" t="s">
        <v>200</v>
      </c>
      <c r="G32" s="19">
        <v>131</v>
      </c>
      <c r="H32" s="20" t="s">
        <v>201</v>
      </c>
      <c r="I32" s="19">
        <v>41</v>
      </c>
      <c r="J32" s="20" t="s">
        <v>165</v>
      </c>
      <c r="K32" s="19">
        <v>1174</v>
      </c>
      <c r="L32" s="20" t="s">
        <v>202</v>
      </c>
      <c r="M32" s="19">
        <v>1</v>
      </c>
      <c r="N32" s="20" t="s">
        <v>53</v>
      </c>
      <c r="O32" s="19">
        <v>160</v>
      </c>
      <c r="P32" s="20" t="s">
        <v>61</v>
      </c>
      <c r="Q32" s="20" t="s">
        <v>203</v>
      </c>
      <c r="R32" s="21" t="s">
        <v>156</v>
      </c>
      <c r="S32" s="21" t="s">
        <v>157</v>
      </c>
      <c r="T32" s="23" t="s">
        <v>50</v>
      </c>
      <c r="U32" s="22">
        <v>1</v>
      </c>
      <c r="V32" s="22">
        <f t="shared" si="0"/>
        <v>0.5</v>
      </c>
      <c r="W32" s="22">
        <f t="shared" si="1"/>
        <v>0.5</v>
      </c>
      <c r="X32" s="22">
        <f t="shared" si="2"/>
        <v>3.125</v>
      </c>
      <c r="Y32" s="22">
        <f t="shared" si="3"/>
        <v>3.125</v>
      </c>
      <c r="Z32" s="23">
        <v>0</v>
      </c>
      <c r="AA32" s="23">
        <v>40</v>
      </c>
      <c r="AB32" s="23">
        <v>40</v>
      </c>
      <c r="AC32" s="23">
        <v>40</v>
      </c>
      <c r="AD32" s="23">
        <v>40</v>
      </c>
      <c r="AE32" s="23">
        <f t="shared" si="4"/>
        <v>160</v>
      </c>
      <c r="AF32" s="23">
        <v>80</v>
      </c>
      <c r="AG32" s="23">
        <v>0</v>
      </c>
      <c r="AH32" s="39">
        <v>0</v>
      </c>
      <c r="AI32" s="39">
        <v>0</v>
      </c>
      <c r="AJ32" s="39">
        <f t="shared" si="5"/>
        <v>80</v>
      </c>
      <c r="AK32" s="39">
        <v>500</v>
      </c>
      <c r="AL32" s="337">
        <v>0</v>
      </c>
      <c r="AM32" s="39">
        <v>0</v>
      </c>
      <c r="AN32" s="23">
        <v>0</v>
      </c>
      <c r="AO32" s="23">
        <f t="shared" si="6"/>
        <v>500</v>
      </c>
      <c r="AP32" s="24">
        <v>183500000</v>
      </c>
      <c r="AQ32" s="24">
        <v>0</v>
      </c>
      <c r="AR32" s="24">
        <v>0</v>
      </c>
      <c r="AS32" s="24">
        <f t="shared" si="9"/>
        <v>0</v>
      </c>
      <c r="AT32" s="24">
        <f t="shared" si="7"/>
        <v>183500000</v>
      </c>
      <c r="AU32" s="24"/>
      <c r="AV32" s="24">
        <v>0</v>
      </c>
      <c r="AW32" s="24">
        <v>0</v>
      </c>
      <c r="AX32" s="24">
        <f t="shared" si="10"/>
        <v>0</v>
      </c>
      <c r="AY32" s="24">
        <f t="shared" si="8"/>
        <v>0</v>
      </c>
      <c r="AZ32" s="24">
        <f>SUMIF(contratacion2016!A17:A176,MUSI!G32,contratacion2016!AD17:AD176)</f>
        <v>0</v>
      </c>
      <c r="BA32" s="24">
        <f>SUMIF(contratacion2016!A17:A176,MUSI!G32,contratacion2016!AQ17:AQ176)</f>
        <v>0</v>
      </c>
      <c r="BB32" s="24"/>
      <c r="BC32" s="21"/>
    </row>
    <row r="33" spans="1:55" s="68" customFormat="1" x14ac:dyDescent="0.25">
      <c r="A33" s="19">
        <v>3</v>
      </c>
      <c r="B33" s="20" t="s">
        <v>39</v>
      </c>
      <c r="C33" s="19">
        <v>3</v>
      </c>
      <c r="D33" s="20" t="s">
        <v>204</v>
      </c>
      <c r="E33" s="19">
        <v>24</v>
      </c>
      <c r="F33" s="20" t="s">
        <v>205</v>
      </c>
      <c r="G33" s="19">
        <v>132</v>
      </c>
      <c r="H33" s="20" t="s">
        <v>206</v>
      </c>
      <c r="I33" s="19">
        <v>61</v>
      </c>
      <c r="J33" s="20" t="s">
        <v>207</v>
      </c>
      <c r="K33" s="19">
        <v>1177</v>
      </c>
      <c r="L33" s="20" t="s">
        <v>208</v>
      </c>
      <c r="M33" s="19">
        <v>1</v>
      </c>
      <c r="N33" s="20" t="s">
        <v>53</v>
      </c>
      <c r="O33" s="19">
        <v>600</v>
      </c>
      <c r="P33" s="20" t="s">
        <v>61</v>
      </c>
      <c r="Q33" s="20" t="s">
        <v>209</v>
      </c>
      <c r="R33" s="21" t="s">
        <v>115</v>
      </c>
      <c r="S33" s="21" t="s">
        <v>100</v>
      </c>
      <c r="T33" s="23" t="s">
        <v>50</v>
      </c>
      <c r="U33" s="22">
        <v>1</v>
      </c>
      <c r="V33" s="22">
        <f t="shared" si="0"/>
        <v>0.25</v>
      </c>
      <c r="W33" s="22">
        <f t="shared" si="1"/>
        <v>0.25</v>
      </c>
      <c r="X33" s="22">
        <f t="shared" si="2"/>
        <v>0.25</v>
      </c>
      <c r="Y33" s="22">
        <f t="shared" si="3"/>
        <v>0.25</v>
      </c>
      <c r="Z33" s="23">
        <v>900</v>
      </c>
      <c r="AA33" s="23">
        <v>150</v>
      </c>
      <c r="AB33" s="23">
        <v>150</v>
      </c>
      <c r="AC33" s="23">
        <v>150</v>
      </c>
      <c r="AD33" s="23">
        <v>150</v>
      </c>
      <c r="AE33" s="23">
        <f t="shared" si="4"/>
        <v>600</v>
      </c>
      <c r="AF33" s="23">
        <v>0</v>
      </c>
      <c r="AG33" s="23">
        <v>150</v>
      </c>
      <c r="AH33" s="39">
        <v>0</v>
      </c>
      <c r="AI33" s="39">
        <v>0</v>
      </c>
      <c r="AJ33" s="39">
        <f t="shared" si="5"/>
        <v>150</v>
      </c>
      <c r="AK33" s="39">
        <v>0</v>
      </c>
      <c r="AL33" s="39">
        <v>150</v>
      </c>
      <c r="AM33" s="39">
        <v>0</v>
      </c>
      <c r="AN33" s="23">
        <v>0</v>
      </c>
      <c r="AO33" s="23">
        <f t="shared" si="6"/>
        <v>150</v>
      </c>
      <c r="AP33" s="24">
        <v>0</v>
      </c>
      <c r="AQ33" s="24">
        <v>21550000</v>
      </c>
      <c r="AR33" s="24">
        <v>0</v>
      </c>
      <c r="AS33" s="24">
        <f t="shared" si="9"/>
        <v>0</v>
      </c>
      <c r="AT33" s="24">
        <f t="shared" si="7"/>
        <v>21550000</v>
      </c>
      <c r="AU33" s="24"/>
      <c r="AV33" s="24">
        <v>0</v>
      </c>
      <c r="AW33" s="24">
        <v>0</v>
      </c>
      <c r="AX33" s="24">
        <f t="shared" si="10"/>
        <v>0</v>
      </c>
      <c r="AY33" s="24">
        <f t="shared" si="8"/>
        <v>0</v>
      </c>
      <c r="AZ33" s="24">
        <f>SUMIF(contratacion2016!A18:A177,MUSI!G33,contratacion2016!AD18:AD177)</f>
        <v>0</v>
      </c>
      <c r="BA33" s="24">
        <f>SUMIF(contratacion2016!A18:A177,MUSI!G33,contratacion2016!AQ18:AQ177)</f>
        <v>0</v>
      </c>
      <c r="BB33" s="24"/>
      <c r="BC33" s="21"/>
    </row>
    <row r="34" spans="1:55" s="25" customFormat="1" x14ac:dyDescent="0.25">
      <c r="A34" s="19">
        <v>3</v>
      </c>
      <c r="B34" s="20" t="s">
        <v>39</v>
      </c>
      <c r="C34" s="19">
        <v>3</v>
      </c>
      <c r="D34" s="20" t="s">
        <v>204</v>
      </c>
      <c r="E34" s="19">
        <v>24</v>
      </c>
      <c r="F34" s="20" t="s">
        <v>205</v>
      </c>
      <c r="G34" s="19">
        <v>133</v>
      </c>
      <c r="H34" s="20" t="s">
        <v>210</v>
      </c>
      <c r="I34" s="19">
        <v>65</v>
      </c>
      <c r="J34" s="20" t="s">
        <v>211</v>
      </c>
      <c r="K34" s="19">
        <v>1177</v>
      </c>
      <c r="L34" s="20" t="s">
        <v>208</v>
      </c>
      <c r="M34" s="19">
        <v>2</v>
      </c>
      <c r="N34" s="20" t="s">
        <v>212</v>
      </c>
      <c r="O34" s="19">
        <v>60</v>
      </c>
      <c r="P34" s="20" t="s">
        <v>213</v>
      </c>
      <c r="Q34" s="20" t="s">
        <v>214</v>
      </c>
      <c r="R34" s="21" t="s">
        <v>115</v>
      </c>
      <c r="S34" s="21" t="s">
        <v>100</v>
      </c>
      <c r="T34" s="23" t="s">
        <v>50</v>
      </c>
      <c r="U34" s="22">
        <v>1</v>
      </c>
      <c r="V34" s="22">
        <f t="shared" si="0"/>
        <v>1.3333333333333333</v>
      </c>
      <c r="W34" s="22">
        <f t="shared" si="1"/>
        <v>1.3333333333333333</v>
      </c>
      <c r="X34" s="22">
        <f t="shared" si="2"/>
        <v>1.3333333333333333</v>
      </c>
      <c r="Y34" s="22">
        <f t="shared" si="3"/>
        <v>1.3333333333333333</v>
      </c>
      <c r="Z34" s="23"/>
      <c r="AA34" s="23">
        <v>15</v>
      </c>
      <c r="AB34" s="23">
        <v>15</v>
      </c>
      <c r="AC34" s="23">
        <v>15</v>
      </c>
      <c r="AD34" s="23">
        <v>15</v>
      </c>
      <c r="AE34" s="23">
        <f t="shared" si="4"/>
        <v>60</v>
      </c>
      <c r="AF34" s="23">
        <v>15</v>
      </c>
      <c r="AG34" s="23">
        <v>0</v>
      </c>
      <c r="AH34" s="39">
        <f>15+50</f>
        <v>65</v>
      </c>
      <c r="AI34" s="39">
        <v>0</v>
      </c>
      <c r="AJ34" s="39">
        <f t="shared" si="5"/>
        <v>80</v>
      </c>
      <c r="AK34" s="39">
        <v>15</v>
      </c>
      <c r="AL34" s="337">
        <v>0</v>
      </c>
      <c r="AM34" s="337">
        <v>65</v>
      </c>
      <c r="AN34" s="23">
        <v>0</v>
      </c>
      <c r="AO34" s="23">
        <f t="shared" si="6"/>
        <v>80</v>
      </c>
      <c r="AP34" s="24">
        <v>197393500</v>
      </c>
      <c r="AQ34" s="24">
        <v>54219000</v>
      </c>
      <c r="AR34" s="24">
        <v>258185500</v>
      </c>
      <c r="AS34" s="24">
        <f t="shared" si="9"/>
        <v>0</v>
      </c>
      <c r="AT34" s="24">
        <f t="shared" si="7"/>
        <v>509798000</v>
      </c>
      <c r="AU34" s="24">
        <v>612500</v>
      </c>
      <c r="AV34" s="24">
        <v>0</v>
      </c>
      <c r="AW34" s="24">
        <v>13097500</v>
      </c>
      <c r="AX34" s="24">
        <f t="shared" si="10"/>
        <v>0</v>
      </c>
      <c r="AY34" s="24">
        <f t="shared" si="8"/>
        <v>13710000</v>
      </c>
      <c r="AZ34" s="24">
        <f>SUMIF(contratacion2016!A18:A178,MUSI!G34,contratacion2016!AD18:AD178)</f>
        <v>0</v>
      </c>
      <c r="BA34" s="24">
        <f>SUMIF(contratacion2016!A18:A178,MUSI!G34,contratacion2016!AQ18:AQ178)</f>
        <v>0</v>
      </c>
      <c r="BB34" s="24"/>
      <c r="BC34" s="21"/>
    </row>
    <row r="35" spans="1:55" s="25" customFormat="1" x14ac:dyDescent="0.25">
      <c r="A35" s="19">
        <v>3</v>
      </c>
      <c r="B35" s="20" t="s">
        <v>39</v>
      </c>
      <c r="C35" s="19">
        <v>3</v>
      </c>
      <c r="D35" s="20" t="s">
        <v>204</v>
      </c>
      <c r="E35" s="19">
        <v>24</v>
      </c>
      <c r="F35" s="20" t="s">
        <v>205</v>
      </c>
      <c r="G35" s="19">
        <v>134</v>
      </c>
      <c r="H35" s="20" t="s">
        <v>215</v>
      </c>
      <c r="I35" s="19">
        <v>63</v>
      </c>
      <c r="J35" s="20" t="s">
        <v>216</v>
      </c>
      <c r="K35" s="19">
        <v>1177</v>
      </c>
      <c r="L35" s="20" t="s">
        <v>208</v>
      </c>
      <c r="M35" s="19">
        <v>3</v>
      </c>
      <c r="N35" s="20" t="s">
        <v>45</v>
      </c>
      <c r="O35" s="19">
        <v>15</v>
      </c>
      <c r="P35" s="20" t="s">
        <v>217</v>
      </c>
      <c r="Q35" s="20" t="s">
        <v>218</v>
      </c>
      <c r="R35" s="21" t="s">
        <v>115</v>
      </c>
      <c r="S35" s="21" t="s">
        <v>100</v>
      </c>
      <c r="T35" s="23" t="s">
        <v>50</v>
      </c>
      <c r="U35" s="22">
        <v>1</v>
      </c>
      <c r="V35" s="22">
        <f t="shared" si="0"/>
        <v>1.7333333333333334</v>
      </c>
      <c r="W35" s="22">
        <f t="shared" si="1"/>
        <v>1.7333333333333334</v>
      </c>
      <c r="X35" s="22">
        <f t="shared" si="2"/>
        <v>1.3333333333333333</v>
      </c>
      <c r="Y35" s="22">
        <f t="shared" si="3"/>
        <v>1.3333333333333333</v>
      </c>
      <c r="Z35" s="23">
        <v>8</v>
      </c>
      <c r="AA35" s="23">
        <v>4</v>
      </c>
      <c r="AB35" s="23">
        <v>4</v>
      </c>
      <c r="AC35" s="23">
        <v>4</v>
      </c>
      <c r="AD35" s="23">
        <v>3</v>
      </c>
      <c r="AE35" s="23">
        <f t="shared" si="4"/>
        <v>15</v>
      </c>
      <c r="AF35" s="23">
        <v>6</v>
      </c>
      <c r="AG35" s="23">
        <v>6</v>
      </c>
      <c r="AH35" s="39">
        <f>2+6</f>
        <v>8</v>
      </c>
      <c r="AI35" s="39">
        <v>6</v>
      </c>
      <c r="AJ35" s="39">
        <f t="shared" si="5"/>
        <v>26</v>
      </c>
      <c r="AK35" s="39">
        <v>6</v>
      </c>
      <c r="AL35" s="337">
        <v>6</v>
      </c>
      <c r="AM35" s="39">
        <v>8</v>
      </c>
      <c r="AN35" s="23">
        <v>0</v>
      </c>
      <c r="AO35" s="23">
        <f t="shared" si="6"/>
        <v>20</v>
      </c>
      <c r="AP35" s="24">
        <v>276170584</v>
      </c>
      <c r="AQ35" s="24">
        <v>241050086</v>
      </c>
      <c r="AR35" s="24">
        <v>146974551</v>
      </c>
      <c r="AS35" s="24">
        <f t="shared" si="9"/>
        <v>53900000</v>
      </c>
      <c r="AT35" s="24">
        <f t="shared" si="7"/>
        <v>718095221</v>
      </c>
      <c r="AU35" s="24"/>
      <c r="AV35" s="24">
        <v>30492850</v>
      </c>
      <c r="AW35" s="24">
        <v>49974551</v>
      </c>
      <c r="AX35" s="24">
        <f t="shared" si="10"/>
        <v>0</v>
      </c>
      <c r="AY35" s="24">
        <f t="shared" si="8"/>
        <v>80467401</v>
      </c>
      <c r="AZ35" s="24">
        <f>SUMIF(contratacion2016!A18:A179,MUSI!G35,contratacion2016!AD18:AD179)</f>
        <v>53900000</v>
      </c>
      <c r="BA35" s="24">
        <f>SUMIF(contratacion2016!A18:A179,MUSI!G35,contratacion2016!AQ18:AQ179)</f>
        <v>0</v>
      </c>
      <c r="BB35" s="24"/>
      <c r="BC35" s="31"/>
    </row>
    <row r="36" spans="1:55" s="25" customFormat="1" ht="13.5" customHeight="1" x14ac:dyDescent="0.25">
      <c r="A36" s="19">
        <v>3</v>
      </c>
      <c r="B36" s="20" t="s">
        <v>39</v>
      </c>
      <c r="C36" s="19">
        <v>3</v>
      </c>
      <c r="D36" s="20" t="s">
        <v>204</v>
      </c>
      <c r="E36" s="19">
        <v>26</v>
      </c>
      <c r="F36" s="20" t="s">
        <v>219</v>
      </c>
      <c r="G36" s="19">
        <v>135</v>
      </c>
      <c r="H36" s="20" t="s">
        <v>220</v>
      </c>
      <c r="I36" s="19">
        <v>71</v>
      </c>
      <c r="J36" s="20" t="s">
        <v>221</v>
      </c>
      <c r="K36" s="19">
        <v>1178</v>
      </c>
      <c r="L36" s="20" t="s">
        <v>222</v>
      </c>
      <c r="M36" s="19">
        <v>1</v>
      </c>
      <c r="N36" s="20" t="s">
        <v>53</v>
      </c>
      <c r="O36" s="19">
        <v>400</v>
      </c>
      <c r="P36" s="20" t="s">
        <v>61</v>
      </c>
      <c r="Q36" s="20" t="s">
        <v>223</v>
      </c>
      <c r="R36" s="21" t="s">
        <v>115</v>
      </c>
      <c r="S36" s="21" t="s">
        <v>224</v>
      </c>
      <c r="T36" s="23" t="s">
        <v>50</v>
      </c>
      <c r="U36" s="22">
        <v>1</v>
      </c>
      <c r="V36" s="22">
        <f t="shared" si="0"/>
        <v>1.55</v>
      </c>
      <c r="W36" s="22">
        <f t="shared" si="1"/>
        <v>1.55</v>
      </c>
      <c r="X36" s="22">
        <f t="shared" si="2"/>
        <v>1.55</v>
      </c>
      <c r="Y36" s="22">
        <f t="shared" si="3"/>
        <v>1.55</v>
      </c>
      <c r="Z36" s="23"/>
      <c r="AA36" s="23"/>
      <c r="AB36" s="23">
        <v>150</v>
      </c>
      <c r="AC36" s="23">
        <v>150</v>
      </c>
      <c r="AD36" s="23">
        <v>100</v>
      </c>
      <c r="AE36" s="23">
        <f t="shared" si="4"/>
        <v>400</v>
      </c>
      <c r="AF36" s="23">
        <v>0</v>
      </c>
      <c r="AG36" s="23">
        <v>0</v>
      </c>
      <c r="AH36" s="39">
        <f>120+500</f>
        <v>620</v>
      </c>
      <c r="AI36" s="39">
        <v>0</v>
      </c>
      <c r="AJ36" s="39">
        <f t="shared" si="5"/>
        <v>620</v>
      </c>
      <c r="AK36" s="39">
        <v>0</v>
      </c>
      <c r="AL36" s="39">
        <v>0</v>
      </c>
      <c r="AM36" s="39">
        <v>620</v>
      </c>
      <c r="AN36" s="23">
        <v>0</v>
      </c>
      <c r="AO36" s="23">
        <f t="shared" si="6"/>
        <v>620</v>
      </c>
      <c r="AP36" s="24">
        <v>0</v>
      </c>
      <c r="AQ36" s="24">
        <v>0</v>
      </c>
      <c r="AR36" s="24">
        <v>95957746</v>
      </c>
      <c r="AS36" s="24">
        <f t="shared" si="9"/>
        <v>3287600</v>
      </c>
      <c r="AT36" s="24">
        <f t="shared" si="7"/>
        <v>99245346</v>
      </c>
      <c r="AU36" s="24"/>
      <c r="AV36" s="24">
        <v>0</v>
      </c>
      <c r="AW36" s="24">
        <v>0</v>
      </c>
      <c r="AX36" s="24">
        <f t="shared" si="10"/>
        <v>2553839</v>
      </c>
      <c r="AY36" s="24">
        <f t="shared" si="8"/>
        <v>2553839</v>
      </c>
      <c r="AZ36" s="24">
        <f>SUMIF(contratacion2016!A19:A180,MUSI!G36,contratacion2016!AD19:AD180)</f>
        <v>3287600</v>
      </c>
      <c r="BA36" s="24">
        <f>SUMIF(contratacion2016!A19:A180,MUSI!G36,contratacion2016!AQ19:AQ180)</f>
        <v>2553839</v>
      </c>
      <c r="BB36" s="24"/>
      <c r="BC36" s="21"/>
    </row>
    <row r="37" spans="1:55" s="25" customFormat="1" x14ac:dyDescent="0.25">
      <c r="A37" s="19">
        <v>3</v>
      </c>
      <c r="B37" s="20" t="s">
        <v>39</v>
      </c>
      <c r="C37" s="19">
        <v>3</v>
      </c>
      <c r="D37" s="20" t="s">
        <v>204</v>
      </c>
      <c r="E37" s="19">
        <v>27</v>
      </c>
      <c r="F37" s="20" t="s">
        <v>225</v>
      </c>
      <c r="G37" s="19">
        <v>136</v>
      </c>
      <c r="H37" s="20" t="s">
        <v>226</v>
      </c>
      <c r="I37" s="19">
        <v>69</v>
      </c>
      <c r="J37" s="20" t="s">
        <v>227</v>
      </c>
      <c r="K37" s="19">
        <v>1167</v>
      </c>
      <c r="L37" s="20" t="s">
        <v>228</v>
      </c>
      <c r="M37" s="19">
        <v>1</v>
      </c>
      <c r="N37" s="20" t="s">
        <v>53</v>
      </c>
      <c r="O37" s="19">
        <v>800</v>
      </c>
      <c r="P37" s="20" t="s">
        <v>61</v>
      </c>
      <c r="Q37" s="20" t="s">
        <v>229</v>
      </c>
      <c r="R37" s="21" t="s">
        <v>115</v>
      </c>
      <c r="S37" s="21" t="s">
        <v>230</v>
      </c>
      <c r="T37" s="23" t="s">
        <v>50</v>
      </c>
      <c r="U37" s="22">
        <v>1</v>
      </c>
      <c r="V37" s="22">
        <f t="shared" si="0"/>
        <v>1.3</v>
      </c>
      <c r="W37" s="22">
        <f t="shared" si="1"/>
        <v>1.3</v>
      </c>
      <c r="X37" s="22">
        <f t="shared" si="2"/>
        <v>0.96250000000000002</v>
      </c>
      <c r="Y37" s="22">
        <f t="shared" si="3"/>
        <v>0.96250000000000002</v>
      </c>
      <c r="Z37" s="23">
        <v>0</v>
      </c>
      <c r="AA37" s="23">
        <v>200</v>
      </c>
      <c r="AB37" s="23">
        <v>200</v>
      </c>
      <c r="AC37" s="23">
        <v>200</v>
      </c>
      <c r="AD37" s="23">
        <v>200</v>
      </c>
      <c r="AE37" s="23">
        <f t="shared" si="4"/>
        <v>800</v>
      </c>
      <c r="AF37" s="23">
        <v>200</v>
      </c>
      <c r="AG37" s="23">
        <v>300</v>
      </c>
      <c r="AH37" s="39">
        <v>270</v>
      </c>
      <c r="AI37" s="39">
        <v>270</v>
      </c>
      <c r="AJ37" s="39">
        <f t="shared" si="5"/>
        <v>1040</v>
      </c>
      <c r="AK37" s="39">
        <v>200</v>
      </c>
      <c r="AL37" s="337">
        <v>300</v>
      </c>
      <c r="AM37" s="39">
        <v>270</v>
      </c>
      <c r="AN37" s="23">
        <v>0</v>
      </c>
      <c r="AO37" s="23">
        <f t="shared" si="6"/>
        <v>770</v>
      </c>
      <c r="AP37" s="24">
        <v>130350000</v>
      </c>
      <c r="AQ37" s="24">
        <v>202807978</v>
      </c>
      <c r="AR37" s="24">
        <v>71100000</v>
      </c>
      <c r="AS37" s="24">
        <f t="shared" si="9"/>
        <v>67236000</v>
      </c>
      <c r="AT37" s="24">
        <f t="shared" si="7"/>
        <v>471493978</v>
      </c>
      <c r="AU37" s="24"/>
      <c r="AV37" s="24">
        <v>0</v>
      </c>
      <c r="AW37" s="24">
        <v>45168800</v>
      </c>
      <c r="AX37" s="24">
        <f t="shared" si="10"/>
        <v>0</v>
      </c>
      <c r="AY37" s="24">
        <f t="shared" si="8"/>
        <v>45168800</v>
      </c>
      <c r="AZ37" s="24">
        <f>SUMIF(contratacion2016!A20:A181,MUSI!G37,contratacion2016!AD20:AD181)</f>
        <v>67236000</v>
      </c>
      <c r="BA37" s="24">
        <f>SUMIF(contratacion2016!A20:A181,MUSI!G37,contratacion2016!AQ20:AQ181)</f>
        <v>0</v>
      </c>
      <c r="BB37" s="24"/>
      <c r="BC37" s="21"/>
    </row>
    <row r="38" spans="1:55" s="25" customFormat="1" x14ac:dyDescent="0.25">
      <c r="A38" s="19">
        <v>3</v>
      </c>
      <c r="B38" s="20" t="s">
        <v>39</v>
      </c>
      <c r="C38" s="19">
        <v>3</v>
      </c>
      <c r="D38" s="20" t="s">
        <v>204</v>
      </c>
      <c r="E38" s="19">
        <v>27</v>
      </c>
      <c r="F38" s="20" t="s">
        <v>225</v>
      </c>
      <c r="G38" s="19">
        <v>137</v>
      </c>
      <c r="H38" s="20" t="s">
        <v>231</v>
      </c>
      <c r="I38" s="19">
        <v>69</v>
      </c>
      <c r="J38" s="20" t="s">
        <v>227</v>
      </c>
      <c r="K38" s="19">
        <v>1167</v>
      </c>
      <c r="L38" s="20" t="s">
        <v>228</v>
      </c>
      <c r="M38" s="19">
        <v>2</v>
      </c>
      <c r="N38" s="20" t="s">
        <v>53</v>
      </c>
      <c r="O38" s="19">
        <v>800</v>
      </c>
      <c r="P38" s="20" t="s">
        <v>61</v>
      </c>
      <c r="Q38" s="20" t="s">
        <v>232</v>
      </c>
      <c r="R38" s="21" t="s">
        <v>115</v>
      </c>
      <c r="S38" s="21" t="s">
        <v>230</v>
      </c>
      <c r="T38" s="23" t="s">
        <v>50</v>
      </c>
      <c r="U38" s="22">
        <v>1</v>
      </c>
      <c r="V38" s="22">
        <f t="shared" si="0"/>
        <v>0.75</v>
      </c>
      <c r="W38" s="22">
        <f t="shared" si="1"/>
        <v>0.75</v>
      </c>
      <c r="X38" s="22">
        <f t="shared" si="2"/>
        <v>0.63124999999999998</v>
      </c>
      <c r="Y38" s="22">
        <f t="shared" si="3"/>
        <v>0.63124999999999998</v>
      </c>
      <c r="Z38" s="23">
        <v>0</v>
      </c>
      <c r="AA38" s="23">
        <v>200</v>
      </c>
      <c r="AB38" s="23">
        <v>200</v>
      </c>
      <c r="AC38" s="23">
        <v>200</v>
      </c>
      <c r="AD38" s="23">
        <v>200</v>
      </c>
      <c r="AE38" s="23">
        <f t="shared" si="4"/>
        <v>800</v>
      </c>
      <c r="AF38" s="23">
        <v>60</v>
      </c>
      <c r="AG38" s="23">
        <v>345</v>
      </c>
      <c r="AH38" s="39">
        <v>60</v>
      </c>
      <c r="AI38" s="39">
        <v>135</v>
      </c>
      <c r="AJ38" s="39">
        <f t="shared" si="5"/>
        <v>600</v>
      </c>
      <c r="AK38" s="39">
        <v>60</v>
      </c>
      <c r="AL38" s="337">
        <v>345</v>
      </c>
      <c r="AM38" s="39">
        <v>100</v>
      </c>
      <c r="AN38" s="23">
        <v>0</v>
      </c>
      <c r="AO38" s="23">
        <f t="shared" si="6"/>
        <v>505</v>
      </c>
      <c r="AP38" s="24">
        <v>14650000</v>
      </c>
      <c r="AQ38" s="24">
        <v>262420500</v>
      </c>
      <c r="AR38" s="24">
        <v>46549410</v>
      </c>
      <c r="AS38" s="24">
        <f t="shared" si="9"/>
        <v>59439790</v>
      </c>
      <c r="AT38" s="24">
        <f t="shared" si="7"/>
        <v>383059700</v>
      </c>
      <c r="AU38" s="24"/>
      <c r="AV38" s="24">
        <v>194415832</v>
      </c>
      <c r="AW38" s="24">
        <v>0</v>
      </c>
      <c r="AX38" s="24">
        <f t="shared" si="10"/>
        <v>0</v>
      </c>
      <c r="AY38" s="24">
        <f t="shared" si="8"/>
        <v>194415832</v>
      </c>
      <c r="AZ38" s="24">
        <f>SUMIF(contratacion2016!A21:A182,MUSI!G38,contratacion2016!AD21:AD182)</f>
        <v>59439790</v>
      </c>
      <c r="BA38" s="24">
        <f>SUMIF(contratacion2016!A21:A182,MUSI!G38,contratacion2016!AQ21:AQ182)</f>
        <v>0</v>
      </c>
      <c r="BB38" s="24"/>
      <c r="BC38" s="31"/>
    </row>
    <row r="39" spans="1:55" s="25" customFormat="1" x14ac:dyDescent="0.25">
      <c r="A39" s="19">
        <v>3</v>
      </c>
      <c r="B39" s="20" t="s">
        <v>39</v>
      </c>
      <c r="C39" s="19">
        <v>3</v>
      </c>
      <c r="D39" s="20" t="s">
        <v>204</v>
      </c>
      <c r="E39" s="19">
        <v>27</v>
      </c>
      <c r="F39" s="20" t="s">
        <v>225</v>
      </c>
      <c r="G39" s="19">
        <v>138</v>
      </c>
      <c r="H39" s="20" t="s">
        <v>233</v>
      </c>
      <c r="I39" s="19" t="s">
        <v>90</v>
      </c>
      <c r="J39" s="20" t="s">
        <v>91</v>
      </c>
      <c r="K39" s="19">
        <v>1167</v>
      </c>
      <c r="L39" s="20" t="s">
        <v>228</v>
      </c>
      <c r="M39" s="19">
        <v>3</v>
      </c>
      <c r="N39" s="20" t="s">
        <v>53</v>
      </c>
      <c r="O39" s="19">
        <v>800</v>
      </c>
      <c r="P39" s="20" t="s">
        <v>61</v>
      </c>
      <c r="Q39" s="20" t="s">
        <v>234</v>
      </c>
      <c r="R39" s="21" t="s">
        <v>90</v>
      </c>
      <c r="S39" s="21" t="s">
        <v>90</v>
      </c>
      <c r="T39" s="23" t="s">
        <v>50</v>
      </c>
      <c r="U39" s="22">
        <v>1</v>
      </c>
      <c r="V39" s="22">
        <f t="shared" si="0"/>
        <v>1</v>
      </c>
      <c r="W39" s="22">
        <f t="shared" si="1"/>
        <v>1</v>
      </c>
      <c r="X39" s="22">
        <f t="shared" si="2"/>
        <v>1.125</v>
      </c>
      <c r="Y39" s="22">
        <f t="shared" si="3"/>
        <v>1.125</v>
      </c>
      <c r="Z39" s="23">
        <v>0</v>
      </c>
      <c r="AA39" s="23">
        <v>200</v>
      </c>
      <c r="AB39" s="23">
        <v>200</v>
      </c>
      <c r="AC39" s="23">
        <v>200</v>
      </c>
      <c r="AD39" s="23">
        <v>200</v>
      </c>
      <c r="AE39" s="23">
        <f t="shared" si="4"/>
        <v>800</v>
      </c>
      <c r="AF39" s="23">
        <v>0</v>
      </c>
      <c r="AG39" s="23">
        <v>300</v>
      </c>
      <c r="AH39" s="39">
        <v>500</v>
      </c>
      <c r="AI39" s="39">
        <v>0</v>
      </c>
      <c r="AJ39" s="39">
        <f t="shared" si="5"/>
        <v>800</v>
      </c>
      <c r="AK39" s="39">
        <v>0</v>
      </c>
      <c r="AL39" s="337">
        <v>400</v>
      </c>
      <c r="AM39" s="39">
        <v>500</v>
      </c>
      <c r="AN39" s="23">
        <v>0</v>
      </c>
      <c r="AO39" s="23">
        <f t="shared" si="6"/>
        <v>900</v>
      </c>
      <c r="AP39" s="24">
        <v>0</v>
      </c>
      <c r="AQ39" s="24">
        <v>219230000</v>
      </c>
      <c r="AR39" s="24">
        <v>82916665</v>
      </c>
      <c r="AS39" s="24">
        <f t="shared" si="9"/>
        <v>0</v>
      </c>
      <c r="AT39" s="24">
        <f t="shared" si="7"/>
        <v>302146665</v>
      </c>
      <c r="AU39" s="24"/>
      <c r="AV39" s="24">
        <v>0</v>
      </c>
      <c r="AW39" s="24">
        <v>82916665</v>
      </c>
      <c r="AX39" s="24">
        <f t="shared" si="10"/>
        <v>0</v>
      </c>
      <c r="AY39" s="24">
        <f t="shared" si="8"/>
        <v>82916665</v>
      </c>
      <c r="AZ39" s="24">
        <f>SUMIF(contratacion2016!A21:A183,MUSI!G39,contratacion2016!AD21:AD183)</f>
        <v>0</v>
      </c>
      <c r="BA39" s="24">
        <f>SUMIF(contratacion2016!A21:A183,MUSI!G39,contratacion2016!AQ21:AQ183)</f>
        <v>0</v>
      </c>
      <c r="BB39" s="24"/>
      <c r="BC39" s="21"/>
    </row>
    <row r="40" spans="1:55" s="25" customFormat="1" x14ac:dyDescent="0.25">
      <c r="A40" s="19">
        <v>3</v>
      </c>
      <c r="B40" s="20" t="s">
        <v>39</v>
      </c>
      <c r="C40" s="19">
        <v>3</v>
      </c>
      <c r="D40" s="20" t="s">
        <v>204</v>
      </c>
      <c r="E40" s="19">
        <v>30</v>
      </c>
      <c r="F40" s="20" t="s">
        <v>235</v>
      </c>
      <c r="G40" s="19">
        <v>139</v>
      </c>
      <c r="H40" s="20" t="s">
        <v>236</v>
      </c>
      <c r="I40" s="19" t="s">
        <v>90</v>
      </c>
      <c r="J40" s="20" t="s">
        <v>91</v>
      </c>
      <c r="K40" s="19">
        <v>1175</v>
      </c>
      <c r="L40" s="20" t="s">
        <v>237</v>
      </c>
      <c r="M40" s="19">
        <v>1</v>
      </c>
      <c r="N40" s="20" t="s">
        <v>212</v>
      </c>
      <c r="O40" s="19">
        <v>1</v>
      </c>
      <c r="P40" s="20" t="s">
        <v>238</v>
      </c>
      <c r="Q40" s="20" t="s">
        <v>239</v>
      </c>
      <c r="R40" s="21" t="s">
        <v>90</v>
      </c>
      <c r="S40" s="21" t="s">
        <v>90</v>
      </c>
      <c r="T40" s="23" t="s">
        <v>109</v>
      </c>
      <c r="U40" s="22">
        <v>1</v>
      </c>
      <c r="V40" s="22">
        <f t="shared" si="0"/>
        <v>0.75</v>
      </c>
      <c r="W40" s="22">
        <f t="shared" si="1"/>
        <v>0.75</v>
      </c>
      <c r="X40" s="22">
        <f t="shared" si="2"/>
        <v>0.75</v>
      </c>
      <c r="Y40" s="22">
        <f t="shared" si="3"/>
        <v>0.75</v>
      </c>
      <c r="Z40" s="23">
        <v>1</v>
      </c>
      <c r="AA40" s="23">
        <v>1</v>
      </c>
      <c r="AB40" s="23">
        <v>1</v>
      </c>
      <c r="AC40" s="23">
        <v>1</v>
      </c>
      <c r="AD40" s="23">
        <v>1</v>
      </c>
      <c r="AE40" s="23">
        <f t="shared" si="4"/>
        <v>1</v>
      </c>
      <c r="AF40" s="23">
        <v>1</v>
      </c>
      <c r="AG40" s="23">
        <v>1</v>
      </c>
      <c r="AH40" s="39">
        <v>1</v>
      </c>
      <c r="AI40" s="39">
        <v>0</v>
      </c>
      <c r="AJ40" s="39">
        <f t="shared" si="5"/>
        <v>0.75</v>
      </c>
      <c r="AK40" s="39">
        <v>1</v>
      </c>
      <c r="AL40" s="337">
        <v>1</v>
      </c>
      <c r="AM40" s="39">
        <v>1</v>
      </c>
      <c r="AN40" s="23">
        <v>0</v>
      </c>
      <c r="AO40" s="23">
        <f t="shared" si="6"/>
        <v>0.75</v>
      </c>
      <c r="AP40" s="24">
        <v>20000000</v>
      </c>
      <c r="AQ40" s="24">
        <v>0</v>
      </c>
      <c r="AR40" s="24">
        <v>0</v>
      </c>
      <c r="AS40" s="24">
        <f t="shared" si="9"/>
        <v>0</v>
      </c>
      <c r="AT40" s="24">
        <f t="shared" si="7"/>
        <v>20000000</v>
      </c>
      <c r="AU40" s="24"/>
      <c r="AV40" s="24">
        <v>0</v>
      </c>
      <c r="AW40" s="24">
        <v>0</v>
      </c>
      <c r="AX40" s="24">
        <f t="shared" si="10"/>
        <v>0</v>
      </c>
      <c r="AY40" s="24">
        <f t="shared" si="8"/>
        <v>0</v>
      </c>
      <c r="AZ40" s="24">
        <f>SUMIF(contratacion2016!A21:A184,MUSI!G40,contratacion2016!AD21:AD184)</f>
        <v>0</v>
      </c>
      <c r="BA40" s="24">
        <f>SUMIF(contratacion2016!A21:A184,MUSI!G40,contratacion2016!AQ21:AQ184)</f>
        <v>0</v>
      </c>
      <c r="BB40" s="24"/>
      <c r="BC40" s="21" t="s">
        <v>1378</v>
      </c>
    </row>
    <row r="41" spans="1:55" s="25" customFormat="1" ht="13.5" customHeight="1" x14ac:dyDescent="0.25">
      <c r="A41" s="19">
        <v>3</v>
      </c>
      <c r="B41" s="20" t="s">
        <v>39</v>
      </c>
      <c r="C41" s="19">
        <v>3</v>
      </c>
      <c r="D41" s="20" t="s">
        <v>204</v>
      </c>
      <c r="E41" s="19">
        <v>31</v>
      </c>
      <c r="F41" s="20" t="s">
        <v>240</v>
      </c>
      <c r="G41" s="19">
        <v>140</v>
      </c>
      <c r="H41" s="20" t="s">
        <v>241</v>
      </c>
      <c r="I41" s="19">
        <v>76</v>
      </c>
      <c r="J41" s="20" t="s">
        <v>242</v>
      </c>
      <c r="K41" s="19">
        <v>1171</v>
      </c>
      <c r="L41" s="20" t="s">
        <v>243</v>
      </c>
      <c r="M41" s="19">
        <v>1</v>
      </c>
      <c r="N41" s="20" t="s">
        <v>130</v>
      </c>
      <c r="O41" s="19">
        <v>1</v>
      </c>
      <c r="P41" s="20" t="s">
        <v>244</v>
      </c>
      <c r="Q41" s="20" t="s">
        <v>245</v>
      </c>
      <c r="R41" s="21" t="s">
        <v>115</v>
      </c>
      <c r="S41" s="20" t="s">
        <v>246</v>
      </c>
      <c r="T41" s="19" t="s">
        <v>109</v>
      </c>
      <c r="U41" s="22">
        <v>1</v>
      </c>
      <c r="V41" s="22">
        <f t="shared" si="0"/>
        <v>1</v>
      </c>
      <c r="W41" s="22">
        <f t="shared" si="1"/>
        <v>1</v>
      </c>
      <c r="X41" s="22">
        <f t="shared" si="2"/>
        <v>1</v>
      </c>
      <c r="Y41" s="22">
        <f t="shared" si="3"/>
        <v>1</v>
      </c>
      <c r="Z41" s="19">
        <v>1</v>
      </c>
      <c r="AA41" s="19">
        <v>1</v>
      </c>
      <c r="AB41" s="19">
        <v>1</v>
      </c>
      <c r="AC41" s="19">
        <v>1</v>
      </c>
      <c r="AD41" s="19">
        <v>1</v>
      </c>
      <c r="AE41" s="19">
        <f t="shared" si="4"/>
        <v>1</v>
      </c>
      <c r="AF41" s="19">
        <v>1</v>
      </c>
      <c r="AG41" s="19">
        <v>1</v>
      </c>
      <c r="AH41" s="26">
        <v>1</v>
      </c>
      <c r="AI41" s="26">
        <v>1</v>
      </c>
      <c r="AJ41" s="26">
        <f t="shared" si="5"/>
        <v>1</v>
      </c>
      <c r="AK41" s="26">
        <v>1</v>
      </c>
      <c r="AL41" s="26">
        <v>1</v>
      </c>
      <c r="AM41" s="26">
        <v>1</v>
      </c>
      <c r="AN41" s="19">
        <v>1</v>
      </c>
      <c r="AO41" s="19">
        <f t="shared" si="6"/>
        <v>1</v>
      </c>
      <c r="AP41" s="24">
        <v>2400858084</v>
      </c>
      <c r="AQ41" s="24">
        <v>2184029394</v>
      </c>
      <c r="AR41" s="24">
        <v>2458021727</v>
      </c>
      <c r="AS41" s="24">
        <f t="shared" si="9"/>
        <v>2460554433</v>
      </c>
      <c r="AT41" s="24">
        <f t="shared" si="7"/>
        <v>9503463638</v>
      </c>
      <c r="AU41" s="24">
        <v>1164924988</v>
      </c>
      <c r="AV41" s="24">
        <v>1082374644</v>
      </c>
      <c r="AW41" s="24">
        <v>1526924115</v>
      </c>
      <c r="AX41" s="24">
        <f t="shared" si="10"/>
        <v>1539899990</v>
      </c>
      <c r="AY41" s="24">
        <f t="shared" si="8"/>
        <v>5314123737</v>
      </c>
      <c r="AZ41" s="24">
        <f>SUMIF(contratacion2016!A22:A185,MUSI!G41,contratacion2016!AD22:AD185)</f>
        <v>2460554433</v>
      </c>
      <c r="BA41" s="24">
        <f>SUMIF(contratacion2016!A22:A185,MUSI!G41,contratacion2016!AQ22:AQ185)</f>
        <v>1539899990</v>
      </c>
      <c r="BB41" s="41"/>
      <c r="BC41" s="42"/>
    </row>
    <row r="42" spans="1:55" s="25" customFormat="1" x14ac:dyDescent="0.25">
      <c r="A42" s="19">
        <v>3</v>
      </c>
      <c r="B42" s="20" t="s">
        <v>39</v>
      </c>
      <c r="C42" s="19">
        <v>3</v>
      </c>
      <c r="D42" s="20" t="s">
        <v>204</v>
      </c>
      <c r="E42" s="19">
        <v>31</v>
      </c>
      <c r="F42" s="20" t="s">
        <v>240</v>
      </c>
      <c r="G42" s="19">
        <v>141</v>
      </c>
      <c r="H42" s="20" t="s">
        <v>247</v>
      </c>
      <c r="I42" s="19">
        <v>75</v>
      </c>
      <c r="J42" s="20" t="s">
        <v>248</v>
      </c>
      <c r="K42" s="19">
        <v>1171</v>
      </c>
      <c r="L42" s="20" t="s">
        <v>243</v>
      </c>
      <c r="M42" s="19">
        <v>2</v>
      </c>
      <c r="N42" s="20" t="s">
        <v>130</v>
      </c>
      <c r="O42" s="19">
        <v>7</v>
      </c>
      <c r="P42" s="20" t="s">
        <v>249</v>
      </c>
      <c r="Q42" s="20" t="s">
        <v>250</v>
      </c>
      <c r="R42" s="21" t="s">
        <v>115</v>
      </c>
      <c r="S42" s="21" t="s">
        <v>246</v>
      </c>
      <c r="T42" s="23" t="s">
        <v>109</v>
      </c>
      <c r="U42" s="22">
        <v>1</v>
      </c>
      <c r="V42" s="22">
        <f t="shared" si="0"/>
        <v>1</v>
      </c>
      <c r="W42" s="22">
        <f t="shared" si="1"/>
        <v>1</v>
      </c>
      <c r="X42" s="22">
        <f t="shared" si="2"/>
        <v>1</v>
      </c>
      <c r="Y42" s="22">
        <f t="shared" si="3"/>
        <v>1</v>
      </c>
      <c r="Z42" s="23">
        <v>7</v>
      </c>
      <c r="AA42" s="23">
        <v>7</v>
      </c>
      <c r="AB42" s="23">
        <v>7</v>
      </c>
      <c r="AC42" s="23">
        <v>7</v>
      </c>
      <c r="AD42" s="23">
        <v>7</v>
      </c>
      <c r="AE42" s="23">
        <f t="shared" si="4"/>
        <v>7</v>
      </c>
      <c r="AF42" s="23">
        <v>7</v>
      </c>
      <c r="AG42" s="23">
        <v>7</v>
      </c>
      <c r="AH42" s="39">
        <v>7</v>
      </c>
      <c r="AI42" s="39">
        <v>7</v>
      </c>
      <c r="AJ42" s="39">
        <f t="shared" si="5"/>
        <v>7</v>
      </c>
      <c r="AK42" s="39">
        <v>7</v>
      </c>
      <c r="AL42" s="39">
        <v>7</v>
      </c>
      <c r="AM42" s="39">
        <v>7</v>
      </c>
      <c r="AN42" s="23">
        <v>7</v>
      </c>
      <c r="AO42" s="23">
        <f t="shared" si="6"/>
        <v>7</v>
      </c>
      <c r="AP42" s="24">
        <v>407157583</v>
      </c>
      <c r="AQ42" s="24">
        <v>430995825</v>
      </c>
      <c r="AR42" s="24">
        <v>468575772</v>
      </c>
      <c r="AS42" s="24">
        <f t="shared" si="9"/>
        <v>507327072</v>
      </c>
      <c r="AT42" s="24">
        <f t="shared" si="7"/>
        <v>1814056252</v>
      </c>
      <c r="AU42" s="24">
        <v>403830714</v>
      </c>
      <c r="AV42" s="24">
        <v>430995825</v>
      </c>
      <c r="AW42" s="24">
        <v>468575772</v>
      </c>
      <c r="AX42" s="24">
        <f t="shared" si="10"/>
        <v>465049816</v>
      </c>
      <c r="AY42" s="24">
        <f t="shared" si="8"/>
        <v>1768452127</v>
      </c>
      <c r="AZ42" s="24">
        <f>SUMIF(contratacion2016!A23:A186,MUSI!G42,contratacion2016!AD23:AD186)</f>
        <v>507327072</v>
      </c>
      <c r="BA42" s="24">
        <f>SUMIF(contratacion2016!A23:A186,MUSI!G42,contratacion2016!AQ23:AQ186)</f>
        <v>465049816</v>
      </c>
      <c r="BB42" s="24"/>
      <c r="BC42" s="21"/>
    </row>
    <row r="43" spans="1:55" s="25" customFormat="1" x14ac:dyDescent="0.25">
      <c r="A43" s="19">
        <v>3</v>
      </c>
      <c r="B43" s="20" t="s">
        <v>39</v>
      </c>
      <c r="C43" s="19">
        <v>3</v>
      </c>
      <c r="D43" s="20" t="s">
        <v>204</v>
      </c>
      <c r="E43" s="19">
        <v>31</v>
      </c>
      <c r="F43" s="20" t="s">
        <v>240</v>
      </c>
      <c r="G43" s="19">
        <v>142</v>
      </c>
      <c r="H43" s="20" t="s">
        <v>251</v>
      </c>
      <c r="I43" s="19">
        <v>76</v>
      </c>
      <c r="J43" s="20" t="s">
        <v>242</v>
      </c>
      <c r="K43" s="19">
        <v>1171</v>
      </c>
      <c r="L43" s="20" t="s">
        <v>243</v>
      </c>
      <c r="M43" s="19">
        <v>3</v>
      </c>
      <c r="N43" s="20" t="s">
        <v>252</v>
      </c>
      <c r="O43" s="19">
        <v>1</v>
      </c>
      <c r="P43" s="20" t="s">
        <v>253</v>
      </c>
      <c r="Q43" s="20" t="s">
        <v>254</v>
      </c>
      <c r="R43" s="21" t="s">
        <v>115</v>
      </c>
      <c r="S43" s="21" t="s">
        <v>246</v>
      </c>
      <c r="T43" s="23" t="s">
        <v>109</v>
      </c>
      <c r="U43" s="22">
        <v>1</v>
      </c>
      <c r="V43" s="22">
        <f t="shared" si="0"/>
        <v>1</v>
      </c>
      <c r="W43" s="22">
        <f t="shared" si="1"/>
        <v>1</v>
      </c>
      <c r="X43" s="22">
        <f t="shared" si="2"/>
        <v>1</v>
      </c>
      <c r="Y43" s="22">
        <f t="shared" si="3"/>
        <v>1</v>
      </c>
      <c r="Z43" s="23">
        <v>0</v>
      </c>
      <c r="AA43" s="23">
        <v>1</v>
      </c>
      <c r="AB43" s="23">
        <v>1</v>
      </c>
      <c r="AC43" s="23">
        <v>1</v>
      </c>
      <c r="AD43" s="23">
        <v>1</v>
      </c>
      <c r="AE43" s="23">
        <f t="shared" si="4"/>
        <v>1</v>
      </c>
      <c r="AF43" s="23">
        <v>0</v>
      </c>
      <c r="AG43" s="23">
        <v>0</v>
      </c>
      <c r="AH43" s="39">
        <v>3</v>
      </c>
      <c r="AI43" s="39">
        <v>1</v>
      </c>
      <c r="AJ43" s="39">
        <f t="shared" si="5"/>
        <v>1</v>
      </c>
      <c r="AK43" s="39">
        <v>0</v>
      </c>
      <c r="AL43" s="39">
        <v>0</v>
      </c>
      <c r="AM43" s="39">
        <v>3</v>
      </c>
      <c r="AN43" s="23">
        <v>1</v>
      </c>
      <c r="AO43" s="23">
        <f t="shared" si="6"/>
        <v>1</v>
      </c>
      <c r="AP43" s="24">
        <v>0</v>
      </c>
      <c r="AQ43" s="24">
        <v>0</v>
      </c>
      <c r="AR43" s="24">
        <v>38083333</v>
      </c>
      <c r="AS43" s="24">
        <f t="shared" si="9"/>
        <v>40514999</v>
      </c>
      <c r="AT43" s="24">
        <f t="shared" si="7"/>
        <v>78598332</v>
      </c>
      <c r="AU43" s="24">
        <v>0</v>
      </c>
      <c r="AV43" s="24">
        <v>0</v>
      </c>
      <c r="AW43" s="24">
        <v>33026667</v>
      </c>
      <c r="AX43" s="24">
        <f t="shared" si="10"/>
        <v>32015000</v>
      </c>
      <c r="AY43" s="24">
        <f t="shared" si="8"/>
        <v>65041667</v>
      </c>
      <c r="AZ43" s="24">
        <f>SUMIF(contratacion2016!A24:A187,MUSI!G43,contratacion2016!AD24:AD187)</f>
        <v>40514999</v>
      </c>
      <c r="BA43" s="24">
        <f>SUMIF(contratacion2016!A24:A187,MUSI!G43,contratacion2016!AQ24:AQ187)</f>
        <v>32015000</v>
      </c>
      <c r="BB43" s="24"/>
      <c r="BC43" s="21"/>
    </row>
    <row r="44" spans="1:55" s="25" customFormat="1" x14ac:dyDescent="0.25">
      <c r="A44" s="19">
        <v>3</v>
      </c>
      <c r="B44" s="20" t="s">
        <v>39</v>
      </c>
      <c r="C44" s="19">
        <v>3</v>
      </c>
      <c r="D44" s="20" t="s">
        <v>204</v>
      </c>
      <c r="E44" s="19">
        <v>32</v>
      </c>
      <c r="F44" s="20" t="s">
        <v>255</v>
      </c>
      <c r="G44" s="19">
        <v>143</v>
      </c>
      <c r="H44" s="20" t="s">
        <v>256</v>
      </c>
      <c r="I44" s="19" t="s">
        <v>90</v>
      </c>
      <c r="J44" s="20" t="s">
        <v>91</v>
      </c>
      <c r="K44" s="19">
        <v>1173</v>
      </c>
      <c r="L44" s="20" t="s">
        <v>257</v>
      </c>
      <c r="M44" s="19">
        <v>1</v>
      </c>
      <c r="N44" s="20" t="s">
        <v>53</v>
      </c>
      <c r="O44" s="19">
        <v>4000</v>
      </c>
      <c r="P44" s="20" t="s">
        <v>61</v>
      </c>
      <c r="Q44" s="20" t="s">
        <v>258</v>
      </c>
      <c r="R44" s="21" t="s">
        <v>90</v>
      </c>
      <c r="S44" s="21" t="s">
        <v>90</v>
      </c>
      <c r="T44" s="23" t="s">
        <v>50</v>
      </c>
      <c r="U44" s="22">
        <v>1</v>
      </c>
      <c r="V44" s="22">
        <f t="shared" si="0"/>
        <v>0.25</v>
      </c>
      <c r="W44" s="22">
        <f t="shared" si="1"/>
        <v>0.25</v>
      </c>
      <c r="X44" s="22">
        <f t="shared" si="2"/>
        <v>1</v>
      </c>
      <c r="Y44" s="22">
        <f t="shared" si="3"/>
        <v>1</v>
      </c>
      <c r="Z44" s="23">
        <v>0</v>
      </c>
      <c r="AA44" s="23">
        <v>1000</v>
      </c>
      <c r="AB44" s="23">
        <v>1000</v>
      </c>
      <c r="AC44" s="23">
        <v>1000</v>
      </c>
      <c r="AD44" s="23">
        <v>1000</v>
      </c>
      <c r="AE44" s="23">
        <f t="shared" si="4"/>
        <v>4000</v>
      </c>
      <c r="AF44" s="23">
        <v>1000</v>
      </c>
      <c r="AG44" s="23">
        <v>0</v>
      </c>
      <c r="AH44" s="39">
        <v>0</v>
      </c>
      <c r="AI44" s="39">
        <v>0</v>
      </c>
      <c r="AJ44" s="39">
        <f t="shared" si="5"/>
        <v>1000</v>
      </c>
      <c r="AK44" s="39">
        <v>1000</v>
      </c>
      <c r="AL44" s="337">
        <v>0</v>
      </c>
      <c r="AM44" s="39">
        <v>3000</v>
      </c>
      <c r="AN44" s="23">
        <v>0</v>
      </c>
      <c r="AO44" s="23">
        <f t="shared" si="6"/>
        <v>4000</v>
      </c>
      <c r="AP44" s="24">
        <v>200000000</v>
      </c>
      <c r="AQ44" s="24">
        <v>0</v>
      </c>
      <c r="AR44" s="24">
        <v>0</v>
      </c>
      <c r="AS44" s="24">
        <f t="shared" si="9"/>
        <v>0</v>
      </c>
      <c r="AT44" s="24">
        <f t="shared" si="7"/>
        <v>200000000</v>
      </c>
      <c r="AU44" s="24"/>
      <c r="AV44" s="24">
        <v>0</v>
      </c>
      <c r="AW44" s="24">
        <v>0</v>
      </c>
      <c r="AX44" s="24">
        <f t="shared" si="10"/>
        <v>0</v>
      </c>
      <c r="AY44" s="24">
        <f t="shared" si="8"/>
        <v>0</v>
      </c>
      <c r="AZ44" s="24">
        <f>SUMIF(contratacion2016!A24:A188,MUSI!G44,contratacion2016!AD24:AD188)</f>
        <v>0</v>
      </c>
      <c r="BA44" s="24">
        <f>SUMIF(contratacion2016!A24:A188,MUSI!G44,contratacion2016!AQ24:AQ188)</f>
        <v>0</v>
      </c>
      <c r="BB44" s="24"/>
      <c r="BC44" s="21"/>
    </row>
    <row r="45" spans="1:55" x14ac:dyDescent="0.25">
      <c r="AP45" s="43">
        <f t="shared" ref="AP45:BA45" si="11">SUM(AP3:AP44)</f>
        <v>20205835131</v>
      </c>
      <c r="AQ45" s="43">
        <f t="shared" si="11"/>
        <v>19787470363</v>
      </c>
      <c r="AR45" s="43">
        <f t="shared" si="11"/>
        <v>19482060027</v>
      </c>
      <c r="AS45" s="43">
        <f t="shared" si="11"/>
        <v>18058590707</v>
      </c>
      <c r="AT45" s="43">
        <f t="shared" si="11"/>
        <v>77533956228</v>
      </c>
      <c r="AU45" s="43">
        <f t="shared" si="11"/>
        <v>7857249714</v>
      </c>
      <c r="AV45" s="43">
        <f t="shared" si="11"/>
        <v>7684414922.3999996</v>
      </c>
      <c r="AW45" s="43">
        <f t="shared" si="11"/>
        <v>8316568739</v>
      </c>
      <c r="AX45" s="43">
        <f t="shared" si="11"/>
        <v>2709859320</v>
      </c>
      <c r="AY45" s="43">
        <f t="shared" si="11"/>
        <v>26568092695.400002</v>
      </c>
      <c r="AZ45" s="43">
        <f t="shared" si="11"/>
        <v>18058590707</v>
      </c>
      <c r="BA45" s="43">
        <f t="shared" si="11"/>
        <v>2709859320</v>
      </c>
    </row>
    <row r="46" spans="1:55" x14ac:dyDescent="0.25">
      <c r="AP46" s="6">
        <v>20205835131</v>
      </c>
      <c r="AQ46" s="6">
        <v>19787470363</v>
      </c>
      <c r="AR46" s="43">
        <v>19466060027</v>
      </c>
      <c r="AS46" s="6">
        <v>18058590707</v>
      </c>
      <c r="AU46" s="6">
        <v>7857249714</v>
      </c>
      <c r="AV46" s="6">
        <v>7684414922.3999996</v>
      </c>
      <c r="AW46" s="43">
        <v>8316568739</v>
      </c>
      <c r="AX46" s="6">
        <v>2709859320</v>
      </c>
      <c r="AY46" s="8"/>
      <c r="AZ46" s="43">
        <v>18058590707</v>
      </c>
      <c r="BA46" s="43">
        <v>2709859320</v>
      </c>
      <c r="BB46" s="8"/>
    </row>
    <row r="47" spans="1:55" x14ac:dyDescent="0.25">
      <c r="Y47" s="336"/>
      <c r="AQ47" s="8"/>
    </row>
    <row r="48" spans="1:55" x14ac:dyDescent="0.25">
      <c r="AU48" s="44"/>
    </row>
    <row r="50" spans="10:43" ht="15" x14ac:dyDescent="0.25">
      <c r="L50" s="45"/>
      <c r="M50" s="46"/>
      <c r="N50" s="45"/>
      <c r="O50" s="46"/>
      <c r="P50" s="45"/>
    </row>
    <row r="51" spans="10:43" ht="15" x14ac:dyDescent="0.25">
      <c r="L51" s="45"/>
      <c r="M51" s="46"/>
      <c r="N51" s="45"/>
      <c r="O51" s="46"/>
      <c r="P51" s="45"/>
    </row>
    <row r="52" spans="10:43" ht="15" x14ac:dyDescent="0.25">
      <c r="L52" s="45"/>
      <c r="M52" s="46"/>
      <c r="N52" s="45"/>
      <c r="O52" s="46"/>
      <c r="P52" s="45"/>
    </row>
    <row r="53" spans="10:43" ht="15" x14ac:dyDescent="0.25">
      <c r="J53" s="45"/>
      <c r="K53" s="46"/>
      <c r="L53" s="45"/>
      <c r="M53" s="46"/>
      <c r="N53" s="45"/>
      <c r="O53" s="46"/>
      <c r="P53" s="45"/>
    </row>
    <row r="54" spans="10:43" ht="15" x14ac:dyDescent="0.25">
      <c r="J54" s="45"/>
      <c r="K54" s="46"/>
      <c r="L54" s="45"/>
      <c r="M54" s="46"/>
      <c r="N54" s="45"/>
      <c r="O54" s="46"/>
      <c r="P54" s="45"/>
    </row>
    <row r="55" spans="10:43" ht="15" x14ac:dyDescent="0.25">
      <c r="J55" s="45"/>
      <c r="K55" s="46"/>
      <c r="L55" s="45"/>
      <c r="M55" s="46"/>
      <c r="N55" s="45"/>
      <c r="O55" s="46"/>
      <c r="P55" s="45"/>
    </row>
    <row r="56" spans="10:43" ht="15" x14ac:dyDescent="0.25">
      <c r="J56" s="45"/>
      <c r="K56" s="46"/>
      <c r="M56" s="46"/>
      <c r="N56" s="45"/>
      <c r="O56" s="46"/>
      <c r="P56" s="45"/>
    </row>
    <row r="57" spans="10:43" ht="15" x14ac:dyDescent="0.25">
      <c r="J57" s="45"/>
      <c r="K57" s="46"/>
      <c r="M57" s="46"/>
      <c r="N57" s="45"/>
      <c r="O57" s="46"/>
      <c r="P57" s="45"/>
    </row>
    <row r="58" spans="10:43" ht="15" x14ac:dyDescent="0.25">
      <c r="J58" s="45"/>
      <c r="K58" s="45"/>
      <c r="L58" s="45"/>
      <c r="M58" s="46"/>
      <c r="N58" s="45"/>
      <c r="O58" s="46"/>
      <c r="P58" s="45"/>
    </row>
    <row r="59" spans="10:43" ht="15" x14ac:dyDescent="0.25">
      <c r="J59" s="45"/>
      <c r="K59" s="47"/>
      <c r="L59" s="48"/>
      <c r="M59" s="46"/>
      <c r="N59" s="45"/>
      <c r="O59" s="46"/>
      <c r="P59" s="45"/>
    </row>
    <row r="60" spans="10:43" ht="15" x14ac:dyDescent="0.25">
      <c r="J60" s="45"/>
      <c r="K60" s="45"/>
      <c r="L60" s="45"/>
      <c r="M60" s="46"/>
      <c r="N60" s="45"/>
      <c r="O60" s="46"/>
      <c r="P60" s="45"/>
    </row>
    <row r="61" spans="10:43" ht="15" x14ac:dyDescent="0.25">
      <c r="J61" s="45"/>
      <c r="K61" s="46"/>
      <c r="L61" s="45"/>
      <c r="M61" s="46"/>
      <c r="N61" s="45"/>
      <c r="O61" s="46"/>
      <c r="P61" s="45"/>
    </row>
    <row r="62" spans="10:43" ht="15" x14ac:dyDescent="0.25">
      <c r="J62" s="45"/>
      <c r="K62" s="49"/>
      <c r="L62" s="45"/>
      <c r="M62" s="46"/>
      <c r="N62" s="45"/>
      <c r="O62" s="46"/>
      <c r="P62" s="45"/>
    </row>
    <row r="63" spans="10:43" ht="15" x14ac:dyDescent="0.25">
      <c r="J63" s="45"/>
      <c r="K63" s="46"/>
      <c r="L63" s="45"/>
      <c r="M63" s="46"/>
      <c r="N63" s="45"/>
      <c r="O63" s="46"/>
      <c r="P63" s="45"/>
    </row>
    <row r="64" spans="10:43" ht="15" x14ac:dyDescent="0.25">
      <c r="J64" s="45"/>
      <c r="K64" s="46"/>
      <c r="L64" s="45"/>
      <c r="M64" s="46"/>
      <c r="N64" s="45"/>
      <c r="O64" s="46"/>
      <c r="P64" s="45"/>
      <c r="AQ64" s="50"/>
    </row>
    <row r="65" spans="10:16" ht="15" x14ac:dyDescent="0.25">
      <c r="J65" s="45"/>
      <c r="K65" s="46"/>
      <c r="L65" s="45"/>
      <c r="M65" s="46"/>
      <c r="N65" s="45"/>
      <c r="O65" s="46"/>
      <c r="P65" s="45"/>
    </row>
    <row r="66" spans="10:16" ht="15" x14ac:dyDescent="0.25">
      <c r="J66" s="45"/>
      <c r="K66" s="46"/>
      <c r="L66" s="45"/>
      <c r="M66" s="46"/>
      <c r="N66" s="45"/>
      <c r="O66" s="46"/>
      <c r="P66" s="45"/>
    </row>
    <row r="67" spans="10:16" ht="15" x14ac:dyDescent="0.25">
      <c r="J67" s="45"/>
      <c r="K67" s="46"/>
      <c r="L67" s="45"/>
      <c r="M67" s="46"/>
      <c r="N67" s="45"/>
      <c r="O67" s="46"/>
      <c r="P67" s="45"/>
    </row>
    <row r="68" spans="10:16" ht="15" x14ac:dyDescent="0.25">
      <c r="J68" s="45"/>
      <c r="K68" s="46"/>
      <c r="L68" s="45"/>
      <c r="M68" s="46"/>
      <c r="N68" s="45"/>
      <c r="O68" s="46"/>
      <c r="P68" s="45"/>
    </row>
    <row r="69" spans="10:16" ht="15" x14ac:dyDescent="0.25">
      <c r="L69" s="45"/>
      <c r="M69" s="46"/>
      <c r="N69" s="45"/>
      <c r="O69" s="46"/>
      <c r="P69" s="45"/>
    </row>
    <row r="70" spans="10:16" ht="15" x14ac:dyDescent="0.25">
      <c r="L70" s="45"/>
      <c r="M70" s="46"/>
      <c r="N70" s="45"/>
      <c r="O70" s="46"/>
      <c r="P70" s="45"/>
    </row>
    <row r="83" spans="61:61" x14ac:dyDescent="0.25">
      <c r="BI83" s="7">
        <v>1776234405</v>
      </c>
    </row>
  </sheetData>
  <sheetProtection selectLockedCells="1" selectUnlockedCells="1"/>
  <autoFilter ref="A2:BC46"/>
  <mergeCells count="8">
    <mergeCell ref="AU1:AY1"/>
    <mergeCell ref="AZ1:BA1"/>
    <mergeCell ref="A1:S1"/>
    <mergeCell ref="T1:Z1"/>
    <mergeCell ref="AA1:AE1"/>
    <mergeCell ref="AF1:AJ1"/>
    <mergeCell ref="AK1:AO1"/>
    <mergeCell ref="AP1:AT1"/>
  </mergeCells>
  <pageMargins left="0.4201388888888889" right="0.60972222222222228" top="0.64027777777777772" bottom="0.25" header="0.3" footer="0.51180555555555551"/>
  <pageSetup scale="80" firstPageNumber="0" orientation="portrait" verticalDpi="300" r:id="rId1"/>
  <headerFooter alignWithMargins="0">
    <oddHeader>&amp;C&amp;"Calibri,Negrita"&amp;12FONDO DE DESARROLLO LOCAL SANTA FÉ</oddHeader>
  </headerFooter>
  <colBreaks count="1" manualBreakCount="1">
    <brk id="5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33"/>
  <sheetViews>
    <sheetView view="pageLayout" zoomScale="55" zoomScaleNormal="55" zoomScalePageLayoutView="55" workbookViewId="0">
      <selection activeCell="I4" sqref="I4"/>
    </sheetView>
  </sheetViews>
  <sheetFormatPr baseColWidth="10" defaultRowHeight="15" x14ac:dyDescent="0.25"/>
  <cols>
    <col min="1" max="1" width="16" style="134" customWidth="1"/>
    <col min="2" max="2" width="24.7109375" style="134" customWidth="1"/>
    <col min="3" max="3" width="11.42578125" style="135"/>
    <col min="4" max="4" width="38.7109375" style="136" customWidth="1"/>
    <col min="5" max="18" width="12.85546875" style="135" customWidth="1"/>
    <col min="19" max="19" width="19.42578125" style="136" customWidth="1"/>
    <col min="20" max="16384" width="11.42578125" style="136"/>
  </cols>
  <sheetData>
    <row r="1" spans="1:19" s="137" customFormat="1" ht="49.5" customHeight="1" x14ac:dyDescent="0.25">
      <c r="A1" s="672" t="s">
        <v>1911</v>
      </c>
      <c r="B1" s="672"/>
      <c r="C1" s="672"/>
      <c r="D1" s="672"/>
      <c r="E1" s="672"/>
      <c r="F1" s="672"/>
      <c r="G1" s="672"/>
      <c r="H1" s="672"/>
      <c r="I1" s="672"/>
      <c r="J1" s="672"/>
      <c r="K1" s="672"/>
      <c r="L1" s="672"/>
      <c r="M1" s="672"/>
      <c r="N1" s="672"/>
      <c r="O1" s="672"/>
      <c r="P1" s="672"/>
      <c r="Q1" s="672"/>
      <c r="R1" s="672"/>
      <c r="S1" s="672"/>
    </row>
    <row r="2" spans="1:19" s="135" customFormat="1" ht="70.5" customHeight="1" x14ac:dyDescent="0.25">
      <c r="A2" s="673" t="s">
        <v>1275</v>
      </c>
      <c r="B2" s="673" t="s">
        <v>26</v>
      </c>
      <c r="C2" s="674" t="s">
        <v>16</v>
      </c>
      <c r="D2" s="674" t="s">
        <v>1276</v>
      </c>
      <c r="E2" s="674" t="s">
        <v>1277</v>
      </c>
      <c r="F2" s="674" t="s">
        <v>1278</v>
      </c>
      <c r="G2" s="674" t="s">
        <v>1279</v>
      </c>
      <c r="H2" s="674"/>
      <c r="I2" s="674"/>
      <c r="J2" s="674"/>
      <c r="K2" s="144" t="s">
        <v>1280</v>
      </c>
      <c r="L2" s="144" t="s">
        <v>1281</v>
      </c>
      <c r="M2" s="144" t="s">
        <v>1280</v>
      </c>
      <c r="N2" s="144" t="s">
        <v>1281</v>
      </c>
      <c r="O2" s="144" t="s">
        <v>1280</v>
      </c>
      <c r="P2" s="144" t="s">
        <v>1281</v>
      </c>
      <c r="Q2" s="144" t="s">
        <v>1280</v>
      </c>
      <c r="R2" s="144" t="s">
        <v>1281</v>
      </c>
      <c r="S2" s="144" t="s">
        <v>1282</v>
      </c>
    </row>
    <row r="3" spans="1:19" s="135" customFormat="1" ht="15.75" x14ac:dyDescent="0.25">
      <c r="A3" s="673"/>
      <c r="B3" s="673" t="s">
        <v>26</v>
      </c>
      <c r="C3" s="674" t="s">
        <v>16</v>
      </c>
      <c r="D3" s="674" t="s">
        <v>1276</v>
      </c>
      <c r="E3" s="674"/>
      <c r="F3" s="674" t="s">
        <v>1283</v>
      </c>
      <c r="G3" s="142">
        <v>2013</v>
      </c>
      <c r="H3" s="142">
        <v>2014</v>
      </c>
      <c r="I3" s="142">
        <v>2015</v>
      </c>
      <c r="J3" s="142">
        <v>2016</v>
      </c>
      <c r="K3" s="142">
        <v>2013</v>
      </c>
      <c r="L3" s="142">
        <v>2013</v>
      </c>
      <c r="M3" s="142">
        <v>2014</v>
      </c>
      <c r="N3" s="142">
        <v>2014</v>
      </c>
      <c r="O3" s="142">
        <v>2015</v>
      </c>
      <c r="P3" s="142">
        <v>2015</v>
      </c>
      <c r="Q3" s="142">
        <v>2016</v>
      </c>
      <c r="R3" s="142">
        <v>2016</v>
      </c>
      <c r="S3" s="143"/>
    </row>
    <row r="4" spans="1:19" ht="60" x14ac:dyDescent="0.25">
      <c r="A4" s="671" t="str">
        <f>'insumo PMR'!A5</f>
        <v>1. AMBIENTE</v>
      </c>
      <c r="B4" s="671" t="str">
        <f>'insumo PMR'!B5</f>
        <v>Calidad ambiental y preservación del patrimonio natural</v>
      </c>
      <c r="C4" s="135">
        <f>'insumo PMR'!C5</f>
        <v>41</v>
      </c>
      <c r="D4" s="136" t="str">
        <f>'insumo PMR'!D5</f>
        <v>Personas vinculadas en acciones para la conservación o recuperación de los espacios del agua y la protección del ambiente</v>
      </c>
      <c r="E4" s="135">
        <f>'insumo PMR'!E5</f>
        <v>0</v>
      </c>
      <c r="F4" s="135">
        <f>'insumo PMR'!F5</f>
        <v>660</v>
      </c>
      <c r="G4" s="135">
        <f>'insumo PMR'!G5</f>
        <v>165</v>
      </c>
      <c r="H4" s="135">
        <f>'insumo PMR'!H5</f>
        <v>165</v>
      </c>
      <c r="I4" s="135">
        <f>'insumo PMR'!I5</f>
        <v>165</v>
      </c>
      <c r="J4" s="135">
        <f>'insumo PMR'!J5</f>
        <v>165</v>
      </c>
      <c r="K4" s="135">
        <f>'insumo PMR'!K5</f>
        <v>205</v>
      </c>
      <c r="L4" s="135">
        <f>'insumo PMR'!L5</f>
        <v>625</v>
      </c>
      <c r="M4" s="135">
        <f>'insumo PMR'!M5</f>
        <v>0</v>
      </c>
      <c r="N4" s="135">
        <f>'insumo PMR'!N5</f>
        <v>0</v>
      </c>
      <c r="O4" s="135">
        <f>'insumo PMR'!O5</f>
        <v>0</v>
      </c>
      <c r="P4" s="135">
        <f>'insumo PMR'!P5</f>
        <v>0</v>
      </c>
      <c r="Q4" s="135">
        <f>'insumo PMR'!Q5</f>
        <v>0</v>
      </c>
      <c r="R4" s="135">
        <f>'insumo PMR'!R5</f>
        <v>0</v>
      </c>
    </row>
    <row r="5" spans="1:19" x14ac:dyDescent="0.25">
      <c r="A5" s="670"/>
      <c r="B5" s="670"/>
      <c r="C5" s="135">
        <f>'insumo PMR'!C6</f>
        <v>45</v>
      </c>
      <c r="D5" s="136" t="str">
        <f>'insumo PMR'!D6</f>
        <v>Espacios ambientales intervenidos</v>
      </c>
      <c r="E5" s="135">
        <f>'insumo PMR'!E6</f>
        <v>3</v>
      </c>
      <c r="F5" s="135">
        <f>'insumo PMR'!F6</f>
        <v>28</v>
      </c>
      <c r="G5" s="135">
        <f>'insumo PMR'!G6</f>
        <v>7</v>
      </c>
      <c r="H5" s="135">
        <f>'insumo PMR'!H6</f>
        <v>7</v>
      </c>
      <c r="I5" s="135">
        <f>'insumo PMR'!I6</f>
        <v>7</v>
      </c>
      <c r="J5" s="135">
        <f>'insumo PMR'!J6</f>
        <v>7</v>
      </c>
      <c r="K5" s="135">
        <f>'insumo PMR'!K6</f>
        <v>15</v>
      </c>
      <c r="L5" s="135">
        <f>'insumo PMR'!L6</f>
        <v>13</v>
      </c>
      <c r="M5" s="135">
        <f>'insumo PMR'!M6</f>
        <v>5</v>
      </c>
      <c r="N5" s="135">
        <f>'insumo PMR'!N6</f>
        <v>5</v>
      </c>
      <c r="O5" s="135">
        <f>'insumo PMR'!O6</f>
        <v>24</v>
      </c>
      <c r="P5" s="135">
        <f>'insumo PMR'!P6</f>
        <v>24</v>
      </c>
      <c r="Q5" s="135">
        <f>'insumo PMR'!Q6</f>
        <v>3</v>
      </c>
      <c r="R5" s="135">
        <f>'insumo PMR'!R6</f>
        <v>9</v>
      </c>
    </row>
    <row r="6" spans="1:19" ht="30" x14ac:dyDescent="0.25">
      <c r="A6" s="670"/>
      <c r="B6" s="670" t="str">
        <f>'insumo PMR'!B7</f>
        <v>Gestión para la prevención y mitigación del riesgo</v>
      </c>
      <c r="C6" s="135">
        <f>'insumo PMR'!C7</f>
        <v>55</v>
      </c>
      <c r="D6" s="136" t="str">
        <f>'insumo PMR'!D7</f>
        <v>Habitantes sensibilizados en gestión local del riesgo</v>
      </c>
      <c r="E6" s="135">
        <f>'insumo PMR'!E7</f>
        <v>0</v>
      </c>
      <c r="F6" s="135">
        <f>'insumo PMR'!F7</f>
        <v>400</v>
      </c>
      <c r="G6" s="135">
        <f>'insumo PMR'!G7</f>
        <v>100</v>
      </c>
      <c r="H6" s="135">
        <f>'insumo PMR'!H7</f>
        <v>100</v>
      </c>
      <c r="I6" s="135">
        <f>'insumo PMR'!I7</f>
        <v>100</v>
      </c>
      <c r="J6" s="135">
        <f>'insumo PMR'!J7</f>
        <v>100</v>
      </c>
      <c r="K6" s="135">
        <f>'insumo PMR'!K7</f>
        <v>100</v>
      </c>
      <c r="L6" s="135">
        <f>'insumo PMR'!L7</f>
        <v>100</v>
      </c>
      <c r="M6" s="135">
        <f>'insumo PMR'!M7</f>
        <v>100</v>
      </c>
      <c r="N6" s="135">
        <f>'insumo PMR'!N7</f>
        <v>100</v>
      </c>
      <c r="O6" s="135">
        <f>'insumo PMR'!O7</f>
        <v>0</v>
      </c>
      <c r="P6" s="135">
        <f>'insumo PMR'!P7</f>
        <v>0</v>
      </c>
      <c r="Q6" s="135">
        <f>'insumo PMR'!Q7</f>
        <v>200</v>
      </c>
      <c r="R6" s="135">
        <f>'insumo PMR'!R7</f>
        <v>0</v>
      </c>
    </row>
    <row r="7" spans="1:19" x14ac:dyDescent="0.25">
      <c r="A7" s="670"/>
      <c r="B7" s="670"/>
      <c r="C7" s="135">
        <f>'insumo PMR'!C8</f>
        <v>56</v>
      </c>
      <c r="D7" s="136" t="str">
        <f>'insumo PMR'!D8</f>
        <v>Dotaciones realizadas al CLE</v>
      </c>
      <c r="E7" s="135">
        <f>'insumo PMR'!E8</f>
        <v>1</v>
      </c>
      <c r="F7" s="135">
        <f>'insumo PMR'!F8</f>
        <v>1</v>
      </c>
      <c r="G7" s="135">
        <f>'insumo PMR'!G8</f>
        <v>0</v>
      </c>
      <c r="H7" s="135">
        <f>'insumo PMR'!H8</f>
        <v>0.5</v>
      </c>
      <c r="I7" s="135">
        <f>'insumo PMR'!I8</f>
        <v>0.5</v>
      </c>
      <c r="J7" s="135">
        <f>'insumo PMR'!J8</f>
        <v>0</v>
      </c>
      <c r="K7" s="135">
        <f>'insumo PMR'!K8</f>
        <v>0.5</v>
      </c>
      <c r="L7" s="135">
        <f>'insumo PMR'!L8</f>
        <v>0.5</v>
      </c>
      <c r="M7" s="135">
        <f>'insumo PMR'!M8</f>
        <v>1</v>
      </c>
      <c r="N7" s="135">
        <f>'insumo PMR'!N8</f>
        <v>1</v>
      </c>
      <c r="O7" s="135">
        <f>'insumo PMR'!O8</f>
        <v>1</v>
      </c>
      <c r="P7" s="135">
        <f>'insumo PMR'!P8</f>
        <v>1</v>
      </c>
      <c r="Q7" s="135">
        <f>'insumo PMR'!Q8</f>
        <v>1</v>
      </c>
      <c r="R7" s="135">
        <f>'insumo PMR'!R8</f>
        <v>0</v>
      </c>
    </row>
    <row r="8" spans="1:19" ht="30" x14ac:dyDescent="0.25">
      <c r="A8" s="670" t="str">
        <f>'insumo PMR'!A9</f>
        <v>10. SDIS</v>
      </c>
      <c r="B8" s="136" t="str">
        <f>'insumo PMR'!B9</f>
        <v>Adecuación , habilitación y dotación de jardines</v>
      </c>
      <c r="C8" s="135">
        <f>'insumo PMR'!C9</f>
        <v>2</v>
      </c>
      <c r="D8" s="136" t="str">
        <f>'insumo PMR'!D9</f>
        <v>Equipamientos para la atención a la primera infancia dotados</v>
      </c>
      <c r="E8" s="135">
        <f>'insumo PMR'!E9</f>
        <v>50</v>
      </c>
      <c r="F8" s="135">
        <f>'insumo PMR'!F9</f>
        <v>30</v>
      </c>
      <c r="G8" s="135">
        <f>'insumo PMR'!G9</f>
        <v>8</v>
      </c>
      <c r="H8" s="135">
        <f>'insumo PMR'!H9</f>
        <v>7</v>
      </c>
      <c r="I8" s="135">
        <f>'insumo PMR'!I9</f>
        <v>8</v>
      </c>
      <c r="J8" s="135">
        <f>'insumo PMR'!J9</f>
        <v>7</v>
      </c>
      <c r="K8" s="135">
        <f>'insumo PMR'!K9</f>
        <v>8</v>
      </c>
      <c r="L8" s="135">
        <f>'insumo PMR'!L9</f>
        <v>8</v>
      </c>
      <c r="M8" s="135">
        <f>'insumo PMR'!M9</f>
        <v>7</v>
      </c>
      <c r="N8" s="135">
        <f>'insumo PMR'!N9</f>
        <v>11</v>
      </c>
      <c r="O8" s="135">
        <f>'insumo PMR'!O9</f>
        <v>12</v>
      </c>
      <c r="P8" s="135">
        <f>'insumo PMR'!P9</f>
        <v>12</v>
      </c>
      <c r="Q8" s="135">
        <f>'insumo PMR'!Q9</f>
        <v>0</v>
      </c>
      <c r="R8" s="135">
        <f>'insumo PMR'!R9</f>
        <v>0</v>
      </c>
    </row>
    <row r="9" spans="1:19" ht="45" x14ac:dyDescent="0.25">
      <c r="A9" s="670"/>
      <c r="B9" s="670" t="str">
        <f>'insumo PMR'!B10</f>
        <v>Protección  integral a personas y familias en situación de vulneración</v>
      </c>
      <c r="C9" s="135">
        <f>'insumo PMR'!C10</f>
        <v>16</v>
      </c>
      <c r="D9" s="136" t="str">
        <f>'insumo PMR'!D10</f>
        <v>Personas vinculadas a estrategias de prevencion de las violencias, violencia intrafamiliar y la discriminación</v>
      </c>
      <c r="E9" s="135">
        <f>'insumo PMR'!E10</f>
        <v>0</v>
      </c>
      <c r="F9" s="135">
        <f>'insumo PMR'!F10</f>
        <v>1000</v>
      </c>
      <c r="G9" s="135">
        <f>'insumo PMR'!G10</f>
        <v>250</v>
      </c>
      <c r="H9" s="135">
        <f>'insumo PMR'!H10</f>
        <v>250</v>
      </c>
      <c r="I9" s="135">
        <f>'insumo PMR'!I10</f>
        <v>250</v>
      </c>
      <c r="J9" s="135">
        <f>'insumo PMR'!J10</f>
        <v>250</v>
      </c>
      <c r="K9" s="135">
        <f>'insumo PMR'!K10</f>
        <v>250</v>
      </c>
      <c r="L9" s="135">
        <f>'insumo PMR'!L10</f>
        <v>250</v>
      </c>
      <c r="M9" s="135">
        <f>'insumo PMR'!M10</f>
        <v>250</v>
      </c>
      <c r="N9" s="135">
        <f>'insumo PMR'!N10</f>
        <v>250</v>
      </c>
      <c r="O9" s="135">
        <f>'insumo PMR'!O10</f>
        <v>400</v>
      </c>
      <c r="P9" s="135">
        <f>'insumo PMR'!P10</f>
        <v>400</v>
      </c>
      <c r="Q9" s="135">
        <f>'insumo PMR'!Q10</f>
        <v>0</v>
      </c>
      <c r="R9" s="135">
        <f>'insumo PMR'!R10</f>
        <v>0</v>
      </c>
    </row>
    <row r="10" spans="1:19" ht="30" x14ac:dyDescent="0.25">
      <c r="A10" s="670"/>
      <c r="B10" s="670"/>
      <c r="C10" s="135">
        <f>'insumo PMR'!C11</f>
        <v>19</v>
      </c>
      <c r="D10" s="136" t="str">
        <f>'insumo PMR'!D11</f>
        <v>Personas con subsidio tipo C  beneficiadas</v>
      </c>
      <c r="E10" s="135">
        <f>'insumo PMR'!E11</f>
        <v>900</v>
      </c>
      <c r="F10" s="135">
        <f>'insumo PMR'!F11</f>
        <v>900</v>
      </c>
      <c r="G10" s="135">
        <f>'insumo PMR'!G11</f>
        <v>900</v>
      </c>
      <c r="H10" s="135">
        <f>'insumo PMR'!H11</f>
        <v>900</v>
      </c>
      <c r="I10" s="135">
        <f>'insumo PMR'!I11</f>
        <v>900</v>
      </c>
      <c r="J10" s="135">
        <f>'insumo PMR'!J11</f>
        <v>900</v>
      </c>
      <c r="K10" s="135">
        <f>'insumo PMR'!K11</f>
        <v>900</v>
      </c>
      <c r="L10" s="135">
        <f>'insumo PMR'!L11</f>
        <v>900</v>
      </c>
      <c r="M10" s="135">
        <f>'insumo PMR'!M11</f>
        <v>1200</v>
      </c>
      <c r="N10" s="135">
        <f>'insumo PMR'!N11</f>
        <v>1200</v>
      </c>
      <c r="O10" s="135">
        <f>'insumo PMR'!O11</f>
        <v>2300</v>
      </c>
      <c r="P10" s="135">
        <f>'insumo PMR'!P11</f>
        <v>2500</v>
      </c>
      <c r="Q10" s="135">
        <f>'insumo PMR'!Q11</f>
        <v>2700</v>
      </c>
      <c r="R10" s="135">
        <f>'insumo PMR'!R11</f>
        <v>2700</v>
      </c>
    </row>
    <row r="11" spans="1:19" ht="30" x14ac:dyDescent="0.25">
      <c r="A11" s="670"/>
      <c r="B11" s="136" t="str">
        <f>'insumo PMR'!B12</f>
        <v>Protección integral a niños y niñas y adolescentes</v>
      </c>
      <c r="C11" s="135">
        <f>'insumo PMR'!C12</f>
        <v>1</v>
      </c>
      <c r="D11" s="136" t="str">
        <f>'insumo PMR'!D12</f>
        <v>Personas vinculadas a acciones de promoción del buen trato</v>
      </c>
      <c r="E11" s="135">
        <f>'insumo PMR'!E12</f>
        <v>500</v>
      </c>
      <c r="F11" s="135">
        <f>'insumo PMR'!F12</f>
        <v>2000</v>
      </c>
      <c r="G11" s="135">
        <f>'insumo PMR'!G12</f>
        <v>500</v>
      </c>
      <c r="H11" s="135">
        <f>'insumo PMR'!H12</f>
        <v>500</v>
      </c>
      <c r="I11" s="135">
        <f>'insumo PMR'!I12</f>
        <v>500</v>
      </c>
      <c r="J11" s="135">
        <f>'insumo PMR'!J12</f>
        <v>500</v>
      </c>
      <c r="K11" s="135">
        <f>'insumo PMR'!K12</f>
        <v>1395</v>
      </c>
      <c r="L11" s="135">
        <f>'insumo PMR'!L12</f>
        <v>1395</v>
      </c>
      <c r="M11" s="135">
        <f>'insumo PMR'!M12</f>
        <v>451</v>
      </c>
      <c r="N11" s="135">
        <f>'insumo PMR'!N12</f>
        <v>451</v>
      </c>
      <c r="O11" s="135">
        <f>'insumo PMR'!O12</f>
        <v>0</v>
      </c>
      <c r="P11" s="135">
        <f>'insumo PMR'!P12</f>
        <v>0</v>
      </c>
      <c r="Q11" s="135">
        <f>'insumo PMR'!Q12</f>
        <v>0</v>
      </c>
      <c r="R11" s="135">
        <f>'insumo PMR'!R12</f>
        <v>0</v>
      </c>
    </row>
    <row r="12" spans="1:19" ht="45" x14ac:dyDescent="0.25">
      <c r="A12" s="136" t="str">
        <f>'insumo PMR'!A13</f>
        <v>12. SECRETARÍA DE LA MUJER</v>
      </c>
      <c r="B12" s="136" t="str">
        <f>'insumo PMR'!B13</f>
        <v>Espacios y procesos de participación ciudadana fortalecidos</v>
      </c>
      <c r="C12" s="135">
        <f>'insumo PMR'!C13</f>
        <v>14</v>
      </c>
      <c r="D12" s="136" t="str">
        <f>'insumo PMR'!D13</f>
        <v>Personas vinculadas a procesos de prevención de la violencia y discriminación de género</v>
      </c>
      <c r="E12" s="135">
        <f>'insumo PMR'!E13</f>
        <v>0</v>
      </c>
      <c r="F12" s="135">
        <f>'insumo PMR'!F13</f>
        <v>200</v>
      </c>
      <c r="G12" s="135">
        <f>'insumo PMR'!G13</f>
        <v>0</v>
      </c>
      <c r="H12" s="135">
        <f>'insumo PMR'!H13</f>
        <v>66</v>
      </c>
      <c r="I12" s="135">
        <f>'insumo PMR'!I13</f>
        <v>67</v>
      </c>
      <c r="J12" s="135">
        <f>'insumo PMR'!J13</f>
        <v>67</v>
      </c>
      <c r="K12" s="135">
        <f>'insumo PMR'!K13</f>
        <v>0</v>
      </c>
      <c r="L12" s="135">
        <f>'insumo PMR'!L13</f>
        <v>0</v>
      </c>
      <c r="M12" s="135">
        <f>'insumo PMR'!M13</f>
        <v>0</v>
      </c>
      <c r="N12" s="135">
        <f>'insumo PMR'!N13</f>
        <v>0</v>
      </c>
      <c r="O12" s="135">
        <f>'insumo PMR'!O13</f>
        <v>0</v>
      </c>
      <c r="P12" s="135">
        <f>'insumo PMR'!P13</f>
        <v>0</v>
      </c>
      <c r="Q12" s="135">
        <f>'insumo PMR'!Q13</f>
        <v>250</v>
      </c>
      <c r="R12" s="135">
        <f>'insumo PMR'!R13</f>
        <v>0</v>
      </c>
    </row>
    <row r="13" spans="1:19" ht="30" x14ac:dyDescent="0.25">
      <c r="A13" s="670" t="str">
        <f>'insumo PMR'!A14</f>
        <v>2. CULTURA Y RECREACIÓN</v>
      </c>
      <c r="B13" s="136" t="str">
        <f>'insumo PMR'!B14</f>
        <v>Espacios artísticos y culturales</v>
      </c>
      <c r="C13" s="135">
        <f>'insumo PMR'!C14</f>
        <v>23</v>
      </c>
      <c r="D13" s="136" t="str">
        <f>'insumo PMR'!D14</f>
        <v>Eventos culturales realizados</v>
      </c>
      <c r="E13" s="135">
        <f>'insumo PMR'!E14</f>
        <v>6</v>
      </c>
      <c r="F13" s="135">
        <f>'insumo PMR'!F14</f>
        <v>9</v>
      </c>
      <c r="G13" s="135">
        <f>'insumo PMR'!G14</f>
        <v>9</v>
      </c>
      <c r="H13" s="135">
        <f>'insumo PMR'!H14</f>
        <v>9</v>
      </c>
      <c r="I13" s="135">
        <f>'insumo PMR'!I14</f>
        <v>9</v>
      </c>
      <c r="J13" s="135">
        <f>'insumo PMR'!J14</f>
        <v>9</v>
      </c>
      <c r="K13" s="135">
        <f>'insumo PMR'!K14</f>
        <v>12</v>
      </c>
      <c r="L13" s="135">
        <f>'insumo PMR'!L14</f>
        <v>12</v>
      </c>
      <c r="M13" s="135">
        <f>'insumo PMR'!M14</f>
        <v>13</v>
      </c>
      <c r="N13" s="135">
        <f>'insumo PMR'!N14</f>
        <v>13</v>
      </c>
      <c r="O13" s="135">
        <f>'insumo PMR'!O14</f>
        <v>8</v>
      </c>
      <c r="P13" s="135">
        <f>'insumo PMR'!P14</f>
        <v>8</v>
      </c>
      <c r="Q13" s="135">
        <f>'insumo PMR'!Q14</f>
        <v>6</v>
      </c>
      <c r="R13" s="135">
        <f>'insumo PMR'!R14</f>
        <v>1</v>
      </c>
    </row>
    <row r="14" spans="1:19" ht="30" x14ac:dyDescent="0.25">
      <c r="A14" s="670"/>
      <c r="B14" s="136" t="str">
        <f>'insumo PMR'!B15</f>
        <v>Eventos y actividades recreativas y deportivas</v>
      </c>
      <c r="C14" s="135">
        <f>'insumo PMR'!C15</f>
        <v>32</v>
      </c>
      <c r="D14" s="136" t="str">
        <f>'insumo PMR'!D15</f>
        <v>Personas vinculadas a la oferta recreativa y deportiva</v>
      </c>
      <c r="E14" s="135">
        <f>'insumo PMR'!E15</f>
        <v>1680</v>
      </c>
      <c r="F14" s="135">
        <f>'insumo PMR'!F15</f>
        <v>4500</v>
      </c>
      <c r="G14" s="135">
        <f>'insumo PMR'!G15</f>
        <v>1125</v>
      </c>
      <c r="H14" s="135">
        <f>'insumo PMR'!H15</f>
        <v>1125</v>
      </c>
      <c r="I14" s="135">
        <f>'insumo PMR'!I15</f>
        <v>1125</v>
      </c>
      <c r="J14" s="135">
        <f>'insumo PMR'!J15</f>
        <v>1125</v>
      </c>
      <c r="K14" s="135">
        <f>'insumo PMR'!K15</f>
        <v>2000</v>
      </c>
      <c r="L14" s="135">
        <f>'insumo PMR'!L15</f>
        <v>2000</v>
      </c>
      <c r="M14" s="135">
        <f>'insumo PMR'!M15</f>
        <v>2000</v>
      </c>
      <c r="N14" s="135">
        <f>'insumo PMR'!N15</f>
        <v>2000</v>
      </c>
      <c r="O14" s="135">
        <f>'insumo PMR'!O15</f>
        <v>1480</v>
      </c>
      <c r="P14" s="135">
        <f>'insumo PMR'!P15</f>
        <v>1480</v>
      </c>
      <c r="Q14" s="135">
        <f>'insumo PMR'!Q15</f>
        <v>1135</v>
      </c>
      <c r="R14" s="135">
        <f>'insumo PMR'!R15</f>
        <v>0</v>
      </c>
    </row>
    <row r="15" spans="1:19" ht="45" x14ac:dyDescent="0.25">
      <c r="A15" s="670"/>
      <c r="B15" s="136" t="str">
        <f>'insumo PMR'!B16</f>
        <v>Formación artística y cultural</v>
      </c>
      <c r="C15" s="135">
        <f>'insumo PMR'!C16</f>
        <v>25</v>
      </c>
      <c r="D15" s="136" t="str">
        <f>'insumo PMR'!D16</f>
        <v>Personas capacitadas en formación informal artística, cultural y del patrimonio</v>
      </c>
      <c r="E15" s="135">
        <f>'insumo PMR'!E16</f>
        <v>0</v>
      </c>
      <c r="F15" s="135">
        <f>'insumo PMR'!F16</f>
        <v>350</v>
      </c>
      <c r="G15" s="135">
        <f>'insumo PMR'!G16</f>
        <v>350</v>
      </c>
      <c r="H15" s="135">
        <f>'insumo PMR'!H16</f>
        <v>350</v>
      </c>
      <c r="I15" s="135">
        <f>'insumo PMR'!I16</f>
        <v>350</v>
      </c>
      <c r="J15" s="135">
        <f>'insumo PMR'!J16</f>
        <v>350</v>
      </c>
      <c r="K15" s="135">
        <f>'insumo PMR'!K16</f>
        <v>475</v>
      </c>
      <c r="L15" s="135">
        <f>'insumo PMR'!L16</f>
        <v>475</v>
      </c>
      <c r="M15" s="135">
        <f>'insumo PMR'!M16</f>
        <v>250</v>
      </c>
      <c r="N15" s="135">
        <f>'insumo PMR'!N16</f>
        <v>250</v>
      </c>
      <c r="O15" s="135">
        <f>'insumo PMR'!O16</f>
        <v>250</v>
      </c>
      <c r="P15" s="135">
        <f>'insumo PMR'!P16</f>
        <v>250</v>
      </c>
      <c r="Q15" s="135">
        <f>'insumo PMR'!Q16</f>
        <v>350</v>
      </c>
      <c r="R15" s="135">
        <f>'insumo PMR'!R16</f>
        <v>0</v>
      </c>
    </row>
    <row r="16" spans="1:19" x14ac:dyDescent="0.25">
      <c r="A16" s="670"/>
      <c r="B16" s="670" t="str">
        <f>'insumo PMR'!B17</f>
        <v>Infraestructura y dotación a centros artísticos y culturales</v>
      </c>
      <c r="C16" s="135">
        <f>'insumo PMR'!C17</f>
        <v>27</v>
      </c>
      <c r="D16" s="136" t="str">
        <f>'insumo PMR'!D17</f>
        <v>Escenarios culturales dotados</v>
      </c>
      <c r="E16" s="135">
        <f>'insumo PMR'!E17</f>
        <v>0</v>
      </c>
      <c r="F16" s="135">
        <f>'insumo PMR'!F17</f>
        <v>4</v>
      </c>
      <c r="G16" s="135">
        <f>'insumo PMR'!G17</f>
        <v>0</v>
      </c>
      <c r="H16" s="135">
        <f>'insumo PMR'!H17</f>
        <v>1</v>
      </c>
      <c r="I16" s="135">
        <f>'insumo PMR'!I17</f>
        <v>1</v>
      </c>
      <c r="J16" s="135">
        <f>'insumo PMR'!J17</f>
        <v>2</v>
      </c>
      <c r="K16" s="135">
        <f>'insumo PMR'!K17</f>
        <v>0</v>
      </c>
      <c r="L16" s="135">
        <f>'insumo PMR'!L17</f>
        <v>0</v>
      </c>
      <c r="M16" s="135">
        <f>'insumo PMR'!M17</f>
        <v>0</v>
      </c>
      <c r="N16" s="135">
        <f>'insumo PMR'!N17</f>
        <v>3</v>
      </c>
      <c r="O16" s="135">
        <f>'insumo PMR'!O17</f>
        <v>3</v>
      </c>
      <c r="P16" s="135">
        <f>'insumo PMR'!P17</f>
        <v>3</v>
      </c>
      <c r="Q16" s="135">
        <f>'insumo PMR'!Q17</f>
        <v>0</v>
      </c>
      <c r="R16" s="135">
        <f>'insumo PMR'!R17</f>
        <v>0</v>
      </c>
    </row>
    <row r="17" spans="1:18" ht="30" x14ac:dyDescent="0.25">
      <c r="A17" s="670"/>
      <c r="B17" s="670"/>
      <c r="C17" s="135">
        <f>'insumo PMR'!C18</f>
        <v>29</v>
      </c>
      <c r="D17" s="136" t="str">
        <f>'insumo PMR'!D18</f>
        <v>Espacios recuperados o apropiados culturalmente</v>
      </c>
      <c r="E17" s="135">
        <f>'insumo PMR'!E18</f>
        <v>0</v>
      </c>
      <c r="F17" s="135">
        <f>'insumo PMR'!F18</f>
        <v>2</v>
      </c>
      <c r="G17" s="135">
        <f>'insumo PMR'!G18</f>
        <v>1</v>
      </c>
      <c r="H17" s="135">
        <f>'insumo PMR'!H18</f>
        <v>0</v>
      </c>
      <c r="I17" s="135">
        <f>'insumo PMR'!I18</f>
        <v>1</v>
      </c>
      <c r="J17" s="135">
        <f>'insumo PMR'!J18</f>
        <v>0</v>
      </c>
      <c r="K17" s="135">
        <f>'insumo PMR'!K18</f>
        <v>1</v>
      </c>
      <c r="L17" s="135">
        <f>'insumo PMR'!L18</f>
        <v>1</v>
      </c>
      <c r="M17" s="135">
        <f>'insumo PMR'!M18</f>
        <v>2</v>
      </c>
      <c r="N17" s="135">
        <f>'insumo PMR'!N18</f>
        <v>2</v>
      </c>
      <c r="O17" s="135">
        <f>'insumo PMR'!O18</f>
        <v>0</v>
      </c>
      <c r="P17" s="135">
        <f>'insumo PMR'!P18</f>
        <v>0</v>
      </c>
      <c r="Q17" s="135">
        <f>'insumo PMR'!Q18</f>
        <v>0</v>
      </c>
      <c r="R17" s="135">
        <f>'insumo PMR'!R18</f>
        <v>0</v>
      </c>
    </row>
    <row r="18" spans="1:18" ht="30" x14ac:dyDescent="0.25">
      <c r="A18" s="670" t="str">
        <f>'insumo PMR'!A19</f>
        <v>4. EDUCACIÓN</v>
      </c>
      <c r="B18" s="136" t="str">
        <f>'insumo PMR'!B19</f>
        <v>Actividades Extraescolares</v>
      </c>
      <c r="C18" s="135">
        <f>'insumo PMR'!C19</f>
        <v>9</v>
      </c>
      <c r="D18" s="136" t="str">
        <f>'insumo PMR'!D19</f>
        <v>Estudiantes vinculados a actividades extraescolares</v>
      </c>
      <c r="E18" s="135">
        <f>'insumo PMR'!E19</f>
        <v>0</v>
      </c>
      <c r="F18" s="135">
        <f>'insumo PMR'!F19</f>
        <v>1000</v>
      </c>
      <c r="G18" s="135">
        <f>'insumo PMR'!G19</f>
        <v>250</v>
      </c>
      <c r="H18" s="135">
        <f>'insumo PMR'!H19</f>
        <v>250</v>
      </c>
      <c r="I18" s="135">
        <f>'insumo PMR'!I19</f>
        <v>250</v>
      </c>
      <c r="J18" s="135">
        <f>'insumo PMR'!J19</f>
        <v>250</v>
      </c>
      <c r="K18" s="135">
        <f>'insumo PMR'!K19</f>
        <v>900</v>
      </c>
      <c r="L18" s="135">
        <f>'insumo PMR'!L19</f>
        <v>900</v>
      </c>
      <c r="M18" s="135">
        <f>'insumo PMR'!M19</f>
        <v>0</v>
      </c>
      <c r="N18" s="135">
        <f>'insumo PMR'!N19</f>
        <v>0</v>
      </c>
      <c r="O18" s="135">
        <f>'insumo PMR'!O19</f>
        <v>300</v>
      </c>
      <c r="P18" s="135">
        <f>'insumo PMR'!P19</f>
        <v>300</v>
      </c>
      <c r="Q18" s="135">
        <f>'insumo PMR'!Q19</f>
        <v>0</v>
      </c>
      <c r="R18" s="135">
        <f>'insumo PMR'!R19</f>
        <v>0</v>
      </c>
    </row>
    <row r="19" spans="1:18" ht="30" x14ac:dyDescent="0.25">
      <c r="A19" s="670"/>
      <c r="B19" s="136" t="str">
        <f>'insumo PMR'!B20</f>
        <v>Infraestructura y dotación escolar</v>
      </c>
      <c r="C19" s="135">
        <f>'insumo PMR'!C20</f>
        <v>7</v>
      </c>
      <c r="D19" s="136" t="str">
        <f>'insumo PMR'!D20</f>
        <v>Planteles educativos dotados</v>
      </c>
      <c r="E19" s="135">
        <f>'insumo PMR'!E20</f>
        <v>0</v>
      </c>
      <c r="F19" s="135">
        <f>'insumo PMR'!F20</f>
        <v>8</v>
      </c>
      <c r="G19" s="135">
        <f>'insumo PMR'!G20</f>
        <v>0</v>
      </c>
      <c r="H19" s="135">
        <f>'insumo PMR'!H20</f>
        <v>2</v>
      </c>
      <c r="I19" s="135">
        <f>'insumo PMR'!I20</f>
        <v>2</v>
      </c>
      <c r="J19" s="135">
        <f>'insumo PMR'!J20</f>
        <v>3</v>
      </c>
      <c r="K19" s="135">
        <f>'insumo PMR'!K20</f>
        <v>0</v>
      </c>
      <c r="L19" s="135">
        <f>'insumo PMR'!L20</f>
        <v>0</v>
      </c>
      <c r="M19" s="135">
        <f>'insumo PMR'!M20</f>
        <v>9</v>
      </c>
      <c r="N19" s="135">
        <f>'insumo PMR'!N20</f>
        <v>9</v>
      </c>
      <c r="O19" s="135">
        <f>'insumo PMR'!O20</f>
        <v>0</v>
      </c>
      <c r="P19" s="135">
        <f>'insumo PMR'!P20</f>
        <v>0</v>
      </c>
      <c r="Q19" s="135">
        <f>'insumo PMR'!Q20</f>
        <v>0</v>
      </c>
      <c r="R19" s="135">
        <f>'insumo PMR'!R20</f>
        <v>0</v>
      </c>
    </row>
    <row r="20" spans="1:18" ht="30" x14ac:dyDescent="0.25">
      <c r="A20" s="670"/>
      <c r="B20" s="136" t="str">
        <f>'insumo PMR'!B21</f>
        <v>Validación Escolar</v>
      </c>
      <c r="C20" s="135">
        <f>'insumo PMR'!C21</f>
        <v>11</v>
      </c>
      <c r="D20" s="136" t="str">
        <f>'insumo PMR'!D21</f>
        <v>Personas vinculadas a programas de educación para adultos</v>
      </c>
      <c r="E20" s="135">
        <f>'insumo PMR'!E21</f>
        <v>0</v>
      </c>
      <c r="F20" s="135">
        <f>'insumo PMR'!F21</f>
        <v>400</v>
      </c>
      <c r="G20" s="135">
        <f>'insumo PMR'!G21</f>
        <v>100</v>
      </c>
      <c r="H20" s="135">
        <f>'insumo PMR'!H21</f>
        <v>100</v>
      </c>
      <c r="I20" s="135">
        <f>'insumo PMR'!I21</f>
        <v>100</v>
      </c>
      <c r="J20" s="135">
        <f>'insumo PMR'!J21</f>
        <v>100</v>
      </c>
      <c r="K20" s="135">
        <f>'insumo PMR'!K21</f>
        <v>100</v>
      </c>
      <c r="L20" s="135">
        <f>'insumo PMR'!L21</f>
        <v>130</v>
      </c>
      <c r="M20" s="135">
        <f>'insumo PMR'!M21</f>
        <v>270</v>
      </c>
      <c r="N20" s="135">
        <f>'insumo PMR'!N21</f>
        <v>270</v>
      </c>
      <c r="O20" s="135">
        <f>'insumo PMR'!O21</f>
        <v>25</v>
      </c>
      <c r="P20" s="135">
        <f>'insumo PMR'!P21</f>
        <v>25</v>
      </c>
      <c r="Q20" s="135">
        <f>'insumo PMR'!Q21</f>
        <v>100</v>
      </c>
      <c r="R20" s="135">
        <f>'insumo PMR'!R21</f>
        <v>0</v>
      </c>
    </row>
    <row r="21" spans="1:18" ht="45" x14ac:dyDescent="0.25">
      <c r="A21" s="670" t="str">
        <f>'insumo PMR'!A22</f>
        <v>5. GOBIERNO</v>
      </c>
      <c r="B21" s="136" t="str">
        <f>'insumo PMR'!B22</f>
        <v>Espacios para el control social</v>
      </c>
      <c r="C21" s="135">
        <f>'insumo PMR'!C22</f>
        <v>71</v>
      </c>
      <c r="D21" s="136" t="str">
        <f>'insumo PMR'!D22</f>
        <v>Personas vinculadas en campañas para promover la participación y el control social</v>
      </c>
      <c r="E21" s="135">
        <f>'insumo PMR'!E22</f>
        <v>0</v>
      </c>
      <c r="F21" s="135">
        <f>'insumo PMR'!F22</f>
        <v>400</v>
      </c>
      <c r="G21" s="135">
        <f>'insumo PMR'!G22</f>
        <v>0</v>
      </c>
      <c r="H21" s="135">
        <f>'insumo PMR'!H22</f>
        <v>150</v>
      </c>
      <c r="I21" s="135">
        <f>'insumo PMR'!I22</f>
        <v>150</v>
      </c>
      <c r="J21" s="135">
        <f>'insumo PMR'!J22</f>
        <v>100</v>
      </c>
      <c r="K21" s="135">
        <f>'insumo PMR'!K22</f>
        <v>0</v>
      </c>
      <c r="L21" s="135">
        <f>'insumo PMR'!L22</f>
        <v>0</v>
      </c>
      <c r="M21" s="135">
        <f>'insumo PMR'!M22</f>
        <v>0</v>
      </c>
      <c r="N21" s="135">
        <f>'insumo PMR'!N22</f>
        <v>0</v>
      </c>
      <c r="O21" s="135">
        <f>'insumo PMR'!O22</f>
        <v>620</v>
      </c>
      <c r="P21" s="135">
        <f>'insumo PMR'!P22</f>
        <v>620</v>
      </c>
      <c r="Q21" s="135">
        <f>'insumo PMR'!Q22</f>
        <v>0</v>
      </c>
      <c r="R21" s="135">
        <f>'insumo PMR'!R22</f>
        <v>0</v>
      </c>
    </row>
    <row r="22" spans="1:18" ht="60" x14ac:dyDescent="0.25">
      <c r="A22" s="670"/>
      <c r="B22" s="670" t="str">
        <f>'insumo PMR'!B23</f>
        <v>Espacios y procesos de participación ciudadana fortalecidos</v>
      </c>
      <c r="C22" s="135">
        <f>'insumo PMR'!C23</f>
        <v>15</v>
      </c>
      <c r="D22" s="136" t="str">
        <f>'insumo PMR'!D23</f>
        <v>Personas vinculadas a procesos de reconocimiento de la identidad de género, orientación y diversidad sexual, grupo étnico y etario.</v>
      </c>
      <c r="E22" s="135">
        <f>'insumo PMR'!E23</f>
        <v>5</v>
      </c>
      <c r="F22" s="135">
        <f>'insumo PMR'!F23</f>
        <v>5000</v>
      </c>
      <c r="G22" s="135">
        <f>'insumo PMR'!G23</f>
        <v>1250</v>
      </c>
      <c r="H22" s="135">
        <f>'insumo PMR'!H23</f>
        <v>1250</v>
      </c>
      <c r="I22" s="135">
        <f>'insumo PMR'!I23</f>
        <v>1250</v>
      </c>
      <c r="J22" s="135">
        <f>'insumo PMR'!J23</f>
        <v>1250</v>
      </c>
      <c r="K22" s="135">
        <f>'insumo PMR'!K23</f>
        <v>1250</v>
      </c>
      <c r="L22" s="135">
        <f>'insumo PMR'!L23</f>
        <v>1250</v>
      </c>
      <c r="M22" s="135">
        <f>'insumo PMR'!M23</f>
        <v>1250</v>
      </c>
      <c r="N22" s="135">
        <f>'insumo PMR'!N23</f>
        <v>1250</v>
      </c>
      <c r="O22" s="135">
        <f>'insumo PMR'!O23</f>
        <v>1800</v>
      </c>
      <c r="P22" s="135">
        <f>'insumo PMR'!P23</f>
        <v>1800</v>
      </c>
      <c r="Q22" s="135">
        <f>'insumo PMR'!Q23</f>
        <v>0</v>
      </c>
      <c r="R22" s="135">
        <f>'insumo PMR'!R23</f>
        <v>0</v>
      </c>
    </row>
    <row r="23" spans="1:18" ht="30" x14ac:dyDescent="0.25">
      <c r="A23" s="670"/>
      <c r="B23" s="670"/>
      <c r="C23" s="135">
        <f>'insumo PMR'!C24</f>
        <v>61</v>
      </c>
      <c r="D23" s="136" t="str">
        <f>'insumo PMR'!D24</f>
        <v>Personas  vinculadas a procesos de presupestos participativos</v>
      </c>
      <c r="E23" s="135">
        <f>'insumo PMR'!E24</f>
        <v>900</v>
      </c>
      <c r="F23" s="135">
        <f>'insumo PMR'!F24</f>
        <v>600</v>
      </c>
      <c r="G23" s="135">
        <f>'insumo PMR'!G24</f>
        <v>150</v>
      </c>
      <c r="H23" s="135">
        <f>'insumo PMR'!H24</f>
        <v>150</v>
      </c>
      <c r="I23" s="135">
        <f>'insumo PMR'!I24</f>
        <v>150</v>
      </c>
      <c r="J23" s="135">
        <f>'insumo PMR'!J24</f>
        <v>150</v>
      </c>
      <c r="K23" s="135">
        <f>'insumo PMR'!K24</f>
        <v>0</v>
      </c>
      <c r="L23" s="135">
        <f>'insumo PMR'!L24</f>
        <v>0</v>
      </c>
      <c r="M23" s="135">
        <f>'insumo PMR'!M24</f>
        <v>150</v>
      </c>
      <c r="N23" s="135">
        <f>'insumo PMR'!N24</f>
        <v>150</v>
      </c>
      <c r="O23" s="135">
        <f>'insumo PMR'!O24</f>
        <v>0</v>
      </c>
      <c r="P23" s="135">
        <f>'insumo PMR'!P24</f>
        <v>0</v>
      </c>
      <c r="Q23" s="135">
        <f>'insumo PMR'!Q24</f>
        <v>0</v>
      </c>
      <c r="R23" s="135">
        <f>'insumo PMR'!R24</f>
        <v>0</v>
      </c>
    </row>
    <row r="24" spans="1:18" x14ac:dyDescent="0.25">
      <c r="A24" s="670"/>
      <c r="B24" s="670"/>
      <c r="C24" s="135">
        <f>'insumo PMR'!C25</f>
        <v>63</v>
      </c>
      <c r="D24" s="136" t="str">
        <f>'insumo PMR'!D25</f>
        <v>Salones comunales dotados</v>
      </c>
      <c r="E24" s="135">
        <f>'insumo PMR'!E25</f>
        <v>8</v>
      </c>
      <c r="F24" s="135">
        <f>'insumo PMR'!F25</f>
        <v>15</v>
      </c>
      <c r="G24" s="135">
        <f>'insumo PMR'!G25</f>
        <v>4</v>
      </c>
      <c r="H24" s="135">
        <f>'insumo PMR'!H25</f>
        <v>4</v>
      </c>
      <c r="I24" s="135">
        <f>'insumo PMR'!I25</f>
        <v>4</v>
      </c>
      <c r="J24" s="135">
        <f>'insumo PMR'!J25</f>
        <v>3</v>
      </c>
      <c r="K24" s="135">
        <f>'insumo PMR'!K25</f>
        <v>6</v>
      </c>
      <c r="L24" s="135">
        <f>'insumo PMR'!L25</f>
        <v>6</v>
      </c>
      <c r="M24" s="135">
        <f>'insumo PMR'!M25</f>
        <v>6</v>
      </c>
      <c r="N24" s="135">
        <f>'insumo PMR'!N25</f>
        <v>6</v>
      </c>
      <c r="O24" s="135">
        <f>'insumo PMR'!O25</f>
        <v>8</v>
      </c>
      <c r="P24" s="135">
        <f>'insumo PMR'!P25</f>
        <v>8</v>
      </c>
      <c r="Q24" s="135">
        <f>'insumo PMR'!Q25</f>
        <v>6</v>
      </c>
      <c r="R24" s="135">
        <f>'insumo PMR'!R25</f>
        <v>0</v>
      </c>
    </row>
    <row r="25" spans="1:18" ht="30" x14ac:dyDescent="0.25">
      <c r="A25" s="670"/>
      <c r="B25" s="670"/>
      <c r="C25" s="135">
        <f>'insumo PMR'!C26</f>
        <v>65</v>
      </c>
      <c r="D25" s="136" t="str">
        <f>'insumo PMR'!D26</f>
        <v>Organizaciones sociales fortalecidas para la participación</v>
      </c>
      <c r="E25" s="135">
        <f>'insumo PMR'!E26</f>
        <v>0</v>
      </c>
      <c r="F25" s="135">
        <f>'insumo PMR'!F26</f>
        <v>60</v>
      </c>
      <c r="G25" s="135">
        <f>'insumo PMR'!G26</f>
        <v>15</v>
      </c>
      <c r="H25" s="135">
        <f>'insumo PMR'!H26</f>
        <v>15</v>
      </c>
      <c r="I25" s="135">
        <f>'insumo PMR'!I26</f>
        <v>15</v>
      </c>
      <c r="J25" s="135">
        <f>'insumo PMR'!J26</f>
        <v>15</v>
      </c>
      <c r="K25" s="135">
        <f>'insumo PMR'!K26</f>
        <v>15</v>
      </c>
      <c r="L25" s="135">
        <f>'insumo PMR'!L26</f>
        <v>15</v>
      </c>
      <c r="M25" s="135">
        <f>'insumo PMR'!M26</f>
        <v>0</v>
      </c>
      <c r="N25" s="135">
        <f>'insumo PMR'!N26</f>
        <v>0</v>
      </c>
      <c r="O25" s="135">
        <f>'insumo PMR'!O26</f>
        <v>65</v>
      </c>
      <c r="P25" s="135">
        <f>'insumo PMR'!P26</f>
        <v>65</v>
      </c>
      <c r="Q25" s="135">
        <f>'insumo PMR'!Q26</f>
        <v>0</v>
      </c>
      <c r="R25" s="135">
        <f>'insumo PMR'!R26</f>
        <v>0</v>
      </c>
    </row>
    <row r="26" spans="1:18" x14ac:dyDescent="0.25">
      <c r="A26" s="670"/>
      <c r="B26" s="670" t="str">
        <f>'insumo PMR'!B27</f>
        <v>Fortalecimiento institucional</v>
      </c>
      <c r="C26" s="135">
        <f>'insumo PMR'!C27</f>
        <v>75</v>
      </c>
      <c r="D26" s="136" t="str">
        <f>'insumo PMR'!D27</f>
        <v>Ediles con pago de honorarios cubierto</v>
      </c>
      <c r="E26" s="135">
        <f>'insumo PMR'!E27</f>
        <v>7</v>
      </c>
      <c r="F26" s="135">
        <f>'insumo PMR'!F27</f>
        <v>7</v>
      </c>
      <c r="G26" s="135">
        <f>'insumo PMR'!G27</f>
        <v>7</v>
      </c>
      <c r="H26" s="135">
        <f>'insumo PMR'!H27</f>
        <v>7</v>
      </c>
      <c r="I26" s="135">
        <f>'insumo PMR'!I27</f>
        <v>7</v>
      </c>
      <c r="J26" s="135">
        <f>'insumo PMR'!J27</f>
        <v>7</v>
      </c>
      <c r="K26" s="135">
        <f>'insumo PMR'!K27</f>
        <v>7</v>
      </c>
      <c r="L26" s="135">
        <f>'insumo PMR'!L27</f>
        <v>7</v>
      </c>
      <c r="M26" s="135">
        <f>'insumo PMR'!M27</f>
        <v>7</v>
      </c>
      <c r="N26" s="135">
        <f>'insumo PMR'!N27</f>
        <v>7</v>
      </c>
      <c r="O26" s="135">
        <f>'insumo PMR'!O27</f>
        <v>7</v>
      </c>
      <c r="P26" s="135">
        <f>'insumo PMR'!P27</f>
        <v>7</v>
      </c>
      <c r="Q26" s="135">
        <f>'insumo PMR'!Q27</f>
        <v>7</v>
      </c>
      <c r="R26" s="135">
        <f>'insumo PMR'!R27</f>
        <v>7</v>
      </c>
    </row>
    <row r="27" spans="1:18" ht="30" x14ac:dyDescent="0.25">
      <c r="A27" s="670"/>
      <c r="B27" s="670"/>
      <c r="C27" s="135">
        <f>'insumo PMR'!C28</f>
        <v>76</v>
      </c>
      <c r="D27" s="136" t="str">
        <f>'insumo PMR'!D28</f>
        <v>Estrategias realizadas de fortalecimiento institucional</v>
      </c>
      <c r="E27" s="135">
        <f>'insumo PMR'!E28</f>
        <v>1</v>
      </c>
      <c r="F27" s="135">
        <f>'insumo PMR'!F28</f>
        <v>2</v>
      </c>
      <c r="G27" s="135">
        <f>'insumo PMR'!G28</f>
        <v>2</v>
      </c>
      <c r="H27" s="135">
        <f>'insumo PMR'!H28</f>
        <v>2</v>
      </c>
      <c r="I27" s="135">
        <f>'insumo PMR'!I28</f>
        <v>2</v>
      </c>
      <c r="J27" s="135">
        <f>'insumo PMR'!J28</f>
        <v>2</v>
      </c>
      <c r="K27" s="135">
        <f>'insumo PMR'!K28</f>
        <v>1</v>
      </c>
      <c r="L27" s="135">
        <f>'insumo PMR'!L28</f>
        <v>1</v>
      </c>
      <c r="M27" s="135">
        <f>'insumo PMR'!M28</f>
        <v>1</v>
      </c>
      <c r="N27" s="135">
        <f>'insumo PMR'!N28</f>
        <v>1</v>
      </c>
      <c r="O27" s="135">
        <f>'insumo PMR'!O28</f>
        <v>4</v>
      </c>
      <c r="P27" s="135">
        <f>'insumo PMR'!P28</f>
        <v>4</v>
      </c>
      <c r="Q27" s="135">
        <f>'insumo PMR'!Q28</f>
        <v>2</v>
      </c>
      <c r="R27" s="135">
        <f>'insumo PMR'!R28</f>
        <v>2</v>
      </c>
    </row>
    <row r="28" spans="1:18" ht="45" x14ac:dyDescent="0.25">
      <c r="A28" s="670"/>
      <c r="B28" s="136" t="str">
        <f>'insumo PMR'!B29</f>
        <v>Prevención, atención y gestión del conflicto en la localidad</v>
      </c>
      <c r="C28" s="135">
        <f>'insumo PMR'!C29</f>
        <v>69</v>
      </c>
      <c r="D28" s="136" t="str">
        <f>'insumo PMR'!D29</f>
        <v>Personas vinculadas a la promoción de espacios y/o campañas  para mejorar la convivencia y seguridad ciudadana</v>
      </c>
      <c r="E28" s="135">
        <f>'insumo PMR'!E29</f>
        <v>0</v>
      </c>
      <c r="F28" s="135">
        <f>'insumo PMR'!F29</f>
        <v>1600</v>
      </c>
      <c r="G28" s="135">
        <f>'insumo PMR'!G29</f>
        <v>400</v>
      </c>
      <c r="H28" s="135">
        <f>'insumo PMR'!H29</f>
        <v>400</v>
      </c>
      <c r="I28" s="135">
        <f>'insumo PMR'!I29</f>
        <v>400</v>
      </c>
      <c r="J28" s="135">
        <f>'insumo PMR'!J29</f>
        <v>400</v>
      </c>
      <c r="K28" s="135">
        <f>'insumo PMR'!K29</f>
        <v>260</v>
      </c>
      <c r="L28" s="135">
        <f>'insumo PMR'!L29</f>
        <v>260</v>
      </c>
      <c r="M28" s="135">
        <f>'insumo PMR'!M29</f>
        <v>645</v>
      </c>
      <c r="N28" s="135">
        <f>'insumo PMR'!N29</f>
        <v>645</v>
      </c>
      <c r="O28" s="135">
        <f>'insumo PMR'!O29</f>
        <v>330</v>
      </c>
      <c r="P28" s="135">
        <f>'insumo PMR'!P29</f>
        <v>370</v>
      </c>
      <c r="Q28" s="135">
        <f>'insumo PMR'!Q29</f>
        <v>405</v>
      </c>
      <c r="R28" s="135">
        <f>'insumo PMR'!R29</f>
        <v>0</v>
      </c>
    </row>
    <row r="29" spans="1:18" ht="45" x14ac:dyDescent="0.25">
      <c r="A29" s="136" t="str">
        <f>'insumo PMR'!A30</f>
        <v>7. HABITAT</v>
      </c>
      <c r="B29" s="136" t="str">
        <f>'insumo PMR'!B30</f>
        <v>Manejo integral de residuos sólidos</v>
      </c>
      <c r="C29" s="135">
        <f>'insumo PMR'!C30</f>
        <v>57</v>
      </c>
      <c r="D29" s="136" t="str">
        <f>'insumo PMR'!D30</f>
        <v>Personas vinculadas a campañas de promoción de reciclaje y disposición diferenciada de residuos sólidos</v>
      </c>
      <c r="E29" s="135">
        <f>'insumo PMR'!E30</f>
        <v>50</v>
      </c>
      <c r="F29" s="135">
        <f>'insumo PMR'!F30</f>
        <v>400</v>
      </c>
      <c r="G29" s="135">
        <f>'insumo PMR'!G30</f>
        <v>100</v>
      </c>
      <c r="H29" s="135">
        <f>'insumo PMR'!H30</f>
        <v>100</v>
      </c>
      <c r="I29" s="135">
        <f>'insumo PMR'!I30</f>
        <v>100</v>
      </c>
      <c r="J29" s="135">
        <f>'insumo PMR'!J30</f>
        <v>100</v>
      </c>
      <c r="K29" s="135">
        <f>'insumo PMR'!K30</f>
        <v>100</v>
      </c>
      <c r="L29" s="135">
        <f>'insumo PMR'!L30</f>
        <v>100</v>
      </c>
      <c r="M29" s="135">
        <f>'insumo PMR'!M30</f>
        <v>100</v>
      </c>
      <c r="N29" s="135">
        <f>'insumo PMR'!N30</f>
        <v>100</v>
      </c>
      <c r="O29" s="135">
        <f>'insumo PMR'!O30</f>
        <v>150</v>
      </c>
      <c r="P29" s="135">
        <f>'insumo PMR'!P30</f>
        <v>200</v>
      </c>
      <c r="Q29" s="135">
        <f>'insumo PMR'!Q30</f>
        <v>900</v>
      </c>
      <c r="R29" s="135">
        <f>'insumo PMR'!R30</f>
        <v>0</v>
      </c>
    </row>
    <row r="30" spans="1:18" x14ac:dyDescent="0.25">
      <c r="A30" s="670" t="str">
        <f>'insumo PMR'!A31</f>
        <v>8. MOVILIDAD</v>
      </c>
      <c r="B30" s="136" t="str">
        <f>'insumo PMR'!B31</f>
        <v>Espacio Publico</v>
      </c>
      <c r="C30" s="135">
        <f>'insumo PMR'!C31</f>
        <v>51</v>
      </c>
      <c r="D30" s="136" t="str">
        <f>'insumo PMR'!D31</f>
        <v>m2 de espacio público recuperado</v>
      </c>
      <c r="E30" s="135">
        <f>'insumo PMR'!E31</f>
        <v>0</v>
      </c>
      <c r="F30" s="135">
        <f>'insumo PMR'!F31</f>
        <v>12000</v>
      </c>
      <c r="G30" s="135">
        <f>'insumo PMR'!G31</f>
        <v>3000</v>
      </c>
      <c r="H30" s="135">
        <f>'insumo PMR'!H31</f>
        <v>3000</v>
      </c>
      <c r="I30" s="135">
        <f>'insumo PMR'!I31</f>
        <v>3000</v>
      </c>
      <c r="J30" s="135">
        <f>'insumo PMR'!J31</f>
        <v>3000</v>
      </c>
      <c r="K30" s="135">
        <f>'insumo PMR'!K31</f>
        <v>1191</v>
      </c>
      <c r="L30" s="135">
        <f>'insumo PMR'!L31</f>
        <v>5656</v>
      </c>
      <c r="M30" s="135">
        <f>'insumo PMR'!M31</f>
        <v>5600</v>
      </c>
      <c r="N30" s="135">
        <f>'insumo PMR'!N31</f>
        <v>5600</v>
      </c>
      <c r="O30" s="135">
        <f>'insumo PMR'!O31</f>
        <v>2169</v>
      </c>
      <c r="P30" s="135">
        <f>'insumo PMR'!P31</f>
        <v>2169</v>
      </c>
      <c r="Q30" s="135">
        <f>'insumo PMR'!Q31</f>
        <v>7000</v>
      </c>
      <c r="R30" s="135">
        <f>'insumo PMR'!R31</f>
        <v>0</v>
      </c>
    </row>
    <row r="31" spans="1:18" x14ac:dyDescent="0.25">
      <c r="A31" s="670"/>
      <c r="B31" s="136" t="str">
        <f>'insumo PMR'!B32</f>
        <v>Vías Locales</v>
      </c>
      <c r="C31" s="135">
        <f>'insumo PMR'!C32</f>
        <v>46</v>
      </c>
      <c r="D31" s="136" t="str">
        <f>'insumo PMR'!D32</f>
        <v>Km/carril de malla vial local recuperados</v>
      </c>
      <c r="E31" s="135">
        <f>'insumo PMR'!E32</f>
        <v>0</v>
      </c>
      <c r="F31" s="135">
        <f>'insumo PMR'!F32</f>
        <v>83</v>
      </c>
      <c r="G31" s="135">
        <f>'insumo PMR'!G32</f>
        <v>21</v>
      </c>
      <c r="H31" s="135">
        <f>'insumo PMR'!H32</f>
        <v>21</v>
      </c>
      <c r="I31" s="135">
        <f>'insumo PMR'!I32</f>
        <v>21</v>
      </c>
      <c r="J31" s="135">
        <f>'insumo PMR'!J32</f>
        <v>20</v>
      </c>
      <c r="K31" s="135">
        <f>'insumo PMR'!K32</f>
        <v>4.99</v>
      </c>
      <c r="L31" s="135">
        <f>'insumo PMR'!L32</f>
        <v>5</v>
      </c>
      <c r="M31" s="135">
        <f>'insumo PMR'!M32</f>
        <v>4</v>
      </c>
      <c r="N31" s="135">
        <f>'insumo PMR'!N32</f>
        <v>4</v>
      </c>
      <c r="O31" s="135">
        <f>'insumo PMR'!O32</f>
        <v>2</v>
      </c>
      <c r="P31" s="135">
        <f>'insumo PMR'!P32</f>
        <v>3.1</v>
      </c>
      <c r="Q31" s="135">
        <f>'insumo PMR'!Q32</f>
        <v>3.5</v>
      </c>
      <c r="R31" s="135">
        <f>'insumo PMR'!R32</f>
        <v>0</v>
      </c>
    </row>
    <row r="32" spans="1:18" ht="30" x14ac:dyDescent="0.25">
      <c r="A32" s="670" t="str">
        <f>'insumo PMR'!A33</f>
        <v>9. SALUD</v>
      </c>
      <c r="B32" s="670" t="str">
        <f>'insumo PMR'!B33</f>
        <v>Promoción, prevención e intervención en salud</v>
      </c>
      <c r="C32" s="135">
        <f>'insumo PMR'!C33</f>
        <v>4</v>
      </c>
      <c r="D32" s="136" t="str">
        <f>'insumo PMR'!D33</f>
        <v>Personas vinculadas a acciones de promoción y prevención en salud</v>
      </c>
      <c r="E32" s="135">
        <f>'insumo PMR'!E33</f>
        <v>2395</v>
      </c>
      <c r="F32" s="135">
        <f>'insumo PMR'!F33</f>
        <v>13200</v>
      </c>
      <c r="G32" s="135">
        <f>'insumo PMR'!G33</f>
        <v>3300</v>
      </c>
      <c r="H32" s="135">
        <f>'insumo PMR'!H33</f>
        <v>3300</v>
      </c>
      <c r="I32" s="135">
        <f>'insumo PMR'!I33</f>
        <v>3300</v>
      </c>
      <c r="J32" s="135">
        <f>'insumo PMR'!J33</f>
        <v>3300</v>
      </c>
      <c r="K32" s="135">
        <f>'insumo PMR'!K33</f>
        <v>3300</v>
      </c>
      <c r="L32" s="135">
        <f>'insumo PMR'!L33</f>
        <v>3300</v>
      </c>
      <c r="M32" s="135">
        <f>'insumo PMR'!M33</f>
        <v>3220</v>
      </c>
      <c r="N32" s="135">
        <f>'insumo PMR'!N33</f>
        <v>3300</v>
      </c>
      <c r="O32" s="135">
        <f>'insumo PMR'!O33</f>
        <v>3380</v>
      </c>
      <c r="P32" s="135">
        <f>'insumo PMR'!P33</f>
        <v>3380</v>
      </c>
      <c r="Q32" s="135">
        <f>'insumo PMR'!Q33</f>
        <v>4990</v>
      </c>
      <c r="R32" s="135">
        <f>'insumo PMR'!R33</f>
        <v>0</v>
      </c>
    </row>
    <row r="33" spans="1:18" x14ac:dyDescent="0.25">
      <c r="A33" s="670"/>
      <c r="B33" s="670"/>
      <c r="C33" s="135">
        <f>'insumo PMR'!C34</f>
        <v>5</v>
      </c>
      <c r="D33" s="136" t="str">
        <f>'insumo PMR'!D34</f>
        <v>Personas benficiadas con ayudas técnicas</v>
      </c>
      <c r="E33" s="135">
        <f>'insumo PMR'!E34</f>
        <v>90</v>
      </c>
      <c r="F33" s="135">
        <f>'insumo PMR'!F34</f>
        <v>320</v>
      </c>
      <c r="G33" s="135">
        <f>'insumo PMR'!G34</f>
        <v>80</v>
      </c>
      <c r="H33" s="135">
        <f>'insumo PMR'!H34</f>
        <v>80</v>
      </c>
      <c r="I33" s="135">
        <f>'insumo PMR'!I34</f>
        <v>80</v>
      </c>
      <c r="J33" s="135">
        <f>'insumo PMR'!J34</f>
        <v>80</v>
      </c>
      <c r="K33" s="135">
        <f>'insumo PMR'!K34</f>
        <v>80</v>
      </c>
      <c r="L33" s="135">
        <f>'insumo PMR'!L34</f>
        <v>66</v>
      </c>
      <c r="M33" s="135">
        <f>'insumo PMR'!M34</f>
        <v>90</v>
      </c>
      <c r="N33" s="135">
        <f>'insumo PMR'!N34</f>
        <v>250</v>
      </c>
      <c r="O33" s="135">
        <f>'insumo PMR'!O34</f>
        <v>100</v>
      </c>
      <c r="P33" s="135">
        <f>'insumo PMR'!P34</f>
        <v>100</v>
      </c>
      <c r="Q33" s="135">
        <f>'insumo PMR'!Q34</f>
        <v>80</v>
      </c>
      <c r="R33" s="135">
        <f>'insumo PMR'!R34</f>
        <v>0</v>
      </c>
    </row>
  </sheetData>
  <sheetProtection selectLockedCells="1" selectUnlockedCells="1"/>
  <mergeCells count="22">
    <mergeCell ref="B32:B33"/>
    <mergeCell ref="B4:B5"/>
    <mergeCell ref="B6:B7"/>
    <mergeCell ref="B9:B10"/>
    <mergeCell ref="B16:B17"/>
    <mergeCell ref="B22:B25"/>
    <mergeCell ref="B26:B27"/>
    <mergeCell ref="A1:S1"/>
    <mergeCell ref="A2:A3"/>
    <mergeCell ref="B2:B3"/>
    <mergeCell ref="C2:C3"/>
    <mergeCell ref="D2:D3"/>
    <mergeCell ref="E2:E3"/>
    <mergeCell ref="F2:F3"/>
    <mergeCell ref="G2:J2"/>
    <mergeCell ref="A32:A33"/>
    <mergeCell ref="A4:A7"/>
    <mergeCell ref="A8:A11"/>
    <mergeCell ref="A13:A17"/>
    <mergeCell ref="A18:A20"/>
    <mergeCell ref="A21:A28"/>
    <mergeCell ref="A30:A31"/>
  </mergeCells>
  <printOptions horizontalCentered="1"/>
  <pageMargins left="9.46969696969697E-3" right="9.46969696969697E-3" top="0.64393939393939392" bottom="0.75" header="0.3" footer="0.3"/>
  <pageSetup scale="45" firstPageNumber="0" orientation="landscape" horizontalDpi="300" verticalDpi="300" r:id="rId1"/>
  <headerFooter alignWithMargins="0"/>
  <colBreaks count="1" manualBreakCount="1">
    <brk id="1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6"/>
  <sheetViews>
    <sheetView topLeftCell="A33" zoomScale="60" zoomScaleNormal="60" workbookViewId="0">
      <selection activeCell="A5" sqref="A5:R34"/>
    </sheetView>
  </sheetViews>
  <sheetFormatPr baseColWidth="10" defaultColWidth="13.28515625" defaultRowHeight="15" x14ac:dyDescent="0.25"/>
  <sheetData>
    <row r="3" spans="1:18" x14ac:dyDescent="0.25">
      <c r="A3" s="138"/>
      <c r="B3" s="139"/>
      <c r="C3" s="139"/>
      <c r="D3" s="139"/>
      <c r="E3" s="140" t="s">
        <v>1273</v>
      </c>
      <c r="F3" s="139"/>
      <c r="G3" s="139"/>
      <c r="H3" s="139"/>
      <c r="I3" s="139"/>
      <c r="J3" s="139"/>
      <c r="K3" s="139"/>
      <c r="L3" s="139"/>
      <c r="M3" s="139"/>
      <c r="N3" s="139"/>
      <c r="O3" s="139"/>
      <c r="P3" s="139"/>
      <c r="Q3" s="139"/>
      <c r="R3" s="477"/>
    </row>
    <row r="4" spans="1:18" x14ac:dyDescent="0.25">
      <c r="A4" s="140" t="s">
        <v>25</v>
      </c>
      <c r="B4" s="140" t="s">
        <v>26</v>
      </c>
      <c r="C4" s="140" t="s">
        <v>16</v>
      </c>
      <c r="D4" s="140" t="s">
        <v>17</v>
      </c>
      <c r="E4" s="138" t="s">
        <v>1284</v>
      </c>
      <c r="F4" s="487" t="s">
        <v>1283</v>
      </c>
      <c r="G4" s="487" t="s">
        <v>1898</v>
      </c>
      <c r="H4" s="487" t="s">
        <v>1899</v>
      </c>
      <c r="I4" s="487" t="s">
        <v>1900</v>
      </c>
      <c r="J4" s="487" t="s">
        <v>1901</v>
      </c>
      <c r="K4" s="487" t="s">
        <v>1902</v>
      </c>
      <c r="L4" s="487" t="s">
        <v>1903</v>
      </c>
      <c r="M4" s="487" t="s">
        <v>1904</v>
      </c>
      <c r="N4" s="487" t="s">
        <v>1905</v>
      </c>
      <c r="O4" s="487" t="s">
        <v>1906</v>
      </c>
      <c r="P4" s="487" t="s">
        <v>1907</v>
      </c>
      <c r="Q4" s="487" t="s">
        <v>1908</v>
      </c>
      <c r="R4" s="481" t="s">
        <v>1910</v>
      </c>
    </row>
    <row r="5" spans="1:18" x14ac:dyDescent="0.25">
      <c r="A5" s="138" t="s">
        <v>156</v>
      </c>
      <c r="B5" s="138" t="s">
        <v>157</v>
      </c>
      <c r="C5" s="138">
        <v>41</v>
      </c>
      <c r="D5" s="138" t="s">
        <v>165</v>
      </c>
      <c r="E5" s="482">
        <v>0</v>
      </c>
      <c r="F5" s="488">
        <v>660</v>
      </c>
      <c r="G5" s="488">
        <v>165</v>
      </c>
      <c r="H5" s="488">
        <v>165</v>
      </c>
      <c r="I5" s="488">
        <v>165</v>
      </c>
      <c r="J5" s="488">
        <v>165</v>
      </c>
      <c r="K5" s="488">
        <v>205</v>
      </c>
      <c r="L5" s="488">
        <v>625</v>
      </c>
      <c r="M5" s="488">
        <v>0</v>
      </c>
      <c r="N5" s="488">
        <v>0</v>
      </c>
      <c r="O5" s="488">
        <v>0</v>
      </c>
      <c r="P5" s="488">
        <v>0</v>
      </c>
      <c r="Q5" s="488">
        <v>0</v>
      </c>
      <c r="R5" s="483">
        <v>0</v>
      </c>
    </row>
    <row r="6" spans="1:18" x14ac:dyDescent="0.25">
      <c r="A6" s="478"/>
      <c r="B6" s="478"/>
      <c r="C6" s="138">
        <v>45</v>
      </c>
      <c r="D6" s="138" t="s">
        <v>151</v>
      </c>
      <c r="E6" s="482">
        <v>3</v>
      </c>
      <c r="F6" s="488">
        <v>28</v>
      </c>
      <c r="G6" s="488">
        <v>7</v>
      </c>
      <c r="H6" s="488">
        <v>7</v>
      </c>
      <c r="I6" s="488">
        <v>7</v>
      </c>
      <c r="J6" s="488">
        <v>7</v>
      </c>
      <c r="K6" s="488">
        <v>15</v>
      </c>
      <c r="L6" s="488">
        <v>13</v>
      </c>
      <c r="M6" s="488">
        <v>5</v>
      </c>
      <c r="N6" s="488">
        <v>5</v>
      </c>
      <c r="O6" s="488">
        <v>24</v>
      </c>
      <c r="P6" s="488">
        <v>24</v>
      </c>
      <c r="Q6" s="488">
        <v>3</v>
      </c>
      <c r="R6" s="483">
        <v>9</v>
      </c>
    </row>
    <row r="7" spans="1:18" x14ac:dyDescent="0.25">
      <c r="A7" s="478"/>
      <c r="B7" s="138" t="s">
        <v>188</v>
      </c>
      <c r="C7" s="138">
        <v>55</v>
      </c>
      <c r="D7" s="138" t="s">
        <v>185</v>
      </c>
      <c r="E7" s="482"/>
      <c r="F7" s="488">
        <v>400</v>
      </c>
      <c r="G7" s="488">
        <v>100</v>
      </c>
      <c r="H7" s="488">
        <v>100</v>
      </c>
      <c r="I7" s="488">
        <v>100</v>
      </c>
      <c r="J7" s="488">
        <v>100</v>
      </c>
      <c r="K7" s="488">
        <v>100</v>
      </c>
      <c r="L7" s="488">
        <v>100</v>
      </c>
      <c r="M7" s="488">
        <v>100</v>
      </c>
      <c r="N7" s="488">
        <v>100</v>
      </c>
      <c r="O7" s="488">
        <v>0</v>
      </c>
      <c r="P7" s="488">
        <v>0</v>
      </c>
      <c r="Q7" s="488">
        <v>200</v>
      </c>
      <c r="R7" s="483">
        <v>0</v>
      </c>
    </row>
    <row r="8" spans="1:18" x14ac:dyDescent="0.25">
      <c r="A8" s="478"/>
      <c r="B8" s="478"/>
      <c r="C8" s="138">
        <v>56</v>
      </c>
      <c r="D8" s="138" t="s">
        <v>190</v>
      </c>
      <c r="E8" s="482">
        <v>1</v>
      </c>
      <c r="F8" s="488">
        <v>1</v>
      </c>
      <c r="G8" s="488"/>
      <c r="H8" s="488">
        <v>0.5</v>
      </c>
      <c r="I8" s="488">
        <v>0.5</v>
      </c>
      <c r="J8" s="488"/>
      <c r="K8" s="488">
        <v>0.5</v>
      </c>
      <c r="L8" s="488">
        <v>0.5</v>
      </c>
      <c r="M8" s="488">
        <v>1</v>
      </c>
      <c r="N8" s="488">
        <v>1</v>
      </c>
      <c r="O8" s="488">
        <v>1</v>
      </c>
      <c r="P8" s="488">
        <v>1</v>
      </c>
      <c r="Q8" s="488">
        <v>1</v>
      </c>
      <c r="R8" s="483">
        <v>0</v>
      </c>
    </row>
    <row r="9" spans="1:18" x14ac:dyDescent="0.25">
      <c r="A9" s="138" t="s">
        <v>48</v>
      </c>
      <c r="B9" s="138" t="s">
        <v>49</v>
      </c>
      <c r="C9" s="138">
        <v>2</v>
      </c>
      <c r="D9" s="138" t="s">
        <v>43</v>
      </c>
      <c r="E9" s="482">
        <v>50</v>
      </c>
      <c r="F9" s="488">
        <v>30</v>
      </c>
      <c r="G9" s="488">
        <v>8</v>
      </c>
      <c r="H9" s="488">
        <v>7</v>
      </c>
      <c r="I9" s="488">
        <v>8</v>
      </c>
      <c r="J9" s="488">
        <v>7</v>
      </c>
      <c r="K9" s="488">
        <v>8</v>
      </c>
      <c r="L9" s="488">
        <v>8</v>
      </c>
      <c r="M9" s="488">
        <v>7</v>
      </c>
      <c r="N9" s="488">
        <v>11</v>
      </c>
      <c r="O9" s="488">
        <v>12</v>
      </c>
      <c r="P9" s="488">
        <v>12</v>
      </c>
      <c r="Q9" s="488">
        <v>0</v>
      </c>
      <c r="R9" s="483">
        <v>0</v>
      </c>
    </row>
    <row r="10" spans="1:18" x14ac:dyDescent="0.25">
      <c r="A10" s="478"/>
      <c r="B10" s="138" t="s">
        <v>108</v>
      </c>
      <c r="C10" s="138">
        <v>16</v>
      </c>
      <c r="D10" s="138" t="s">
        <v>117</v>
      </c>
      <c r="E10" s="482">
        <v>0</v>
      </c>
      <c r="F10" s="488">
        <v>1000</v>
      </c>
      <c r="G10" s="488">
        <v>250</v>
      </c>
      <c r="H10" s="488">
        <v>250</v>
      </c>
      <c r="I10" s="488">
        <v>250</v>
      </c>
      <c r="J10" s="488">
        <v>250</v>
      </c>
      <c r="K10" s="488">
        <v>250</v>
      </c>
      <c r="L10" s="488">
        <v>250</v>
      </c>
      <c r="M10" s="488">
        <v>250</v>
      </c>
      <c r="N10" s="488">
        <v>250</v>
      </c>
      <c r="O10" s="488">
        <v>400</v>
      </c>
      <c r="P10" s="488">
        <v>400</v>
      </c>
      <c r="Q10" s="488">
        <v>0</v>
      </c>
      <c r="R10" s="483">
        <v>0</v>
      </c>
    </row>
    <row r="11" spans="1:18" x14ac:dyDescent="0.25">
      <c r="A11" s="478"/>
      <c r="B11" s="478"/>
      <c r="C11" s="138">
        <v>19</v>
      </c>
      <c r="D11" s="138" t="s">
        <v>103</v>
      </c>
      <c r="E11" s="482">
        <v>900</v>
      </c>
      <c r="F11" s="488">
        <v>900</v>
      </c>
      <c r="G11" s="488">
        <v>900</v>
      </c>
      <c r="H11" s="488">
        <v>900</v>
      </c>
      <c r="I11" s="488">
        <v>900</v>
      </c>
      <c r="J11" s="488">
        <v>900</v>
      </c>
      <c r="K11" s="488">
        <v>900</v>
      </c>
      <c r="L11" s="488">
        <v>900</v>
      </c>
      <c r="M11" s="488">
        <v>1200</v>
      </c>
      <c r="N11" s="488">
        <v>1200</v>
      </c>
      <c r="O11" s="488">
        <v>2300</v>
      </c>
      <c r="P11" s="488">
        <v>2500</v>
      </c>
      <c r="Q11" s="488">
        <v>2700</v>
      </c>
      <c r="R11" s="483">
        <v>2700</v>
      </c>
    </row>
    <row r="12" spans="1:18" x14ac:dyDescent="0.25">
      <c r="A12" s="478"/>
      <c r="B12" s="138" t="s">
        <v>56</v>
      </c>
      <c r="C12" s="138">
        <v>1</v>
      </c>
      <c r="D12" s="138" t="s">
        <v>52</v>
      </c>
      <c r="E12" s="482">
        <v>500</v>
      </c>
      <c r="F12" s="488">
        <v>2000</v>
      </c>
      <c r="G12" s="488">
        <v>500</v>
      </c>
      <c r="H12" s="488">
        <v>500</v>
      </c>
      <c r="I12" s="488">
        <v>500</v>
      </c>
      <c r="J12" s="488">
        <v>500</v>
      </c>
      <c r="K12" s="488">
        <v>1395</v>
      </c>
      <c r="L12" s="488">
        <v>1395</v>
      </c>
      <c r="M12" s="488">
        <v>451</v>
      </c>
      <c r="N12" s="488">
        <v>451</v>
      </c>
      <c r="O12" s="488">
        <v>0</v>
      </c>
      <c r="P12" s="488">
        <v>0</v>
      </c>
      <c r="Q12" s="488">
        <v>0</v>
      </c>
      <c r="R12" s="483">
        <v>0</v>
      </c>
    </row>
    <row r="13" spans="1:18" x14ac:dyDescent="0.25">
      <c r="A13" s="138" t="s">
        <v>99</v>
      </c>
      <c r="B13" s="138" t="s">
        <v>100</v>
      </c>
      <c r="C13" s="138">
        <v>14</v>
      </c>
      <c r="D13" s="138" t="s">
        <v>95</v>
      </c>
      <c r="E13" s="482"/>
      <c r="F13" s="488">
        <v>200</v>
      </c>
      <c r="G13" s="488"/>
      <c r="H13" s="488">
        <v>66</v>
      </c>
      <c r="I13" s="488">
        <v>67</v>
      </c>
      <c r="J13" s="488">
        <v>67</v>
      </c>
      <c r="K13" s="488">
        <v>0</v>
      </c>
      <c r="L13" s="488">
        <v>0</v>
      </c>
      <c r="M13" s="488">
        <v>0</v>
      </c>
      <c r="N13" s="488">
        <v>0</v>
      </c>
      <c r="O13" s="488">
        <v>0</v>
      </c>
      <c r="P13" s="488">
        <v>0</v>
      </c>
      <c r="Q13" s="488">
        <v>250</v>
      </c>
      <c r="R13" s="483">
        <v>0</v>
      </c>
    </row>
    <row r="14" spans="1:18" x14ac:dyDescent="0.25">
      <c r="A14" s="138" t="s">
        <v>126</v>
      </c>
      <c r="B14" s="138" t="s">
        <v>133</v>
      </c>
      <c r="C14" s="138">
        <v>23</v>
      </c>
      <c r="D14" s="138" t="s">
        <v>129</v>
      </c>
      <c r="E14" s="482">
        <v>6</v>
      </c>
      <c r="F14" s="488">
        <v>9</v>
      </c>
      <c r="G14" s="488">
        <v>9</v>
      </c>
      <c r="H14" s="488">
        <v>9</v>
      </c>
      <c r="I14" s="488">
        <v>9</v>
      </c>
      <c r="J14" s="488">
        <v>9</v>
      </c>
      <c r="K14" s="488">
        <v>12</v>
      </c>
      <c r="L14" s="488">
        <v>12</v>
      </c>
      <c r="M14" s="488">
        <v>13</v>
      </c>
      <c r="N14" s="488">
        <v>13</v>
      </c>
      <c r="O14" s="488">
        <v>8</v>
      </c>
      <c r="P14" s="488">
        <v>8</v>
      </c>
      <c r="Q14" s="488">
        <v>6</v>
      </c>
      <c r="R14" s="483">
        <v>1</v>
      </c>
    </row>
    <row r="15" spans="1:18" x14ac:dyDescent="0.25">
      <c r="A15" s="478"/>
      <c r="B15" s="138" t="s">
        <v>138</v>
      </c>
      <c r="C15" s="138">
        <v>32</v>
      </c>
      <c r="D15" s="138" t="s">
        <v>135</v>
      </c>
      <c r="E15" s="482">
        <v>1680</v>
      </c>
      <c r="F15" s="488">
        <v>4500</v>
      </c>
      <c r="G15" s="488">
        <v>1125</v>
      </c>
      <c r="H15" s="488">
        <v>1125</v>
      </c>
      <c r="I15" s="488">
        <v>1125</v>
      </c>
      <c r="J15" s="488">
        <v>1125</v>
      </c>
      <c r="K15" s="488">
        <v>2000</v>
      </c>
      <c r="L15" s="488">
        <v>2000</v>
      </c>
      <c r="M15" s="488">
        <v>2000</v>
      </c>
      <c r="N15" s="488">
        <v>2000</v>
      </c>
      <c r="O15" s="488">
        <v>1480</v>
      </c>
      <c r="P15" s="488">
        <v>1480</v>
      </c>
      <c r="Q15" s="488">
        <v>1135</v>
      </c>
      <c r="R15" s="483">
        <v>0</v>
      </c>
    </row>
    <row r="16" spans="1:18" x14ac:dyDescent="0.25">
      <c r="A16" s="478"/>
      <c r="B16" s="138" t="s">
        <v>143</v>
      </c>
      <c r="C16" s="138">
        <v>25</v>
      </c>
      <c r="D16" s="138" t="s">
        <v>140</v>
      </c>
      <c r="E16" s="482"/>
      <c r="F16" s="488">
        <v>350</v>
      </c>
      <c r="G16" s="488">
        <v>350</v>
      </c>
      <c r="H16" s="488">
        <v>350</v>
      </c>
      <c r="I16" s="488">
        <v>350</v>
      </c>
      <c r="J16" s="488">
        <v>350</v>
      </c>
      <c r="K16" s="488">
        <v>475</v>
      </c>
      <c r="L16" s="488">
        <v>475</v>
      </c>
      <c r="M16" s="488">
        <v>250</v>
      </c>
      <c r="N16" s="488">
        <v>250</v>
      </c>
      <c r="O16" s="488">
        <v>250</v>
      </c>
      <c r="P16" s="488">
        <v>250</v>
      </c>
      <c r="Q16" s="488">
        <v>350</v>
      </c>
      <c r="R16" s="483">
        <v>0</v>
      </c>
    </row>
    <row r="17" spans="1:18" x14ac:dyDescent="0.25">
      <c r="A17" s="478"/>
      <c r="B17" s="138" t="s">
        <v>127</v>
      </c>
      <c r="C17" s="138">
        <v>27</v>
      </c>
      <c r="D17" s="138" t="s">
        <v>145</v>
      </c>
      <c r="E17" s="482"/>
      <c r="F17" s="488">
        <v>4</v>
      </c>
      <c r="G17" s="488"/>
      <c r="H17" s="488">
        <v>1</v>
      </c>
      <c r="I17" s="488">
        <v>1</v>
      </c>
      <c r="J17" s="488">
        <v>2</v>
      </c>
      <c r="K17" s="488">
        <v>0</v>
      </c>
      <c r="L17" s="488">
        <v>0</v>
      </c>
      <c r="M17" s="488">
        <v>0</v>
      </c>
      <c r="N17" s="488">
        <v>3</v>
      </c>
      <c r="O17" s="488">
        <v>3</v>
      </c>
      <c r="P17" s="488">
        <v>3</v>
      </c>
      <c r="Q17" s="488">
        <v>0</v>
      </c>
      <c r="R17" s="483">
        <v>0</v>
      </c>
    </row>
    <row r="18" spans="1:18" x14ac:dyDescent="0.25">
      <c r="A18" s="478"/>
      <c r="B18" s="478"/>
      <c r="C18" s="138">
        <v>29</v>
      </c>
      <c r="D18" s="138" t="s">
        <v>121</v>
      </c>
      <c r="E18" s="482">
        <v>0</v>
      </c>
      <c r="F18" s="488">
        <v>2</v>
      </c>
      <c r="G18" s="488">
        <v>1</v>
      </c>
      <c r="H18" s="488"/>
      <c r="I18" s="488">
        <v>1</v>
      </c>
      <c r="J18" s="488"/>
      <c r="K18" s="488">
        <v>1</v>
      </c>
      <c r="L18" s="488">
        <v>1</v>
      </c>
      <c r="M18" s="488">
        <v>2</v>
      </c>
      <c r="N18" s="488">
        <v>2</v>
      </c>
      <c r="O18" s="488">
        <v>0</v>
      </c>
      <c r="P18" s="488">
        <v>0</v>
      </c>
      <c r="Q18" s="488">
        <v>0</v>
      </c>
      <c r="R18" s="483">
        <v>0</v>
      </c>
    </row>
    <row r="19" spans="1:18" x14ac:dyDescent="0.25">
      <c r="A19" s="138" t="s">
        <v>76</v>
      </c>
      <c r="B19" s="138" t="s">
        <v>83</v>
      </c>
      <c r="C19" s="138">
        <v>9</v>
      </c>
      <c r="D19" s="138" t="s">
        <v>79</v>
      </c>
      <c r="E19" s="482">
        <v>0</v>
      </c>
      <c r="F19" s="488">
        <v>1000</v>
      </c>
      <c r="G19" s="488">
        <v>250</v>
      </c>
      <c r="H19" s="488">
        <v>250</v>
      </c>
      <c r="I19" s="488">
        <v>250</v>
      </c>
      <c r="J19" s="488">
        <v>250</v>
      </c>
      <c r="K19" s="488">
        <v>900</v>
      </c>
      <c r="L19" s="488">
        <v>900</v>
      </c>
      <c r="M19" s="488">
        <v>0</v>
      </c>
      <c r="N19" s="488">
        <v>0</v>
      </c>
      <c r="O19" s="488">
        <v>300</v>
      </c>
      <c r="P19" s="488">
        <v>300</v>
      </c>
      <c r="Q19" s="488">
        <v>0</v>
      </c>
      <c r="R19" s="483">
        <v>0</v>
      </c>
    </row>
    <row r="20" spans="1:18" x14ac:dyDescent="0.25">
      <c r="A20" s="478"/>
      <c r="B20" s="138" t="s">
        <v>88</v>
      </c>
      <c r="C20" s="138">
        <v>7</v>
      </c>
      <c r="D20" s="138" t="s">
        <v>85</v>
      </c>
      <c r="E20" s="482">
        <v>0</v>
      </c>
      <c r="F20" s="488">
        <v>8</v>
      </c>
      <c r="G20" s="488"/>
      <c r="H20" s="488">
        <v>2</v>
      </c>
      <c r="I20" s="488">
        <v>2</v>
      </c>
      <c r="J20" s="488">
        <v>3</v>
      </c>
      <c r="K20" s="488">
        <v>0</v>
      </c>
      <c r="L20" s="488">
        <v>0</v>
      </c>
      <c r="M20" s="488">
        <v>9</v>
      </c>
      <c r="N20" s="488">
        <v>9</v>
      </c>
      <c r="O20" s="488">
        <v>0</v>
      </c>
      <c r="P20" s="488">
        <v>0</v>
      </c>
      <c r="Q20" s="488">
        <v>0</v>
      </c>
      <c r="R20" s="483">
        <v>0</v>
      </c>
    </row>
    <row r="21" spans="1:18" x14ac:dyDescent="0.25">
      <c r="A21" s="478"/>
      <c r="B21" s="138" t="s">
        <v>77</v>
      </c>
      <c r="C21" s="138">
        <v>11</v>
      </c>
      <c r="D21" s="138" t="s">
        <v>72</v>
      </c>
      <c r="E21" s="482">
        <v>0</v>
      </c>
      <c r="F21" s="488">
        <v>400</v>
      </c>
      <c r="G21" s="488">
        <v>100</v>
      </c>
      <c r="H21" s="488">
        <v>100</v>
      </c>
      <c r="I21" s="488">
        <v>100</v>
      </c>
      <c r="J21" s="488">
        <v>100</v>
      </c>
      <c r="K21" s="488">
        <v>100</v>
      </c>
      <c r="L21" s="488">
        <v>130</v>
      </c>
      <c r="M21" s="488">
        <v>270</v>
      </c>
      <c r="N21" s="488">
        <v>270</v>
      </c>
      <c r="O21" s="488">
        <v>25</v>
      </c>
      <c r="P21" s="488">
        <v>25</v>
      </c>
      <c r="Q21" s="488">
        <v>100</v>
      </c>
      <c r="R21" s="483">
        <v>0</v>
      </c>
    </row>
    <row r="22" spans="1:18" x14ac:dyDescent="0.25">
      <c r="A22" s="138" t="s">
        <v>115</v>
      </c>
      <c r="B22" s="138" t="s">
        <v>224</v>
      </c>
      <c r="C22" s="138">
        <v>71</v>
      </c>
      <c r="D22" s="138" t="s">
        <v>221</v>
      </c>
      <c r="E22" s="482"/>
      <c r="F22" s="488">
        <v>400</v>
      </c>
      <c r="G22" s="488"/>
      <c r="H22" s="488">
        <v>150</v>
      </c>
      <c r="I22" s="488">
        <v>150</v>
      </c>
      <c r="J22" s="488">
        <v>100</v>
      </c>
      <c r="K22" s="488">
        <v>0</v>
      </c>
      <c r="L22" s="488">
        <v>0</v>
      </c>
      <c r="M22" s="488">
        <v>0</v>
      </c>
      <c r="N22" s="488">
        <v>0</v>
      </c>
      <c r="O22" s="488">
        <v>620</v>
      </c>
      <c r="P22" s="488">
        <v>620</v>
      </c>
      <c r="Q22" s="488">
        <v>0</v>
      </c>
      <c r="R22" s="483">
        <v>0</v>
      </c>
    </row>
    <row r="23" spans="1:18" x14ac:dyDescent="0.25">
      <c r="A23" s="478"/>
      <c r="B23" s="138" t="s">
        <v>100</v>
      </c>
      <c r="C23" s="138">
        <v>15</v>
      </c>
      <c r="D23" s="138" t="s">
        <v>113</v>
      </c>
      <c r="E23" s="482">
        <v>5</v>
      </c>
      <c r="F23" s="488">
        <v>5000</v>
      </c>
      <c r="G23" s="488">
        <v>1250</v>
      </c>
      <c r="H23" s="488">
        <v>1250</v>
      </c>
      <c r="I23" s="488">
        <v>1250</v>
      </c>
      <c r="J23" s="488">
        <v>1250</v>
      </c>
      <c r="K23" s="488">
        <v>1250</v>
      </c>
      <c r="L23" s="488">
        <v>1250</v>
      </c>
      <c r="M23" s="488">
        <v>1250</v>
      </c>
      <c r="N23" s="488">
        <v>1250</v>
      </c>
      <c r="O23" s="488">
        <v>1800</v>
      </c>
      <c r="P23" s="488">
        <v>1800</v>
      </c>
      <c r="Q23" s="488">
        <v>0</v>
      </c>
      <c r="R23" s="483">
        <v>0</v>
      </c>
    </row>
    <row r="24" spans="1:18" x14ac:dyDescent="0.25">
      <c r="A24" s="478"/>
      <c r="B24" s="478"/>
      <c r="C24" s="138">
        <v>61</v>
      </c>
      <c r="D24" s="138" t="s">
        <v>207</v>
      </c>
      <c r="E24" s="482">
        <v>900</v>
      </c>
      <c r="F24" s="488">
        <v>600</v>
      </c>
      <c r="G24" s="488">
        <v>150</v>
      </c>
      <c r="H24" s="488">
        <v>150</v>
      </c>
      <c r="I24" s="488">
        <v>150</v>
      </c>
      <c r="J24" s="488">
        <v>150</v>
      </c>
      <c r="K24" s="488">
        <v>0</v>
      </c>
      <c r="L24" s="488">
        <v>0</v>
      </c>
      <c r="M24" s="488">
        <v>150</v>
      </c>
      <c r="N24" s="488">
        <v>150</v>
      </c>
      <c r="O24" s="488">
        <v>0</v>
      </c>
      <c r="P24" s="488">
        <v>0</v>
      </c>
      <c r="Q24" s="488">
        <v>0</v>
      </c>
      <c r="R24" s="483">
        <v>0</v>
      </c>
    </row>
    <row r="25" spans="1:18" x14ac:dyDescent="0.25">
      <c r="A25" s="478"/>
      <c r="B25" s="478"/>
      <c r="C25" s="138">
        <v>63</v>
      </c>
      <c r="D25" s="138" t="s">
        <v>216</v>
      </c>
      <c r="E25" s="482">
        <v>8</v>
      </c>
      <c r="F25" s="488">
        <v>15</v>
      </c>
      <c r="G25" s="488">
        <v>4</v>
      </c>
      <c r="H25" s="488">
        <v>4</v>
      </c>
      <c r="I25" s="488">
        <v>4</v>
      </c>
      <c r="J25" s="488">
        <v>3</v>
      </c>
      <c r="K25" s="488">
        <v>6</v>
      </c>
      <c r="L25" s="488">
        <v>6</v>
      </c>
      <c r="M25" s="488">
        <v>6</v>
      </c>
      <c r="N25" s="488">
        <v>6</v>
      </c>
      <c r="O25" s="488">
        <v>8</v>
      </c>
      <c r="P25" s="488">
        <v>8</v>
      </c>
      <c r="Q25" s="488">
        <v>6</v>
      </c>
      <c r="R25" s="483">
        <v>0</v>
      </c>
    </row>
    <row r="26" spans="1:18" x14ac:dyDescent="0.25">
      <c r="A26" s="478"/>
      <c r="B26" s="478"/>
      <c r="C26" s="138">
        <v>65</v>
      </c>
      <c r="D26" s="138" t="s">
        <v>211</v>
      </c>
      <c r="E26" s="482"/>
      <c r="F26" s="488">
        <v>60</v>
      </c>
      <c r="G26" s="488">
        <v>15</v>
      </c>
      <c r="H26" s="488">
        <v>15</v>
      </c>
      <c r="I26" s="488">
        <v>15</v>
      </c>
      <c r="J26" s="488">
        <v>15</v>
      </c>
      <c r="K26" s="488">
        <v>15</v>
      </c>
      <c r="L26" s="488">
        <v>15</v>
      </c>
      <c r="M26" s="488">
        <v>0</v>
      </c>
      <c r="N26" s="488">
        <v>0</v>
      </c>
      <c r="O26" s="488">
        <v>65</v>
      </c>
      <c r="P26" s="488">
        <v>65</v>
      </c>
      <c r="Q26" s="488">
        <v>0</v>
      </c>
      <c r="R26" s="483">
        <v>0</v>
      </c>
    </row>
    <row r="27" spans="1:18" x14ac:dyDescent="0.25">
      <c r="A27" s="478"/>
      <c r="B27" s="138" t="s">
        <v>246</v>
      </c>
      <c r="C27" s="138">
        <v>75</v>
      </c>
      <c r="D27" s="138" t="s">
        <v>248</v>
      </c>
      <c r="E27" s="482">
        <v>7</v>
      </c>
      <c r="F27" s="488">
        <v>7</v>
      </c>
      <c r="G27" s="488">
        <v>7</v>
      </c>
      <c r="H27" s="488">
        <v>7</v>
      </c>
      <c r="I27" s="488">
        <v>7</v>
      </c>
      <c r="J27" s="488">
        <v>7</v>
      </c>
      <c r="K27" s="488">
        <v>7</v>
      </c>
      <c r="L27" s="488">
        <v>7</v>
      </c>
      <c r="M27" s="488">
        <v>7</v>
      </c>
      <c r="N27" s="488">
        <v>7</v>
      </c>
      <c r="O27" s="488">
        <v>7</v>
      </c>
      <c r="P27" s="488">
        <v>7</v>
      </c>
      <c r="Q27" s="488">
        <v>7</v>
      </c>
      <c r="R27" s="483">
        <v>7</v>
      </c>
    </row>
    <row r="28" spans="1:18" x14ac:dyDescent="0.25">
      <c r="A28" s="478"/>
      <c r="B28" s="478"/>
      <c r="C28" s="138">
        <v>76</v>
      </c>
      <c r="D28" s="138" t="s">
        <v>242</v>
      </c>
      <c r="E28" s="482">
        <v>1</v>
      </c>
      <c r="F28" s="488">
        <v>2</v>
      </c>
      <c r="G28" s="488">
        <v>2</v>
      </c>
      <c r="H28" s="488">
        <v>2</v>
      </c>
      <c r="I28" s="488">
        <v>2</v>
      </c>
      <c r="J28" s="488">
        <v>2</v>
      </c>
      <c r="K28" s="488">
        <v>1</v>
      </c>
      <c r="L28" s="488">
        <v>1</v>
      </c>
      <c r="M28" s="488">
        <v>1</v>
      </c>
      <c r="N28" s="488">
        <v>1</v>
      </c>
      <c r="O28" s="488">
        <v>4</v>
      </c>
      <c r="P28" s="488">
        <v>4</v>
      </c>
      <c r="Q28" s="488">
        <v>2</v>
      </c>
      <c r="R28" s="483">
        <v>2</v>
      </c>
    </row>
    <row r="29" spans="1:18" x14ac:dyDescent="0.25">
      <c r="A29" s="478"/>
      <c r="B29" s="138" t="s">
        <v>230</v>
      </c>
      <c r="C29" s="138">
        <v>69</v>
      </c>
      <c r="D29" s="138" t="s">
        <v>227</v>
      </c>
      <c r="E29" s="482">
        <v>0</v>
      </c>
      <c r="F29" s="488">
        <v>1600</v>
      </c>
      <c r="G29" s="488">
        <v>400</v>
      </c>
      <c r="H29" s="488">
        <v>400</v>
      </c>
      <c r="I29" s="488">
        <v>400</v>
      </c>
      <c r="J29" s="488">
        <v>400</v>
      </c>
      <c r="K29" s="488">
        <v>260</v>
      </c>
      <c r="L29" s="488">
        <v>260</v>
      </c>
      <c r="M29" s="488">
        <v>645</v>
      </c>
      <c r="N29" s="488">
        <v>645</v>
      </c>
      <c r="O29" s="488">
        <v>330</v>
      </c>
      <c r="P29" s="488">
        <v>370</v>
      </c>
      <c r="Q29" s="488">
        <v>405</v>
      </c>
      <c r="R29" s="483">
        <v>0</v>
      </c>
    </row>
    <row r="30" spans="1:18" x14ac:dyDescent="0.25">
      <c r="A30" s="138" t="s">
        <v>198</v>
      </c>
      <c r="B30" s="138" t="s">
        <v>199</v>
      </c>
      <c r="C30" s="138">
        <v>57</v>
      </c>
      <c r="D30" s="138" t="s">
        <v>195</v>
      </c>
      <c r="E30" s="482">
        <v>50</v>
      </c>
      <c r="F30" s="488">
        <v>400</v>
      </c>
      <c r="G30" s="488">
        <v>100</v>
      </c>
      <c r="H30" s="488">
        <v>100</v>
      </c>
      <c r="I30" s="488">
        <v>100</v>
      </c>
      <c r="J30" s="488">
        <v>100</v>
      </c>
      <c r="K30" s="488">
        <v>100</v>
      </c>
      <c r="L30" s="488">
        <v>100</v>
      </c>
      <c r="M30" s="488">
        <v>100</v>
      </c>
      <c r="N30" s="488">
        <v>100</v>
      </c>
      <c r="O30" s="488">
        <v>150</v>
      </c>
      <c r="P30" s="488">
        <v>200</v>
      </c>
      <c r="Q30" s="488">
        <v>900</v>
      </c>
      <c r="R30" s="483">
        <v>0</v>
      </c>
    </row>
    <row r="31" spans="1:18" x14ac:dyDescent="0.25">
      <c r="A31" s="138" t="s">
        <v>174</v>
      </c>
      <c r="B31" s="138" t="s">
        <v>182</v>
      </c>
      <c r="C31" s="138">
        <v>51</v>
      </c>
      <c r="D31" s="138" t="s">
        <v>179</v>
      </c>
      <c r="E31" s="482"/>
      <c r="F31" s="488">
        <v>12000</v>
      </c>
      <c r="G31" s="488">
        <v>3000</v>
      </c>
      <c r="H31" s="488">
        <v>3000</v>
      </c>
      <c r="I31" s="488">
        <v>3000</v>
      </c>
      <c r="J31" s="488">
        <v>3000</v>
      </c>
      <c r="K31" s="488">
        <v>1191</v>
      </c>
      <c r="L31" s="488">
        <v>5656</v>
      </c>
      <c r="M31" s="488">
        <v>5600</v>
      </c>
      <c r="N31" s="488">
        <v>5600</v>
      </c>
      <c r="O31" s="488">
        <v>2169</v>
      </c>
      <c r="P31" s="488">
        <v>2169</v>
      </c>
      <c r="Q31" s="488">
        <v>7000</v>
      </c>
      <c r="R31" s="483">
        <v>0</v>
      </c>
    </row>
    <row r="32" spans="1:18" x14ac:dyDescent="0.25">
      <c r="A32" s="478"/>
      <c r="B32" s="138" t="s">
        <v>175</v>
      </c>
      <c r="C32" s="138">
        <v>46</v>
      </c>
      <c r="D32" s="138" t="s">
        <v>169</v>
      </c>
      <c r="E32" s="482"/>
      <c r="F32" s="488">
        <v>83</v>
      </c>
      <c r="G32" s="488">
        <v>21</v>
      </c>
      <c r="H32" s="488">
        <v>21</v>
      </c>
      <c r="I32" s="488">
        <v>21</v>
      </c>
      <c r="J32" s="488">
        <v>20</v>
      </c>
      <c r="K32" s="488">
        <v>4.99</v>
      </c>
      <c r="L32" s="488">
        <v>5</v>
      </c>
      <c r="M32" s="488">
        <v>4</v>
      </c>
      <c r="N32" s="488">
        <v>4</v>
      </c>
      <c r="O32" s="488">
        <v>2</v>
      </c>
      <c r="P32" s="488">
        <v>3.1</v>
      </c>
      <c r="Q32" s="488">
        <v>3.5</v>
      </c>
      <c r="R32" s="483">
        <v>0</v>
      </c>
    </row>
    <row r="33" spans="1:18" x14ac:dyDescent="0.25">
      <c r="A33" s="138" t="s">
        <v>63</v>
      </c>
      <c r="B33" s="138" t="s">
        <v>64</v>
      </c>
      <c r="C33" s="138">
        <v>4</v>
      </c>
      <c r="D33" s="138" t="s">
        <v>59</v>
      </c>
      <c r="E33" s="482">
        <v>2395</v>
      </c>
      <c r="F33" s="488">
        <v>13200</v>
      </c>
      <c r="G33" s="488">
        <v>3300</v>
      </c>
      <c r="H33" s="488">
        <v>3300</v>
      </c>
      <c r="I33" s="488">
        <v>3300</v>
      </c>
      <c r="J33" s="488">
        <v>3300</v>
      </c>
      <c r="K33" s="488">
        <v>3300</v>
      </c>
      <c r="L33" s="488">
        <v>3300</v>
      </c>
      <c r="M33" s="488">
        <v>3220</v>
      </c>
      <c r="N33" s="488">
        <v>3300</v>
      </c>
      <c r="O33" s="488">
        <v>3380</v>
      </c>
      <c r="P33" s="488">
        <v>3380</v>
      </c>
      <c r="Q33" s="488">
        <v>4990</v>
      </c>
      <c r="R33" s="483"/>
    </row>
    <row r="34" spans="1:18" x14ac:dyDescent="0.25">
      <c r="A34" s="478"/>
      <c r="B34" s="478"/>
      <c r="C34" s="138">
        <v>5</v>
      </c>
      <c r="D34" s="138" t="s">
        <v>68</v>
      </c>
      <c r="E34" s="482">
        <v>90</v>
      </c>
      <c r="F34" s="488">
        <v>320</v>
      </c>
      <c r="G34" s="488">
        <v>80</v>
      </c>
      <c r="H34" s="488">
        <v>80</v>
      </c>
      <c r="I34" s="488">
        <v>80</v>
      </c>
      <c r="J34" s="488">
        <v>80</v>
      </c>
      <c r="K34" s="488">
        <v>80</v>
      </c>
      <c r="L34" s="488">
        <v>66</v>
      </c>
      <c r="M34" s="488">
        <v>90</v>
      </c>
      <c r="N34" s="488">
        <v>250</v>
      </c>
      <c r="O34" s="488">
        <v>100</v>
      </c>
      <c r="P34" s="488">
        <v>100</v>
      </c>
      <c r="Q34" s="488">
        <v>80</v>
      </c>
      <c r="R34" s="483"/>
    </row>
    <row r="35" spans="1:18" x14ac:dyDescent="0.25">
      <c r="A35" s="138" t="s">
        <v>90</v>
      </c>
      <c r="B35" s="138" t="s">
        <v>90</v>
      </c>
      <c r="C35" s="138" t="s">
        <v>90</v>
      </c>
      <c r="D35" s="138" t="s">
        <v>91</v>
      </c>
      <c r="E35" s="482">
        <v>1</v>
      </c>
      <c r="F35" s="488">
        <v>8031</v>
      </c>
      <c r="G35" s="488">
        <v>2008</v>
      </c>
      <c r="H35" s="488">
        <v>2008</v>
      </c>
      <c r="I35" s="488">
        <v>2009</v>
      </c>
      <c r="J35" s="488">
        <v>2009</v>
      </c>
      <c r="K35" s="488">
        <v>1814</v>
      </c>
      <c r="L35" s="488">
        <v>1864</v>
      </c>
      <c r="M35" s="488">
        <v>1103.5</v>
      </c>
      <c r="N35" s="488">
        <v>1204</v>
      </c>
      <c r="O35" s="488">
        <v>1403</v>
      </c>
      <c r="P35" s="488">
        <v>4403</v>
      </c>
      <c r="Q35" s="488">
        <v>543</v>
      </c>
      <c r="R35" s="483">
        <v>530</v>
      </c>
    </row>
    <row r="36" spans="1:18" x14ac:dyDescent="0.25">
      <c r="A36" s="141" t="s">
        <v>1268</v>
      </c>
      <c r="B36" s="484"/>
      <c r="C36" s="484"/>
      <c r="D36" s="484"/>
      <c r="E36" s="485">
        <v>6597</v>
      </c>
      <c r="F36" s="489">
        <v>53210</v>
      </c>
      <c r="G36" s="489">
        <v>14102</v>
      </c>
      <c r="H36" s="489">
        <v>14319.5</v>
      </c>
      <c r="I36" s="489">
        <v>14323.5</v>
      </c>
      <c r="J36" s="489">
        <v>14271</v>
      </c>
      <c r="K36" s="489">
        <v>14390.49</v>
      </c>
      <c r="L36" s="489">
        <v>19339.5</v>
      </c>
      <c r="M36" s="489">
        <v>16734.5</v>
      </c>
      <c r="N36" s="489">
        <v>17082</v>
      </c>
      <c r="O36" s="489">
        <v>14841</v>
      </c>
      <c r="P36" s="489">
        <v>18132.099999999999</v>
      </c>
      <c r="Q36" s="489">
        <v>18681.5</v>
      </c>
      <c r="R36" s="486">
        <v>3249</v>
      </c>
    </row>
  </sheetData>
  <pageMargins left="0.7" right="0.7" top="0.75" bottom="0.75" header="0.3" footer="0.3"/>
  <pageSetup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V57"/>
  <sheetViews>
    <sheetView tabSelected="1" view="pageLayout" zoomScale="70" zoomScaleNormal="55" zoomScalePageLayoutView="70" workbookViewId="0"/>
  </sheetViews>
  <sheetFormatPr baseColWidth="10" defaultRowHeight="15" x14ac:dyDescent="0.25"/>
  <cols>
    <col min="1" max="1" width="3" style="324" customWidth="1"/>
    <col min="2" max="2" width="7.140625" style="324" customWidth="1"/>
    <col min="3" max="3" width="7" style="324" customWidth="1"/>
    <col min="4" max="4" width="28" style="324" customWidth="1"/>
    <col min="5" max="5" width="10.140625" style="324" customWidth="1"/>
    <col min="6" max="6" width="12" style="324" customWidth="1"/>
    <col min="7" max="10" width="8.140625" style="324" customWidth="1"/>
    <col min="11" max="11" width="9.5703125" style="324" customWidth="1"/>
    <col min="12" max="12" width="17" style="324" customWidth="1"/>
    <col min="13" max="16" width="8.140625" style="326" customWidth="1"/>
    <col min="17" max="17" width="9.28515625" style="326" customWidth="1"/>
    <col min="18" max="18" width="17.5703125" style="326" customWidth="1"/>
    <col min="19" max="23" width="14.140625" style="324" customWidth="1"/>
    <col min="24" max="24" width="12.85546875" style="324" customWidth="1"/>
    <col min="25" max="25" width="4.42578125" style="324" customWidth="1"/>
    <col min="26" max="16384" width="11.42578125" style="324"/>
  </cols>
  <sheetData>
    <row r="1" spans="1:256" s="283" customFormat="1" x14ac:dyDescent="0.25">
      <c r="A1" s="281"/>
      <c r="B1" s="281"/>
      <c r="C1" s="281"/>
      <c r="D1" s="281"/>
      <c r="E1" s="281"/>
      <c r="F1" s="281"/>
      <c r="G1" s="281"/>
      <c r="H1" s="281"/>
      <c r="I1" s="281"/>
      <c r="J1" s="281"/>
      <c r="K1" s="281"/>
      <c r="L1" s="281"/>
      <c r="M1" s="282"/>
      <c r="N1" s="282"/>
      <c r="O1" s="282"/>
      <c r="P1" s="282"/>
      <c r="Q1" s="282"/>
      <c r="R1" s="282"/>
      <c r="S1" s="281"/>
      <c r="T1" s="281"/>
      <c r="U1" s="281"/>
      <c r="V1" s="281"/>
      <c r="W1" s="281"/>
      <c r="X1" s="281"/>
      <c r="Y1" s="281"/>
    </row>
    <row r="2" spans="1:256" s="283" customFormat="1" ht="29.25" customHeight="1" x14ac:dyDescent="0.25">
      <c r="A2" s="281"/>
      <c r="B2" s="281"/>
      <c r="C2" s="281"/>
      <c r="D2" s="281"/>
      <c r="E2" s="281"/>
      <c r="F2" s="281"/>
      <c r="G2" s="281"/>
      <c r="H2" s="281"/>
      <c r="I2" s="281"/>
      <c r="J2" s="281"/>
      <c r="K2" s="281"/>
      <c r="L2" s="281"/>
      <c r="M2" s="282"/>
      <c r="N2" s="282"/>
      <c r="O2" s="282"/>
      <c r="P2" s="282"/>
      <c r="Q2" s="282"/>
      <c r="R2" s="282"/>
      <c r="S2" s="281"/>
      <c r="T2" s="281"/>
      <c r="U2" s="281"/>
      <c r="V2" s="281"/>
      <c r="W2" s="281"/>
      <c r="Y2" s="281"/>
    </row>
    <row r="3" spans="1:256" s="283" customFormat="1" ht="29.25" customHeight="1" x14ac:dyDescent="0.25">
      <c r="A3" s="284"/>
      <c r="B3" s="682" t="s">
        <v>1357</v>
      </c>
      <c r="C3" s="682"/>
      <c r="D3" s="682"/>
      <c r="E3" s="682"/>
      <c r="F3" s="682"/>
      <c r="G3" s="682"/>
      <c r="H3" s="682"/>
      <c r="I3" s="682"/>
      <c r="J3" s="682"/>
      <c r="K3" s="682"/>
      <c r="L3" s="682"/>
      <c r="M3" s="682"/>
      <c r="N3" s="682"/>
      <c r="O3" s="682"/>
      <c r="P3" s="682"/>
      <c r="Q3" s="682"/>
      <c r="R3" s="682"/>
      <c r="S3" s="285"/>
      <c r="T3" s="281"/>
      <c r="U3" s="281"/>
      <c r="V3" s="281"/>
      <c r="W3" s="281"/>
      <c r="Y3" s="281"/>
    </row>
    <row r="4" spans="1:256" s="283" customFormat="1" ht="9" customHeight="1" x14ac:dyDescent="0.25">
      <c r="A4" s="286"/>
      <c r="B4" s="287"/>
      <c r="C4" s="287"/>
      <c r="D4" s="683" t="s">
        <v>1358</v>
      </c>
      <c r="E4" s="683"/>
      <c r="F4" s="683"/>
      <c r="G4" s="683"/>
      <c r="H4" s="683"/>
      <c r="I4" s="683"/>
      <c r="J4" s="683"/>
      <c r="K4" s="683"/>
      <c r="L4" s="683"/>
      <c r="M4" s="683"/>
      <c r="N4" s="683"/>
      <c r="O4" s="683"/>
      <c r="P4" s="683"/>
      <c r="Q4" s="683"/>
      <c r="R4" s="683"/>
      <c r="S4" s="288"/>
      <c r="T4" s="288"/>
      <c r="U4" s="288"/>
      <c r="V4" s="454"/>
      <c r="W4" s="288"/>
      <c r="X4" s="289"/>
      <c r="Y4" s="288"/>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c r="DM4" s="289"/>
      <c r="DN4" s="289"/>
      <c r="DO4" s="289"/>
      <c r="DP4" s="289"/>
      <c r="DQ4" s="289"/>
      <c r="DR4" s="289"/>
      <c r="DS4" s="289"/>
      <c r="DT4" s="289"/>
      <c r="DU4" s="289"/>
      <c r="DV4" s="289"/>
      <c r="DW4" s="289"/>
      <c r="DX4" s="289"/>
      <c r="DY4" s="289"/>
      <c r="DZ4" s="289"/>
      <c r="EA4" s="289"/>
      <c r="EB4" s="289"/>
      <c r="EC4" s="289"/>
      <c r="ED4" s="289"/>
      <c r="EE4" s="289"/>
      <c r="EF4" s="289"/>
      <c r="EG4" s="289"/>
      <c r="EH4" s="289"/>
      <c r="EI4" s="289"/>
      <c r="EJ4" s="289"/>
      <c r="EK4" s="289"/>
      <c r="EL4" s="289"/>
      <c r="EM4" s="289"/>
      <c r="EN4" s="289"/>
      <c r="EO4" s="289"/>
      <c r="EP4" s="289"/>
      <c r="EQ4" s="289"/>
      <c r="ER4" s="289"/>
      <c r="ES4" s="289"/>
      <c r="ET4" s="289"/>
      <c r="EU4" s="289"/>
      <c r="EV4" s="289"/>
      <c r="EW4" s="289"/>
      <c r="EX4" s="289"/>
      <c r="EY4" s="289"/>
      <c r="EZ4" s="289"/>
      <c r="FA4" s="289"/>
      <c r="FB4" s="289"/>
      <c r="FC4" s="289"/>
      <c r="FD4" s="289"/>
      <c r="FE4" s="289"/>
      <c r="FF4" s="289"/>
      <c r="FG4" s="289"/>
      <c r="FH4" s="289"/>
      <c r="FI4" s="289"/>
      <c r="FJ4" s="289"/>
      <c r="FK4" s="289"/>
      <c r="FL4" s="289"/>
      <c r="FM4" s="289"/>
      <c r="FN4" s="289"/>
      <c r="FO4" s="289"/>
      <c r="FP4" s="289"/>
      <c r="FQ4" s="289"/>
      <c r="FR4" s="289"/>
      <c r="FS4" s="289"/>
      <c r="FT4" s="289"/>
      <c r="FU4" s="289"/>
      <c r="FV4" s="289"/>
      <c r="FW4" s="289"/>
      <c r="FX4" s="289"/>
      <c r="FY4" s="289"/>
      <c r="FZ4" s="289"/>
      <c r="GA4" s="289"/>
      <c r="GB4" s="289"/>
      <c r="GC4" s="289"/>
      <c r="GD4" s="289"/>
      <c r="GE4" s="289"/>
      <c r="GF4" s="289"/>
      <c r="GG4" s="289"/>
      <c r="GH4" s="289"/>
      <c r="GI4" s="289"/>
      <c r="GJ4" s="289"/>
      <c r="GK4" s="289"/>
      <c r="GL4" s="289"/>
      <c r="GM4" s="289"/>
      <c r="GN4" s="289"/>
      <c r="GO4" s="289"/>
      <c r="GP4" s="289"/>
      <c r="GQ4" s="289"/>
      <c r="GR4" s="289"/>
      <c r="GS4" s="289"/>
      <c r="GT4" s="289"/>
      <c r="GU4" s="289"/>
      <c r="GV4" s="289"/>
      <c r="GW4" s="289"/>
      <c r="GX4" s="289"/>
      <c r="GY4" s="289"/>
      <c r="GZ4" s="289"/>
      <c r="HA4" s="289"/>
      <c r="HB4" s="289"/>
      <c r="HC4" s="289"/>
      <c r="HD4" s="289"/>
      <c r="HE4" s="289"/>
      <c r="HF4" s="289"/>
      <c r="HG4" s="289"/>
      <c r="HH4" s="289"/>
      <c r="HI4" s="289"/>
      <c r="HJ4" s="289"/>
      <c r="HK4" s="289"/>
      <c r="HL4" s="289"/>
      <c r="HM4" s="289"/>
      <c r="HN4" s="289"/>
      <c r="HO4" s="289"/>
      <c r="HP4" s="289"/>
      <c r="HQ4" s="289"/>
      <c r="HR4" s="289"/>
      <c r="HS4" s="289"/>
      <c r="HT4" s="289"/>
      <c r="HU4" s="289"/>
      <c r="HV4" s="289"/>
      <c r="HW4" s="289"/>
      <c r="HX4" s="289"/>
      <c r="HY4" s="289"/>
      <c r="HZ4" s="289"/>
      <c r="IA4" s="289"/>
      <c r="IB4" s="289"/>
      <c r="IC4" s="289"/>
      <c r="ID4" s="289"/>
      <c r="IE4" s="289"/>
      <c r="IF4" s="289"/>
      <c r="IG4" s="289"/>
      <c r="IH4" s="289"/>
      <c r="II4" s="289"/>
      <c r="IJ4" s="289"/>
      <c r="IK4" s="289"/>
      <c r="IL4" s="289"/>
      <c r="IM4" s="289"/>
      <c r="IN4" s="289"/>
      <c r="IO4" s="289"/>
      <c r="IP4" s="289"/>
      <c r="IQ4" s="289"/>
      <c r="IR4" s="289"/>
      <c r="IS4" s="289"/>
      <c r="IT4" s="289"/>
      <c r="IU4" s="289"/>
      <c r="IV4" s="289"/>
    </row>
    <row r="5" spans="1:256" s="283" customFormat="1" ht="8.25" customHeight="1" x14ac:dyDescent="0.25">
      <c r="A5" s="290"/>
      <c r="B5" s="291"/>
      <c r="C5" s="291"/>
      <c r="D5" s="291"/>
      <c r="E5" s="291"/>
      <c r="F5" s="291"/>
      <c r="G5" s="291"/>
      <c r="H5" s="291"/>
      <c r="I5" s="291"/>
      <c r="J5" s="291"/>
      <c r="K5" s="684"/>
      <c r="L5" s="684"/>
      <c r="M5" s="684"/>
      <c r="N5" s="684"/>
      <c r="O5" s="684"/>
      <c r="P5" s="684"/>
      <c r="Q5" s="684"/>
      <c r="R5" s="684"/>
      <c r="S5" s="291"/>
      <c r="T5" s="291"/>
      <c r="U5" s="291"/>
      <c r="V5" s="291"/>
      <c r="W5" s="291"/>
      <c r="X5" s="291"/>
      <c r="Y5" s="281"/>
    </row>
    <row r="6" spans="1:256" s="300" customFormat="1" ht="12.75" customHeight="1" x14ac:dyDescent="0.2">
      <c r="A6" s="292"/>
      <c r="B6" s="685"/>
      <c r="C6" s="685"/>
      <c r="D6" s="293"/>
      <c r="E6" s="294"/>
      <c r="F6" s="294"/>
      <c r="G6" s="294"/>
      <c r="H6" s="294"/>
      <c r="I6" s="294"/>
      <c r="J6" s="294"/>
      <c r="K6" s="295"/>
      <c r="L6" s="295"/>
      <c r="M6" s="296"/>
      <c r="N6" s="296"/>
      <c r="O6" s="296"/>
      <c r="P6" s="296"/>
      <c r="Q6" s="297"/>
      <c r="R6" s="296"/>
      <c r="S6" s="298"/>
      <c r="T6" s="299"/>
      <c r="U6" s="299"/>
      <c r="V6" s="299"/>
      <c r="W6" s="299"/>
      <c r="X6" s="299"/>
      <c r="Y6" s="295"/>
    </row>
    <row r="7" spans="1:256" s="300" customFormat="1" ht="19.5" customHeight="1" x14ac:dyDescent="0.2">
      <c r="A7" s="295"/>
      <c r="B7" s="686" t="s">
        <v>9</v>
      </c>
      <c r="C7" s="686"/>
      <c r="D7" s="293" t="s">
        <v>39</v>
      </c>
      <c r="E7" s="294"/>
      <c r="F7" s="294"/>
      <c r="G7" s="687" t="s">
        <v>1376</v>
      </c>
      <c r="H7" s="688"/>
      <c r="I7" s="688"/>
      <c r="J7" s="688"/>
      <c r="K7" s="688"/>
      <c r="L7" s="689"/>
      <c r="M7" s="690" t="s">
        <v>1377</v>
      </c>
      <c r="N7" s="690"/>
      <c r="O7" s="690"/>
      <c r="P7" s="690"/>
      <c r="Q7" s="690"/>
      <c r="R7" s="690"/>
      <c r="S7" s="678" t="s">
        <v>1359</v>
      </c>
      <c r="T7" s="679"/>
      <c r="U7" s="679"/>
      <c r="V7" s="679"/>
      <c r="W7" s="680"/>
      <c r="X7" s="301" t="s">
        <v>1360</v>
      </c>
      <c r="Y7" s="295"/>
    </row>
    <row r="8" spans="1:256" s="300" customFormat="1" ht="46.5" customHeight="1" x14ac:dyDescent="0.2">
      <c r="A8" s="295"/>
      <c r="B8" s="302" t="s">
        <v>1361</v>
      </c>
      <c r="C8" s="303" t="s">
        <v>1362</v>
      </c>
      <c r="D8" s="303" t="s">
        <v>1363</v>
      </c>
      <c r="E8" s="302" t="s">
        <v>1364</v>
      </c>
      <c r="F8" s="304" t="s">
        <v>1365</v>
      </c>
      <c r="G8" s="305">
        <v>2013</v>
      </c>
      <c r="H8" s="305">
        <v>2014</v>
      </c>
      <c r="I8" s="305">
        <v>2015</v>
      </c>
      <c r="J8" s="305">
        <v>2016</v>
      </c>
      <c r="K8" s="305" t="s">
        <v>34</v>
      </c>
      <c r="L8" s="306" t="s">
        <v>1366</v>
      </c>
      <c r="M8" s="307">
        <v>2013</v>
      </c>
      <c r="N8" s="307">
        <v>2014</v>
      </c>
      <c r="O8" s="307">
        <v>2015</v>
      </c>
      <c r="P8" s="307">
        <v>2016</v>
      </c>
      <c r="Q8" s="307" t="s">
        <v>34</v>
      </c>
      <c r="R8" s="307" t="s">
        <v>1367</v>
      </c>
      <c r="S8" s="308">
        <v>2013</v>
      </c>
      <c r="T8" s="309">
        <v>2014</v>
      </c>
      <c r="U8" s="309">
        <v>2015</v>
      </c>
      <c r="V8" s="309">
        <v>2016</v>
      </c>
      <c r="W8" s="310" t="s">
        <v>34</v>
      </c>
      <c r="X8" s="311">
        <v>2016</v>
      </c>
      <c r="Y8" s="295"/>
    </row>
    <row r="9" spans="1:256" s="283" customFormat="1" ht="44.25" customHeight="1" x14ac:dyDescent="0.25">
      <c r="A9" s="281"/>
      <c r="B9" s="312">
        <v>1</v>
      </c>
      <c r="C9" s="313">
        <f>'Insumo Informe E'!B5</f>
        <v>1</v>
      </c>
      <c r="D9" s="314" t="str">
        <f>'Insumo Informe E'!C5</f>
        <v>Dotar 30 equipamientos de elementos necesarios para la atención integral a la primera infancia</v>
      </c>
      <c r="E9" s="315">
        <f>'Insumo Informe E'!D5</f>
        <v>1147</v>
      </c>
      <c r="F9" s="315" t="str">
        <f>'Insumo Informe E'!E5</f>
        <v>SUMA</v>
      </c>
      <c r="G9" s="316">
        <f>'Insumo Informe E'!F5</f>
        <v>0</v>
      </c>
      <c r="H9" s="316">
        <f>'Insumo Informe E'!G5</f>
        <v>8</v>
      </c>
      <c r="I9" s="316">
        <f>'Insumo Informe E'!H5</f>
        <v>7</v>
      </c>
      <c r="J9" s="316">
        <f>'Insumo Informe E'!I5</f>
        <v>12</v>
      </c>
      <c r="K9" s="315">
        <f>'Insumo Informe E'!J5</f>
        <v>0</v>
      </c>
      <c r="L9" s="317">
        <f>'Insumo Informe E'!K5</f>
        <v>27</v>
      </c>
      <c r="M9" s="316">
        <f>'Insumo Informe E'!L5</f>
        <v>0.9</v>
      </c>
      <c r="N9" s="316">
        <f>'Insumo Informe E'!M5</f>
        <v>8</v>
      </c>
      <c r="O9" s="316">
        <f>'Insumo Informe E'!N5</f>
        <v>11</v>
      </c>
      <c r="P9" s="316">
        <f>'Insumo Informe E'!O5</f>
        <v>12</v>
      </c>
      <c r="Q9" s="316">
        <f>'Insumo Informe E'!P5</f>
        <v>31</v>
      </c>
      <c r="R9" s="317">
        <f>'Insumo Informe E'!Q5</f>
        <v>1.0333333333333334</v>
      </c>
      <c r="S9" s="318">
        <f>'Insumo Informe E'!R5</f>
        <v>188551992</v>
      </c>
      <c r="T9" s="318">
        <f>'Insumo Informe E'!S5</f>
        <v>176319333</v>
      </c>
      <c r="U9" s="318">
        <f>'Insumo Informe E'!T5</f>
        <v>50000000</v>
      </c>
      <c r="V9" s="318">
        <f>'Insumo Informe E'!U5</f>
        <v>0</v>
      </c>
      <c r="W9" s="318">
        <f>'Insumo Informe E'!V5</f>
        <v>414871325</v>
      </c>
      <c r="X9" s="318">
        <f>'Insumo Informe E'!W5</f>
        <v>0</v>
      </c>
      <c r="Y9" s="281"/>
    </row>
    <row r="10" spans="1:256" s="283" customFormat="1" ht="44.25" customHeight="1" x14ac:dyDescent="0.25">
      <c r="A10" s="281"/>
      <c r="B10" s="312">
        <v>1</v>
      </c>
      <c r="C10" s="313">
        <v>1</v>
      </c>
      <c r="D10" s="314" t="str">
        <f>'Insumo Informe E'!C6</f>
        <v>Vincular 2.000 niños y niñas de  0 a 5 años a través de  la prevención y estimulación para la primera infancia</v>
      </c>
      <c r="E10" s="315">
        <f>'Insumo Informe E'!D6</f>
        <v>1147</v>
      </c>
      <c r="F10" s="315" t="str">
        <f>'Insumo Informe E'!E6</f>
        <v>SUMA</v>
      </c>
      <c r="G10" s="316">
        <f>'Insumo Informe E'!F6</f>
        <v>0</v>
      </c>
      <c r="H10" s="316">
        <f>'Insumo Informe E'!G6</f>
        <v>1395</v>
      </c>
      <c r="I10" s="316">
        <f>'Insumo Informe E'!H6</f>
        <v>451</v>
      </c>
      <c r="J10" s="316">
        <f>'Insumo Informe E'!I6</f>
        <v>0</v>
      </c>
      <c r="K10" s="315">
        <f>'Insumo Informe E'!J6</f>
        <v>0</v>
      </c>
      <c r="L10" s="317">
        <f>'Insumo Informe E'!K6</f>
        <v>1846</v>
      </c>
      <c r="M10" s="316">
        <f>'Insumo Informe E'!L6</f>
        <v>0.92300000000000004</v>
      </c>
      <c r="N10" s="316">
        <f>'Insumo Informe E'!M6</f>
        <v>1395</v>
      </c>
      <c r="O10" s="316">
        <f>'Insumo Informe E'!N6</f>
        <v>451</v>
      </c>
      <c r="P10" s="316">
        <f>'Insumo Informe E'!O6</f>
        <v>0</v>
      </c>
      <c r="Q10" s="316">
        <f>'Insumo Informe E'!P6</f>
        <v>1846</v>
      </c>
      <c r="R10" s="317">
        <f>'Insumo Informe E'!Q6</f>
        <v>0.92300000000000004</v>
      </c>
      <c r="S10" s="318">
        <f>'Insumo Informe E'!R6</f>
        <v>247000000</v>
      </c>
      <c r="T10" s="318">
        <f>'Insumo Informe E'!S6</f>
        <v>305521001</v>
      </c>
      <c r="U10" s="318">
        <f>'Insumo Informe E'!T6</f>
        <v>0</v>
      </c>
      <c r="V10" s="318">
        <f>'Insumo Informe E'!U6</f>
        <v>0</v>
      </c>
      <c r="W10" s="318">
        <f>'Insumo Informe E'!V6</f>
        <v>552521001</v>
      </c>
      <c r="X10" s="318">
        <f>'Insumo Informe E'!W6</f>
        <v>0</v>
      </c>
      <c r="Y10" s="281"/>
    </row>
    <row r="11" spans="1:256" s="283" customFormat="1" ht="44.25" customHeight="1" x14ac:dyDescent="0.25">
      <c r="A11" s="281"/>
      <c r="B11" s="312">
        <v>1</v>
      </c>
      <c r="C11" s="313">
        <f>'Insumo Informe E'!B7</f>
        <v>2</v>
      </c>
      <c r="D11" s="314" t="str">
        <f>'Insumo Informe E'!C7</f>
        <v>Vincular 1.200 personas de la localidad mediante estrategias de prevención, promoción y sensibilización en educación sexual y reproductiva e Infecciones de Transmisión Sexual con enfoque diferencial</v>
      </c>
      <c r="E11" s="315">
        <f>'Insumo Informe E'!D7</f>
        <v>1149</v>
      </c>
      <c r="F11" s="315" t="str">
        <f>'Insumo Informe E'!E7</f>
        <v>SUMA</v>
      </c>
      <c r="G11" s="316" t="str">
        <f>'Insumo Informe E'!F7</f>
        <v>(en blanco)</v>
      </c>
      <c r="H11" s="316">
        <f>'Insumo Informe E'!G7</f>
        <v>300</v>
      </c>
      <c r="I11" s="316">
        <f>'Insumo Informe E'!H7</f>
        <v>220</v>
      </c>
      <c r="J11" s="316">
        <f>'Insumo Informe E'!I7</f>
        <v>380</v>
      </c>
      <c r="K11" s="315">
        <f>'Insumo Informe E'!J7</f>
        <v>900</v>
      </c>
      <c r="L11" s="317">
        <f>'Insumo Informe E'!K7</f>
        <v>1800</v>
      </c>
      <c r="M11" s="316">
        <f>'Insumo Informe E'!L7</f>
        <v>1.5</v>
      </c>
      <c r="N11" s="316">
        <f>'Insumo Informe E'!M7</f>
        <v>300</v>
      </c>
      <c r="O11" s="316">
        <f>'Insumo Informe E'!N7</f>
        <v>300</v>
      </c>
      <c r="P11" s="316">
        <f>'Insumo Informe E'!O7</f>
        <v>380</v>
      </c>
      <c r="Q11" s="316">
        <f>'Insumo Informe E'!P7</f>
        <v>980</v>
      </c>
      <c r="R11" s="317">
        <f>'Insumo Informe E'!Q7</f>
        <v>0.81666666666666665</v>
      </c>
      <c r="S11" s="318">
        <f>'Insumo Informe E'!R7</f>
        <v>96950000</v>
      </c>
      <c r="T11" s="318">
        <f>'Insumo Informe E'!S7</f>
        <v>21958780</v>
      </c>
      <c r="U11" s="318">
        <f>'Insumo Informe E'!T7</f>
        <v>83937681</v>
      </c>
      <c r="V11" s="318">
        <f>'Insumo Informe E'!U7</f>
        <v>113750000</v>
      </c>
      <c r="W11" s="318">
        <f>'Insumo Informe E'!V7</f>
        <v>316596461</v>
      </c>
      <c r="X11" s="318">
        <f>'Insumo Informe E'!W7</f>
        <v>2250000</v>
      </c>
      <c r="Y11" s="281"/>
    </row>
    <row r="12" spans="1:256" s="283" customFormat="1" ht="44.25" customHeight="1" x14ac:dyDescent="0.25">
      <c r="A12" s="281"/>
      <c r="B12" s="312">
        <v>1</v>
      </c>
      <c r="C12" s="313">
        <v>2</v>
      </c>
      <c r="D12" s="314" t="str">
        <f>'Insumo Informe E'!C8</f>
        <v>Vincular 12.000 personas de la localidad y su ruralidad mediante programas de promoción y prevención en salud</v>
      </c>
      <c r="E12" s="315">
        <f>'Insumo Informe E'!D8</f>
        <v>1149</v>
      </c>
      <c r="F12" s="315" t="str">
        <f>'Insumo Informe E'!E8</f>
        <v>SUMA</v>
      </c>
      <c r="G12" s="316" t="str">
        <f>'Insumo Informe E'!F8</f>
        <v>(en blanco)</v>
      </c>
      <c r="H12" s="316">
        <f>'Insumo Informe E'!G8</f>
        <v>3000</v>
      </c>
      <c r="I12" s="316">
        <f>'Insumo Informe E'!H8</f>
        <v>3000</v>
      </c>
      <c r="J12" s="316">
        <f>'Insumo Informe E'!I8</f>
        <v>3000</v>
      </c>
      <c r="K12" s="315">
        <f>'Insumo Informe E'!J8</f>
        <v>4090</v>
      </c>
      <c r="L12" s="317">
        <f>'Insumo Informe E'!K8</f>
        <v>13090</v>
      </c>
      <c r="M12" s="316">
        <f>'Insumo Informe E'!L8</f>
        <v>1.0908333333333333</v>
      </c>
      <c r="N12" s="316">
        <f>'Insumo Informe E'!M8</f>
        <v>3000</v>
      </c>
      <c r="O12" s="316">
        <f>'Insumo Informe E'!N8</f>
        <v>3000</v>
      </c>
      <c r="P12" s="316">
        <f>'Insumo Informe E'!O8</f>
        <v>3000</v>
      </c>
      <c r="Q12" s="316">
        <f>'Insumo Informe E'!P8</f>
        <v>9000</v>
      </c>
      <c r="R12" s="317">
        <f>'Insumo Informe E'!Q8</f>
        <v>0.75</v>
      </c>
      <c r="S12" s="318">
        <f>'Insumo Informe E'!R8</f>
        <v>534472033</v>
      </c>
      <c r="T12" s="318">
        <f>'Insumo Informe E'!S8</f>
        <v>426981220</v>
      </c>
      <c r="U12" s="318">
        <f>'Insumo Informe E'!T8</f>
        <v>115419463</v>
      </c>
      <c r="V12" s="318">
        <f>'Insumo Informe E'!U8</f>
        <v>222923260</v>
      </c>
      <c r="W12" s="318">
        <f>'Insumo Informe E'!V8</f>
        <v>1299795976</v>
      </c>
      <c r="X12" s="318">
        <f>'Insumo Informe E'!W8</f>
        <v>0</v>
      </c>
      <c r="Y12" s="281"/>
    </row>
    <row r="13" spans="1:256" s="283" customFormat="1" ht="44.25" customHeight="1" x14ac:dyDescent="0.25">
      <c r="A13" s="281"/>
      <c r="B13" s="312">
        <v>1</v>
      </c>
      <c r="C13" s="313">
        <v>2</v>
      </c>
      <c r="D13" s="314" t="str">
        <f>'Insumo Informe E'!C9</f>
        <v>Vincular 320 personas en condición de discapacidad a través del Banco de Ayudas Técnicas</v>
      </c>
      <c r="E13" s="315">
        <f>'Insumo Informe E'!D9</f>
        <v>1149</v>
      </c>
      <c r="F13" s="315" t="str">
        <f>'Insumo Informe E'!E9</f>
        <v>SUMA</v>
      </c>
      <c r="G13" s="316" t="str">
        <f>'Insumo Informe E'!F9</f>
        <v>(en blanco)</v>
      </c>
      <c r="H13" s="316">
        <f>'Insumo Informe E'!G9</f>
        <v>80</v>
      </c>
      <c r="I13" s="316">
        <f>'Insumo Informe E'!H9</f>
        <v>90</v>
      </c>
      <c r="J13" s="316">
        <f>'Insumo Informe E'!I9</f>
        <v>100</v>
      </c>
      <c r="K13" s="315">
        <f>'Insumo Informe E'!J9</f>
        <v>80</v>
      </c>
      <c r="L13" s="317">
        <f>'Insumo Informe E'!K9</f>
        <v>350</v>
      </c>
      <c r="M13" s="316">
        <f>'Insumo Informe E'!L9</f>
        <v>1.09375</v>
      </c>
      <c r="N13" s="316">
        <f>'Insumo Informe E'!M9</f>
        <v>66</v>
      </c>
      <c r="O13" s="316">
        <f>'Insumo Informe E'!N9</f>
        <v>250</v>
      </c>
      <c r="P13" s="316">
        <f>'Insumo Informe E'!O9</f>
        <v>100</v>
      </c>
      <c r="Q13" s="316">
        <f>'Insumo Informe E'!P9</f>
        <v>416</v>
      </c>
      <c r="R13" s="317">
        <f>'Insumo Informe E'!Q9</f>
        <v>1.3</v>
      </c>
      <c r="S13" s="318">
        <f>'Insumo Informe E'!R9</f>
        <v>104781818</v>
      </c>
      <c r="T13" s="318">
        <f>'Insumo Informe E'!S9</f>
        <v>100000000</v>
      </c>
      <c r="U13" s="318">
        <f>'Insumo Informe E'!T9</f>
        <v>50642856</v>
      </c>
      <c r="V13" s="318">
        <f>'Insumo Informe E'!U9</f>
        <v>184000000</v>
      </c>
      <c r="W13" s="318">
        <f>'Insumo Informe E'!V9</f>
        <v>439424674</v>
      </c>
      <c r="X13" s="318">
        <f>'Insumo Informe E'!W9</f>
        <v>0</v>
      </c>
      <c r="Y13" s="281"/>
    </row>
    <row r="14" spans="1:256" s="283" customFormat="1" ht="44.25" customHeight="1" x14ac:dyDescent="0.25">
      <c r="A14" s="281"/>
      <c r="B14" s="312">
        <v>1</v>
      </c>
      <c r="C14" s="313">
        <f>'Insumo Informe E'!B10</f>
        <v>3</v>
      </c>
      <c r="D14" s="314" t="str">
        <f>'Insumo Informe E'!C10</f>
        <v>Dotar 8 IEDS con medios didácticos apropiados a su Proyecto Educativo Institucional-PEI, laboratorios y mobiliario</v>
      </c>
      <c r="E14" s="315">
        <f>'Insumo Informe E'!D10</f>
        <v>1150</v>
      </c>
      <c r="F14" s="315" t="str">
        <f>'Insumo Informe E'!E10</f>
        <v>SUMA</v>
      </c>
      <c r="G14" s="316">
        <f>'Insumo Informe E'!F10</f>
        <v>0</v>
      </c>
      <c r="H14" s="316">
        <f>'Insumo Informe E'!G10</f>
        <v>0</v>
      </c>
      <c r="I14" s="316">
        <f>'Insumo Informe E'!H10</f>
        <v>9</v>
      </c>
      <c r="J14" s="316">
        <f>'Insumo Informe E'!I10</f>
        <v>0</v>
      </c>
      <c r="K14" s="315">
        <f>'Insumo Informe E'!J10</f>
        <v>0</v>
      </c>
      <c r="L14" s="317">
        <f>'Insumo Informe E'!K10</f>
        <v>9</v>
      </c>
      <c r="M14" s="316">
        <f>'Insumo Informe E'!L10</f>
        <v>1.125</v>
      </c>
      <c r="N14" s="316">
        <f>'Insumo Informe E'!M10</f>
        <v>0</v>
      </c>
      <c r="O14" s="316">
        <f>'Insumo Informe E'!N10</f>
        <v>9</v>
      </c>
      <c r="P14" s="316">
        <f>'Insumo Informe E'!O10</f>
        <v>0</v>
      </c>
      <c r="Q14" s="316">
        <f>'Insumo Informe E'!P10</f>
        <v>9</v>
      </c>
      <c r="R14" s="317">
        <f>'Insumo Informe E'!Q10</f>
        <v>1.125</v>
      </c>
      <c r="S14" s="318">
        <f>'Insumo Informe E'!R10</f>
        <v>0</v>
      </c>
      <c r="T14" s="318">
        <f>'Insumo Informe E'!S10</f>
        <v>88229200</v>
      </c>
      <c r="U14" s="318">
        <f>'Insumo Informe E'!T10</f>
        <v>0</v>
      </c>
      <c r="V14" s="318">
        <f>'Insumo Informe E'!U10</f>
        <v>0</v>
      </c>
      <c r="W14" s="318">
        <f>'Insumo Informe E'!V10</f>
        <v>88229200</v>
      </c>
      <c r="X14" s="318">
        <f>'Insumo Informe E'!W10</f>
        <v>0</v>
      </c>
      <c r="Y14" s="281"/>
    </row>
    <row r="15" spans="1:256" s="283" customFormat="1" ht="44.25" customHeight="1" x14ac:dyDescent="0.25">
      <c r="A15" s="281"/>
      <c r="B15" s="312">
        <v>1</v>
      </c>
      <c r="C15" s="313">
        <v>3</v>
      </c>
      <c r="D15" s="314" t="str">
        <f>'Insumo Informe E'!C11</f>
        <v>Vincular 3.000 personas con el fortalecimiento de las instituciones educativas a través de la realización de un foro educativo anual</v>
      </c>
      <c r="E15" s="315">
        <f>'Insumo Informe E'!D11</f>
        <v>1150</v>
      </c>
      <c r="F15" s="315" t="str">
        <f>'Insumo Informe E'!E11</f>
        <v>SUMA</v>
      </c>
      <c r="G15" s="316">
        <f>'Insumo Informe E'!F11</f>
        <v>530</v>
      </c>
      <c r="H15" s="316">
        <f>'Insumo Informe E'!G11</f>
        <v>600</v>
      </c>
      <c r="I15" s="316">
        <f>'Insumo Informe E'!H11</f>
        <v>800</v>
      </c>
      <c r="J15" s="316">
        <f>'Insumo Informe E'!I11</f>
        <v>900</v>
      </c>
      <c r="K15" s="315">
        <f>'Insumo Informe E'!J11</f>
        <v>530</v>
      </c>
      <c r="L15" s="317">
        <f>'Insumo Informe E'!K11</f>
        <v>2830</v>
      </c>
      <c r="M15" s="316">
        <f>'Insumo Informe E'!L11</f>
        <v>0.94333333333333336</v>
      </c>
      <c r="N15" s="316">
        <f>'Insumo Informe E'!M11</f>
        <v>650</v>
      </c>
      <c r="O15" s="316">
        <f>'Insumo Informe E'!N11</f>
        <v>800</v>
      </c>
      <c r="P15" s="316">
        <f>'Insumo Informe E'!O11</f>
        <v>900</v>
      </c>
      <c r="Q15" s="316">
        <f>'Insumo Informe E'!P11</f>
        <v>2880</v>
      </c>
      <c r="R15" s="317">
        <f>'Insumo Informe E'!Q11</f>
        <v>0.96</v>
      </c>
      <c r="S15" s="318">
        <f>'Insumo Informe E'!R11</f>
        <v>16464000</v>
      </c>
      <c r="T15" s="318">
        <f>'Insumo Informe E'!S11</f>
        <v>135015223</v>
      </c>
      <c r="U15" s="318">
        <f>'Insumo Informe E'!T11</f>
        <v>19720000</v>
      </c>
      <c r="V15" s="318">
        <f>'Insumo Informe E'!U11</f>
        <v>12365880</v>
      </c>
      <c r="W15" s="318">
        <f>'Insumo Informe E'!V11</f>
        <v>183565103</v>
      </c>
      <c r="X15" s="318">
        <f>'Insumo Informe E'!W11</f>
        <v>12365880</v>
      </c>
      <c r="Y15" s="281"/>
    </row>
    <row r="16" spans="1:256" s="283" customFormat="1" ht="44.25" customHeight="1" x14ac:dyDescent="0.25">
      <c r="A16" s="281"/>
      <c r="B16" s="312">
        <v>1</v>
      </c>
      <c r="C16" s="313">
        <v>3</v>
      </c>
      <c r="D16" s="314" t="str">
        <f>'Insumo Informe E'!C12</f>
        <v>Vincular 400 personas mediante programas de Educación flexible y diferencial para adultos de la localidad</v>
      </c>
      <c r="E16" s="315">
        <f>'Insumo Informe E'!D12</f>
        <v>1150</v>
      </c>
      <c r="F16" s="315" t="str">
        <f>'Insumo Informe E'!E12</f>
        <v>SUMA</v>
      </c>
      <c r="G16" s="316">
        <f>'Insumo Informe E'!F12</f>
        <v>0</v>
      </c>
      <c r="H16" s="316">
        <f>'Insumo Informe E'!G12</f>
        <v>100</v>
      </c>
      <c r="I16" s="316">
        <f>'Insumo Informe E'!H12</f>
        <v>270</v>
      </c>
      <c r="J16" s="316">
        <f>'Insumo Informe E'!I12</f>
        <v>25</v>
      </c>
      <c r="K16" s="315">
        <f>'Insumo Informe E'!J12</f>
        <v>100</v>
      </c>
      <c r="L16" s="317">
        <f>'Insumo Informe E'!K12</f>
        <v>495</v>
      </c>
      <c r="M16" s="316">
        <f>'Insumo Informe E'!L12</f>
        <v>1.2375</v>
      </c>
      <c r="N16" s="316">
        <f>'Insumo Informe E'!M12</f>
        <v>130</v>
      </c>
      <c r="O16" s="316">
        <f>'Insumo Informe E'!N12</f>
        <v>270</v>
      </c>
      <c r="P16" s="316">
        <f>'Insumo Informe E'!O12</f>
        <v>25</v>
      </c>
      <c r="Q16" s="316">
        <f>'Insumo Informe E'!P12</f>
        <v>425</v>
      </c>
      <c r="R16" s="317">
        <f>'Insumo Informe E'!Q12</f>
        <v>1.0625</v>
      </c>
      <c r="S16" s="318">
        <f>'Insumo Informe E'!R12</f>
        <v>194630000</v>
      </c>
      <c r="T16" s="318">
        <f>'Insumo Informe E'!S12</f>
        <v>442042074</v>
      </c>
      <c r="U16" s="318">
        <f>'Insumo Informe E'!T12</f>
        <v>41000000</v>
      </c>
      <c r="V16" s="318">
        <f>'Insumo Informe E'!U12</f>
        <v>172454389</v>
      </c>
      <c r="W16" s="318">
        <f>'Insumo Informe E'!V12</f>
        <v>850126463</v>
      </c>
      <c r="X16" s="318">
        <f>'Insumo Informe E'!W12</f>
        <v>0</v>
      </c>
      <c r="Y16" s="281"/>
    </row>
    <row r="17" spans="1:25" s="283" customFormat="1" ht="44.25" customHeight="1" x14ac:dyDescent="0.25">
      <c r="A17" s="281"/>
      <c r="B17" s="312">
        <v>1</v>
      </c>
      <c r="C17" s="313">
        <v>3</v>
      </c>
      <c r="D17" s="314" t="str">
        <f>'Insumo Informe E'!C13</f>
        <v>Vincular 1.000 personas escolarizadas entre ellas en condición de discapacidad, mediante actividades de aprendizaje y reforzamiento escolar (lectoescritura, idiomas, arte, agricultura urbana y campesina y aprovechamiento del tiempo libre) en los IEDS de la localidad</v>
      </c>
      <c r="E17" s="315">
        <f>'Insumo Informe E'!D13</f>
        <v>1150</v>
      </c>
      <c r="F17" s="315" t="str">
        <f>'Insumo Informe E'!E13</f>
        <v>SUMA</v>
      </c>
      <c r="G17" s="316">
        <f>'Insumo Informe E'!F13</f>
        <v>0</v>
      </c>
      <c r="H17" s="316">
        <f>'Insumo Informe E'!G13</f>
        <v>900</v>
      </c>
      <c r="I17" s="316">
        <f>'Insumo Informe E'!H13</f>
        <v>0</v>
      </c>
      <c r="J17" s="316">
        <f>'Insumo Informe E'!I13</f>
        <v>300</v>
      </c>
      <c r="K17" s="315">
        <f>'Insumo Informe E'!J13</f>
        <v>0</v>
      </c>
      <c r="L17" s="317">
        <f>'Insumo Informe E'!K13</f>
        <v>1200</v>
      </c>
      <c r="M17" s="316">
        <f>'Insumo Informe E'!L13</f>
        <v>1.2</v>
      </c>
      <c r="N17" s="316">
        <f>'Insumo Informe E'!M13</f>
        <v>900</v>
      </c>
      <c r="O17" s="316">
        <f>'Insumo Informe E'!N13</f>
        <v>0</v>
      </c>
      <c r="P17" s="316">
        <f>'Insumo Informe E'!O13</f>
        <v>300</v>
      </c>
      <c r="Q17" s="316">
        <f>'Insumo Informe E'!P13</f>
        <v>1200</v>
      </c>
      <c r="R17" s="317">
        <f>'Insumo Informe E'!Q13</f>
        <v>1.2</v>
      </c>
      <c r="S17" s="318">
        <f>'Insumo Informe E'!R13</f>
        <v>198507100</v>
      </c>
      <c r="T17" s="318">
        <f>'Insumo Informe E'!S13</f>
        <v>6600000</v>
      </c>
      <c r="U17" s="318">
        <f>'Insumo Informe E'!T13</f>
        <v>117566000</v>
      </c>
      <c r="V17" s="318">
        <f>'Insumo Informe E'!U13</f>
        <v>0</v>
      </c>
      <c r="W17" s="318">
        <f>'Insumo Informe E'!V13</f>
        <v>322673100</v>
      </c>
      <c r="X17" s="318">
        <f>'Insumo Informe E'!W13</f>
        <v>0</v>
      </c>
      <c r="Y17" s="281"/>
    </row>
    <row r="18" spans="1:25" s="283" customFormat="1" ht="44.25" customHeight="1" x14ac:dyDescent="0.25">
      <c r="A18" s="281"/>
      <c r="B18" s="312">
        <v>1</v>
      </c>
      <c r="C18" s="313">
        <f>'Insumo Informe E'!B14</f>
        <v>4</v>
      </c>
      <c r="D18" s="314" t="str">
        <f>'Insumo Informe E'!C14</f>
        <v>Vincular 200 mujeres  en programas con enfoque diferencial, mecanismos de protección, capacitación para la  prevención de violencia contra las mujeres y visibilización de la política pública de la mujer y género</v>
      </c>
      <c r="E18" s="315">
        <f>'Insumo Informe E'!D14</f>
        <v>1164</v>
      </c>
      <c r="F18" s="315" t="str">
        <f>'Insumo Informe E'!E14</f>
        <v>SUMA</v>
      </c>
      <c r="G18" s="316">
        <f>'Insumo Informe E'!F14</f>
        <v>0</v>
      </c>
      <c r="H18" s="316">
        <f>'Insumo Informe E'!G14</f>
        <v>0</v>
      </c>
      <c r="I18" s="316">
        <f>'Insumo Informe E'!H14</f>
        <v>0</v>
      </c>
      <c r="J18" s="316">
        <f>'Insumo Informe E'!I14</f>
        <v>0</v>
      </c>
      <c r="K18" s="315">
        <f>'Insumo Informe E'!J14</f>
        <v>250</v>
      </c>
      <c r="L18" s="317">
        <f>'Insumo Informe E'!K14</f>
        <v>250</v>
      </c>
      <c r="M18" s="316">
        <f>'Insumo Informe E'!L14</f>
        <v>1.25</v>
      </c>
      <c r="N18" s="316">
        <f>'Insumo Informe E'!M14</f>
        <v>0</v>
      </c>
      <c r="O18" s="316">
        <f>'Insumo Informe E'!N14</f>
        <v>0</v>
      </c>
      <c r="P18" s="316">
        <f>'Insumo Informe E'!O14</f>
        <v>0</v>
      </c>
      <c r="Q18" s="316">
        <f>'Insumo Informe E'!P14</f>
        <v>0</v>
      </c>
      <c r="R18" s="317">
        <f>'Insumo Informe E'!Q14</f>
        <v>0</v>
      </c>
      <c r="S18" s="318">
        <f>'Insumo Informe E'!R14</f>
        <v>0</v>
      </c>
      <c r="T18" s="318">
        <f>'Insumo Informe E'!S14</f>
        <v>0</v>
      </c>
      <c r="U18" s="318">
        <f>'Insumo Informe E'!T14</f>
        <v>0</v>
      </c>
      <c r="V18" s="318">
        <f>'Insumo Informe E'!U14</f>
        <v>27960668</v>
      </c>
      <c r="W18" s="318">
        <f>'Insumo Informe E'!V14</f>
        <v>27960668</v>
      </c>
      <c r="X18" s="318">
        <f>'Insumo Informe E'!W14</f>
        <v>0</v>
      </c>
      <c r="Y18" s="281"/>
    </row>
    <row r="19" spans="1:25" s="283" customFormat="1" ht="44.25" customHeight="1" x14ac:dyDescent="0.25">
      <c r="A19" s="281"/>
      <c r="B19" s="312">
        <v>1</v>
      </c>
      <c r="C19" s="313">
        <f>'Insumo Informe E'!B15</f>
        <v>5</v>
      </c>
      <c r="D19" s="314" t="str">
        <f>'Insumo Informe E'!C15</f>
        <v>Beneficiar  900 adultos mayores anualmente  mediante la entrega de subsidios económicos</v>
      </c>
      <c r="E19" s="315">
        <f>'Insumo Informe E'!D15</f>
        <v>1157</v>
      </c>
      <c r="F19" s="315" t="str">
        <f>'Insumo Informe E'!E15</f>
        <v>CONSTANTE</v>
      </c>
      <c r="G19" s="316">
        <f>'Insumo Informe E'!F15</f>
        <v>2700</v>
      </c>
      <c r="H19" s="316">
        <f>'Insumo Informe E'!G15</f>
        <v>900</v>
      </c>
      <c r="I19" s="316">
        <f>'Insumo Informe E'!H15</f>
        <v>1200</v>
      </c>
      <c r="J19" s="316">
        <f>'Insumo Informe E'!I15</f>
        <v>2300</v>
      </c>
      <c r="K19" s="315">
        <f>'Insumo Informe E'!J15</f>
        <v>2700</v>
      </c>
      <c r="L19" s="317">
        <f>'Insumo Informe E'!K15</f>
        <v>1775</v>
      </c>
      <c r="M19" s="316">
        <f>'Insumo Informe E'!L15</f>
        <v>1.9722222222222223</v>
      </c>
      <c r="N19" s="316">
        <f>'Insumo Informe E'!M15</f>
        <v>900</v>
      </c>
      <c r="O19" s="316">
        <f>'Insumo Informe E'!N15</f>
        <v>1200</v>
      </c>
      <c r="P19" s="316">
        <f>'Insumo Informe E'!O15</f>
        <v>2500</v>
      </c>
      <c r="Q19" s="316">
        <f>'Insumo Informe E'!P15</f>
        <v>1825</v>
      </c>
      <c r="R19" s="317">
        <f>'Insumo Informe E'!Q15</f>
        <v>2.0277777777777777</v>
      </c>
      <c r="S19" s="318">
        <f>'Insumo Informe E'!R15</f>
        <v>1813000000</v>
      </c>
      <c r="T19" s="318">
        <f>'Insumo Informe E'!S15</f>
        <v>1800498972</v>
      </c>
      <c r="U19" s="318">
        <f>'Insumo Informe E'!T15</f>
        <v>4622824460</v>
      </c>
      <c r="V19" s="318">
        <f>'Insumo Informe E'!U15</f>
        <v>3400000000</v>
      </c>
      <c r="W19" s="318">
        <f>'Insumo Informe E'!V15</f>
        <v>11636323432</v>
      </c>
      <c r="X19" s="318">
        <f>'Insumo Informe E'!W15</f>
        <v>306316134</v>
      </c>
      <c r="Y19" s="281"/>
    </row>
    <row r="20" spans="1:25" s="283" customFormat="1" ht="44.25" customHeight="1" x14ac:dyDescent="0.25">
      <c r="A20" s="281"/>
      <c r="B20" s="312">
        <v>1</v>
      </c>
      <c r="C20" s="313">
        <v>5</v>
      </c>
      <c r="D20" s="314" t="str">
        <f>'Insumo Informe E'!C16</f>
        <v>Vincular 1.000 personas  mediante acciones de prevención de casos de violencia intrafamiliar y explotación infantil con enfoque diferencial y otros tipos de violencias por discriminación</v>
      </c>
      <c r="E20" s="315">
        <f>'Insumo Informe E'!D16</f>
        <v>1157</v>
      </c>
      <c r="F20" s="315" t="str">
        <f>'Insumo Informe E'!E16</f>
        <v>SUMA</v>
      </c>
      <c r="G20" s="316">
        <f>'Insumo Informe E'!F16</f>
        <v>0</v>
      </c>
      <c r="H20" s="316">
        <f>'Insumo Informe E'!G16</f>
        <v>250</v>
      </c>
      <c r="I20" s="316">
        <f>'Insumo Informe E'!H16</f>
        <v>250</v>
      </c>
      <c r="J20" s="316">
        <f>'Insumo Informe E'!I16</f>
        <v>400</v>
      </c>
      <c r="K20" s="315">
        <f>'Insumo Informe E'!J16</f>
        <v>0</v>
      </c>
      <c r="L20" s="317">
        <f>'Insumo Informe E'!K16</f>
        <v>900</v>
      </c>
      <c r="M20" s="316">
        <f>'Insumo Informe E'!L16</f>
        <v>0.9</v>
      </c>
      <c r="N20" s="316">
        <f>'Insumo Informe E'!M16</f>
        <v>250</v>
      </c>
      <c r="O20" s="316">
        <f>'Insumo Informe E'!N16</f>
        <v>250</v>
      </c>
      <c r="P20" s="316">
        <f>'Insumo Informe E'!O16</f>
        <v>400</v>
      </c>
      <c r="Q20" s="316">
        <f>'Insumo Informe E'!P16</f>
        <v>900</v>
      </c>
      <c r="R20" s="317">
        <f>'Insumo Informe E'!Q16</f>
        <v>0.9</v>
      </c>
      <c r="S20" s="318">
        <f>'Insumo Informe E'!R16</f>
        <v>294209970</v>
      </c>
      <c r="T20" s="318">
        <f>'Insumo Informe E'!S16</f>
        <v>312947000</v>
      </c>
      <c r="U20" s="318">
        <f>'Insumo Informe E'!T16</f>
        <v>316000000</v>
      </c>
      <c r="V20" s="318">
        <f>'Insumo Informe E'!U16</f>
        <v>0</v>
      </c>
      <c r="W20" s="318">
        <f>'Insumo Informe E'!V16</f>
        <v>923156970</v>
      </c>
      <c r="X20" s="318">
        <f>'Insumo Informe E'!W16</f>
        <v>0</v>
      </c>
      <c r="Y20" s="281"/>
    </row>
    <row r="21" spans="1:25" s="283" customFormat="1" ht="44.25" customHeight="1" x14ac:dyDescent="0.25">
      <c r="A21" s="281"/>
      <c r="B21" s="312">
        <v>1</v>
      </c>
      <c r="C21" s="313">
        <v>5</v>
      </c>
      <c r="D21" s="314" t="str">
        <f>'Insumo Informe E'!C17</f>
        <v>Vincular 220 personas en situación de fragilidad social (adulto mayor trabajadores (as) sexuales y/o habitante de calle) con programas y/o procesos que busquen mejorar sus condiciones de vida</v>
      </c>
      <c r="E21" s="315">
        <f>'Insumo Informe E'!D17</f>
        <v>1157</v>
      </c>
      <c r="F21" s="315" t="str">
        <f>'Insumo Informe E'!E17</f>
        <v>SUMA</v>
      </c>
      <c r="G21" s="316">
        <f>'Insumo Informe E'!F17</f>
        <v>0</v>
      </c>
      <c r="H21" s="316">
        <f>'Insumo Informe E'!G17</f>
        <v>210</v>
      </c>
      <c r="I21" s="316">
        <f>'Insumo Informe E'!H17</f>
        <v>0</v>
      </c>
      <c r="J21" s="316">
        <f>'Insumo Informe E'!I17</f>
        <v>0</v>
      </c>
      <c r="K21" s="315">
        <f>'Insumo Informe E'!J17</f>
        <v>0</v>
      </c>
      <c r="L21" s="317">
        <f>'Insumo Informe E'!K17</f>
        <v>210</v>
      </c>
      <c r="M21" s="316">
        <f>'Insumo Informe E'!L17</f>
        <v>0.95454545454545459</v>
      </c>
      <c r="N21" s="316">
        <f>'Insumo Informe E'!M17</f>
        <v>210</v>
      </c>
      <c r="O21" s="316">
        <f>'Insumo Informe E'!N17</f>
        <v>0</v>
      </c>
      <c r="P21" s="316">
        <f>'Insumo Informe E'!O17</f>
        <v>0</v>
      </c>
      <c r="Q21" s="316">
        <f>'Insumo Informe E'!P17</f>
        <v>210</v>
      </c>
      <c r="R21" s="317">
        <f>'Insumo Informe E'!Q17</f>
        <v>0.95454545454545459</v>
      </c>
      <c r="S21" s="318">
        <f>'Insumo Informe E'!R17</f>
        <v>300546142</v>
      </c>
      <c r="T21" s="318">
        <f>'Insumo Informe E'!S17</f>
        <v>0</v>
      </c>
      <c r="U21" s="318">
        <f>'Insumo Informe E'!T17</f>
        <v>0</v>
      </c>
      <c r="V21" s="318">
        <f>'Insumo Informe E'!U17</f>
        <v>0</v>
      </c>
      <c r="W21" s="318">
        <f>'Insumo Informe E'!V17</f>
        <v>300546142</v>
      </c>
      <c r="X21" s="318">
        <f>'Insumo Informe E'!W17</f>
        <v>0</v>
      </c>
      <c r="Y21" s="281"/>
    </row>
    <row r="22" spans="1:25" s="283" customFormat="1" ht="44.25" customHeight="1" x14ac:dyDescent="0.25">
      <c r="A22" s="281"/>
      <c r="B22" s="312">
        <v>1</v>
      </c>
      <c r="C22" s="313">
        <v>5</v>
      </c>
      <c r="D22" s="314" t="str">
        <f>'Insumo Informe E'!C18</f>
        <v>Vincular 5.000 personas de la localidad a través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v>
      </c>
      <c r="E22" s="315">
        <f>'Insumo Informe E'!D18</f>
        <v>1157</v>
      </c>
      <c r="F22" s="315" t="str">
        <f>'Insumo Informe E'!E18</f>
        <v>SUMA</v>
      </c>
      <c r="G22" s="316">
        <f>'Insumo Informe E'!F18</f>
        <v>0</v>
      </c>
      <c r="H22" s="316">
        <f>'Insumo Informe E'!G18</f>
        <v>1250</v>
      </c>
      <c r="I22" s="316">
        <f>'Insumo Informe E'!H18</f>
        <v>1250</v>
      </c>
      <c r="J22" s="316">
        <f>'Insumo Informe E'!I18</f>
        <v>1800</v>
      </c>
      <c r="K22" s="315">
        <f>'Insumo Informe E'!J18</f>
        <v>0</v>
      </c>
      <c r="L22" s="317">
        <f>'Insumo Informe E'!K18</f>
        <v>4300</v>
      </c>
      <c r="M22" s="316">
        <f>'Insumo Informe E'!L18</f>
        <v>0.86</v>
      </c>
      <c r="N22" s="316">
        <f>'Insumo Informe E'!M18</f>
        <v>1250</v>
      </c>
      <c r="O22" s="316">
        <f>'Insumo Informe E'!N18</f>
        <v>1250</v>
      </c>
      <c r="P22" s="316">
        <f>'Insumo Informe E'!O18</f>
        <v>1800</v>
      </c>
      <c r="Q22" s="316">
        <f>'Insumo Informe E'!P18</f>
        <v>4300</v>
      </c>
      <c r="R22" s="317">
        <f>'Insumo Informe E'!Q18</f>
        <v>0.86</v>
      </c>
      <c r="S22" s="318">
        <f>'Insumo Informe E'!R18</f>
        <v>236477888</v>
      </c>
      <c r="T22" s="318">
        <f>'Insumo Informe E'!S18</f>
        <v>261732500</v>
      </c>
      <c r="U22" s="318">
        <f>'Insumo Informe E'!T18</f>
        <v>305050000</v>
      </c>
      <c r="V22" s="318">
        <f>'Insumo Informe E'!U18</f>
        <v>0</v>
      </c>
      <c r="W22" s="318">
        <f>'Insumo Informe E'!V18</f>
        <v>803260388</v>
      </c>
      <c r="X22" s="318">
        <f>'Insumo Informe E'!W18</f>
        <v>0</v>
      </c>
      <c r="Y22" s="281"/>
    </row>
    <row r="23" spans="1:25" s="283" customFormat="1" ht="44.25" customHeight="1" x14ac:dyDescent="0.25">
      <c r="A23" s="281"/>
      <c r="B23" s="312">
        <v>1</v>
      </c>
      <c r="C23" s="313">
        <f>'Insumo Informe E'!B19</f>
        <v>8</v>
      </c>
      <c r="D23" s="314" t="str">
        <f>'Insumo Informe E'!C19</f>
        <v>Apropiar 2 espacios culturales significativos de la localidad a través de corredores culturales e inventario patrimonial tangible e intangible</v>
      </c>
      <c r="E23" s="315">
        <f>'Insumo Informe E'!D19</f>
        <v>1161</v>
      </c>
      <c r="F23" s="315" t="str">
        <f>'Insumo Informe E'!E19</f>
        <v>SUMA</v>
      </c>
      <c r="G23" s="316">
        <f>'Insumo Informe E'!F19</f>
        <v>0</v>
      </c>
      <c r="H23" s="316">
        <f>'Insumo Informe E'!G19</f>
        <v>1</v>
      </c>
      <c r="I23" s="316">
        <f>'Insumo Informe E'!H19</f>
        <v>2</v>
      </c>
      <c r="J23" s="316">
        <f>'Insumo Informe E'!I19</f>
        <v>0</v>
      </c>
      <c r="K23" s="315">
        <f>'Insumo Informe E'!J19</f>
        <v>0</v>
      </c>
      <c r="L23" s="317">
        <f>'Insumo Informe E'!K19</f>
        <v>3</v>
      </c>
      <c r="M23" s="316">
        <f>'Insumo Informe E'!L19</f>
        <v>1.5</v>
      </c>
      <c r="N23" s="316">
        <f>'Insumo Informe E'!M19</f>
        <v>1</v>
      </c>
      <c r="O23" s="316">
        <f>'Insumo Informe E'!N19</f>
        <v>2</v>
      </c>
      <c r="P23" s="316">
        <f>'Insumo Informe E'!O19</f>
        <v>0</v>
      </c>
      <c r="Q23" s="316">
        <f>'Insumo Informe E'!P19</f>
        <v>3</v>
      </c>
      <c r="R23" s="317">
        <f>'Insumo Informe E'!Q19</f>
        <v>1.5</v>
      </c>
      <c r="S23" s="318">
        <f>'Insumo Informe E'!R19</f>
        <v>253216540</v>
      </c>
      <c r="T23" s="318">
        <f>'Insumo Informe E'!S19</f>
        <v>163770000</v>
      </c>
      <c r="U23" s="318">
        <f>'Insumo Informe E'!T19</f>
        <v>16000000</v>
      </c>
      <c r="V23" s="318">
        <f>'Insumo Informe E'!U19</f>
        <v>0</v>
      </c>
      <c r="W23" s="318">
        <f>'Insumo Informe E'!V19</f>
        <v>432986540</v>
      </c>
      <c r="X23" s="318">
        <f>'Insumo Informe E'!W19</f>
        <v>0</v>
      </c>
      <c r="Y23" s="281"/>
    </row>
    <row r="24" spans="1:25" s="283" customFormat="1" ht="44.25" customHeight="1" x14ac:dyDescent="0.25">
      <c r="A24" s="281"/>
      <c r="B24" s="312">
        <v>1</v>
      </c>
      <c r="C24" s="313">
        <v>8</v>
      </c>
      <c r="D24" s="314" t="str">
        <f>'Insumo Informe E'!C20</f>
        <v>Dotar 4 bibliotecas comunitarias con  elementos, materiales, mobiliario y apoyos logísticos</v>
      </c>
      <c r="E24" s="315">
        <f>'Insumo Informe E'!D20</f>
        <v>1161</v>
      </c>
      <c r="F24" s="315" t="str">
        <f>'Insumo Informe E'!E20</f>
        <v>SUMA</v>
      </c>
      <c r="G24" s="316">
        <f>'Insumo Informe E'!F20</f>
        <v>0</v>
      </c>
      <c r="H24" s="316">
        <f>'Insumo Informe E'!G20</f>
        <v>0</v>
      </c>
      <c r="I24" s="316">
        <f>'Insumo Informe E'!H20</f>
        <v>0</v>
      </c>
      <c r="J24" s="316">
        <f>'Insumo Informe E'!I20</f>
        <v>3</v>
      </c>
      <c r="K24" s="315">
        <f>'Insumo Informe E'!J20</f>
        <v>0</v>
      </c>
      <c r="L24" s="317">
        <f>'Insumo Informe E'!K20</f>
        <v>3</v>
      </c>
      <c r="M24" s="316">
        <f>'Insumo Informe E'!L20</f>
        <v>0.75</v>
      </c>
      <c r="N24" s="316">
        <f>'Insumo Informe E'!M20</f>
        <v>0</v>
      </c>
      <c r="O24" s="316">
        <f>'Insumo Informe E'!N20</f>
        <v>3</v>
      </c>
      <c r="P24" s="316">
        <f>'Insumo Informe E'!O20</f>
        <v>3</v>
      </c>
      <c r="Q24" s="316">
        <f>'Insumo Informe E'!P20</f>
        <v>6</v>
      </c>
      <c r="R24" s="317">
        <f>'Insumo Informe E'!Q20</f>
        <v>1.5</v>
      </c>
      <c r="S24" s="318">
        <f>'Insumo Informe E'!R20</f>
        <v>0</v>
      </c>
      <c r="T24" s="318">
        <f>'Insumo Informe E'!S20</f>
        <v>0</v>
      </c>
      <c r="U24" s="318">
        <f>'Insumo Informe E'!T20</f>
        <v>62866389</v>
      </c>
      <c r="V24" s="318">
        <f>'Insumo Informe E'!U20</f>
        <v>0</v>
      </c>
      <c r="W24" s="318">
        <f>'Insumo Informe E'!V20</f>
        <v>62866389</v>
      </c>
      <c r="X24" s="318">
        <f>'Insumo Informe E'!W20</f>
        <v>0</v>
      </c>
      <c r="Y24" s="281"/>
    </row>
    <row r="25" spans="1:25" s="283" customFormat="1" ht="44.25" customHeight="1" x14ac:dyDescent="0.25">
      <c r="A25" s="281"/>
      <c r="B25" s="312">
        <v>1</v>
      </c>
      <c r="C25" s="313">
        <v>8</v>
      </c>
      <c r="D25" s="314" t="str">
        <f>'Insumo Informe E'!C21</f>
        <v>Vincular 350 niñas, niños y adolescentes anualmente a través de la práctica de grupos orquestales y formación artística y/o cultural</v>
      </c>
      <c r="E25" s="315">
        <f>'Insumo Informe E'!D21</f>
        <v>1161</v>
      </c>
      <c r="F25" s="315" t="str">
        <f>'Insumo Informe E'!E21</f>
        <v>CONSTANTE</v>
      </c>
      <c r="G25" s="316">
        <f>'Insumo Informe E'!F21</f>
        <v>0</v>
      </c>
      <c r="H25" s="316">
        <f>'Insumo Informe E'!G21</f>
        <v>475</v>
      </c>
      <c r="I25" s="316">
        <f>'Insumo Informe E'!H21</f>
        <v>250</v>
      </c>
      <c r="J25" s="316">
        <f>'Insumo Informe E'!I21</f>
        <v>250</v>
      </c>
      <c r="K25" s="315">
        <f>'Insumo Informe E'!J21</f>
        <v>350</v>
      </c>
      <c r="L25" s="317">
        <f>'Insumo Informe E'!K21</f>
        <v>331.25</v>
      </c>
      <c r="M25" s="316">
        <f>'Insumo Informe E'!L21</f>
        <v>0.9464285714285714</v>
      </c>
      <c r="N25" s="316">
        <f>'Insumo Informe E'!M21</f>
        <v>475</v>
      </c>
      <c r="O25" s="316">
        <f>'Insumo Informe E'!N21</f>
        <v>250</v>
      </c>
      <c r="P25" s="316">
        <f>'Insumo Informe E'!O21</f>
        <v>250</v>
      </c>
      <c r="Q25" s="316">
        <f>'Insumo Informe E'!P21</f>
        <v>243.75</v>
      </c>
      <c r="R25" s="317">
        <f>'Insumo Informe E'!Q21</f>
        <v>0.6964285714285714</v>
      </c>
      <c r="S25" s="318">
        <f>'Insumo Informe E'!R21</f>
        <v>488305000</v>
      </c>
      <c r="T25" s="318">
        <f>'Insumo Informe E'!S21</f>
        <v>391822500</v>
      </c>
      <c r="U25" s="318">
        <f>'Insumo Informe E'!T21</f>
        <v>492371000</v>
      </c>
      <c r="V25" s="318">
        <f>'Insumo Informe E'!U21</f>
        <v>187521521</v>
      </c>
      <c r="W25" s="318">
        <f>'Insumo Informe E'!V21</f>
        <v>1560020021</v>
      </c>
      <c r="X25" s="318">
        <f>'Insumo Informe E'!W21</f>
        <v>0</v>
      </c>
      <c r="Y25" s="281"/>
    </row>
    <row r="26" spans="1:25" s="283" customFormat="1" ht="44.25" customHeight="1" x14ac:dyDescent="0.25">
      <c r="A26" s="281"/>
      <c r="B26" s="312">
        <v>1</v>
      </c>
      <c r="C26" s="313">
        <v>8</v>
      </c>
      <c r="D26" s="314" t="str">
        <f>'Insumo Informe E'!C22</f>
        <v>Vincular 4.500 personas en eventos y formación deportiva que permitan la integración de niños, niñas, jóvenes, adolescentes, adultos y adultos mayores</v>
      </c>
      <c r="E26" s="315">
        <f>'Insumo Informe E'!D22</f>
        <v>1163</v>
      </c>
      <c r="F26" s="315" t="str">
        <f>'Insumo Informe E'!E22</f>
        <v>SUMA</v>
      </c>
      <c r="G26" s="316">
        <f>'Insumo Informe E'!F22</f>
        <v>0</v>
      </c>
      <c r="H26" s="316">
        <f>'Insumo Informe E'!G22</f>
        <v>2000</v>
      </c>
      <c r="I26" s="316">
        <f>'Insumo Informe E'!H22</f>
        <v>2000</v>
      </c>
      <c r="J26" s="316">
        <f>'Insumo Informe E'!I22</f>
        <v>1480</v>
      </c>
      <c r="K26" s="315">
        <f>'Insumo Informe E'!J22</f>
        <v>1135</v>
      </c>
      <c r="L26" s="317">
        <f>'Insumo Informe E'!K22</f>
        <v>6615</v>
      </c>
      <c r="M26" s="316">
        <f>'Insumo Informe E'!L22</f>
        <v>1.47</v>
      </c>
      <c r="N26" s="316">
        <f>'Insumo Informe E'!M22</f>
        <v>2000</v>
      </c>
      <c r="O26" s="316">
        <f>'Insumo Informe E'!N22</f>
        <v>2000</v>
      </c>
      <c r="P26" s="316">
        <f>'Insumo Informe E'!O22</f>
        <v>1480</v>
      </c>
      <c r="Q26" s="316">
        <f>'Insumo Informe E'!P22</f>
        <v>5480</v>
      </c>
      <c r="R26" s="317">
        <f>'Insumo Informe E'!Q22</f>
        <v>1.2177777777777778</v>
      </c>
      <c r="S26" s="318">
        <f>'Insumo Informe E'!R22</f>
        <v>544213543</v>
      </c>
      <c r="T26" s="318">
        <f>'Insumo Informe E'!S22</f>
        <v>690703293</v>
      </c>
      <c r="U26" s="318">
        <f>'Insumo Informe E'!T22</f>
        <v>597258335</v>
      </c>
      <c r="V26" s="318">
        <f>'Insumo Informe E'!U22</f>
        <v>644697339</v>
      </c>
      <c r="W26" s="318">
        <f>'Insumo Informe E'!V22</f>
        <v>2476872510</v>
      </c>
      <c r="X26" s="318">
        <f>'Insumo Informe E'!W22</f>
        <v>0</v>
      </c>
      <c r="Y26" s="281"/>
    </row>
    <row r="27" spans="1:25" s="283" customFormat="1" ht="44.25" customHeight="1" x14ac:dyDescent="0.25">
      <c r="A27" s="281"/>
      <c r="B27" s="312">
        <v>1</v>
      </c>
      <c r="C27" s="313">
        <v>8</v>
      </c>
      <c r="D27" s="314" t="str">
        <f>'Insumo Informe E'!C23</f>
        <v>Realizar 9 eventos culturales anuales en  los que se visibilicen las prácticas culturales de la localidad: Día  de la afrocolombianidad, Día del campesino, Festival de la chicha, Festival de Hip Hop, Festival de la alegría, Día del Adulto Mayor, Día de la discapacidad, Festival de la diversidad y el festival de integración comunal</v>
      </c>
      <c r="E27" s="315">
        <f>'Insumo Informe E'!D23</f>
        <v>1161</v>
      </c>
      <c r="F27" s="315" t="str">
        <f>'Insumo Informe E'!E23</f>
        <v>CONSTANTE</v>
      </c>
      <c r="G27" s="316">
        <f>'Insumo Informe E'!F23</f>
        <v>1</v>
      </c>
      <c r="H27" s="316">
        <f>'Insumo Informe E'!G23</f>
        <v>12</v>
      </c>
      <c r="I27" s="316">
        <f>'Insumo Informe E'!H23</f>
        <v>13</v>
      </c>
      <c r="J27" s="316">
        <f>'Insumo Informe E'!I23</f>
        <v>8</v>
      </c>
      <c r="K27" s="315">
        <f>'Insumo Informe E'!J23</f>
        <v>6</v>
      </c>
      <c r="L27" s="317">
        <f>'Insumo Informe E'!K23</f>
        <v>9.75</v>
      </c>
      <c r="M27" s="316">
        <f>'Insumo Informe E'!L23</f>
        <v>1.0833333333333333</v>
      </c>
      <c r="N27" s="316">
        <f>'Insumo Informe E'!M23</f>
        <v>12</v>
      </c>
      <c r="O27" s="316">
        <f>'Insumo Informe E'!N23</f>
        <v>13</v>
      </c>
      <c r="P27" s="316">
        <f>'Insumo Informe E'!O23</f>
        <v>8</v>
      </c>
      <c r="Q27" s="316">
        <f>'Insumo Informe E'!P23</f>
        <v>8.5</v>
      </c>
      <c r="R27" s="317">
        <f>'Insumo Informe E'!Q23</f>
        <v>0.94444444444444442</v>
      </c>
      <c r="S27" s="318">
        <f>'Insumo Informe E'!R23</f>
        <v>614233685</v>
      </c>
      <c r="T27" s="318">
        <f>'Insumo Informe E'!S23</f>
        <v>634919725</v>
      </c>
      <c r="U27" s="318">
        <f>'Insumo Informe E'!T23</f>
        <v>693708384</v>
      </c>
      <c r="V27" s="318">
        <f>'Insumo Informe E'!U23</f>
        <v>487863030</v>
      </c>
      <c r="W27" s="318">
        <f>'Insumo Informe E'!V23</f>
        <v>2430724824</v>
      </c>
      <c r="X27" s="318">
        <f>'Insumo Informe E'!W23</f>
        <v>0</v>
      </c>
      <c r="Y27" s="281"/>
    </row>
    <row r="28" spans="1:25" s="283" customFormat="1" ht="44.25" customHeight="1" x14ac:dyDescent="0.25">
      <c r="A28" s="281"/>
      <c r="B28" s="312">
        <v>2</v>
      </c>
      <c r="C28" s="313">
        <v>17</v>
      </c>
      <c r="D28" s="314" t="str">
        <f>'Insumo Informe E'!C24</f>
        <v>Recuperar 10 hectáreas ambientalmente estratégicas a través de acciones de rehabilitación ecológica y procesos de sustentabilidad campesina</v>
      </c>
      <c r="E28" s="315">
        <f>'Insumo Informe E'!D24</f>
        <v>1165</v>
      </c>
      <c r="F28" s="315" t="str">
        <f>'Insumo Informe E'!E24</f>
        <v>SUMA</v>
      </c>
      <c r="G28" s="316">
        <f>'Insumo Informe E'!F24</f>
        <v>0</v>
      </c>
      <c r="H28" s="316">
        <f>'Insumo Informe E'!G24</f>
        <v>3</v>
      </c>
      <c r="I28" s="316">
        <f>'Insumo Informe E'!H24</f>
        <v>2.5</v>
      </c>
      <c r="J28" s="316">
        <f>'Insumo Informe E'!I24</f>
        <v>2</v>
      </c>
      <c r="K28" s="315">
        <f>'Insumo Informe E'!J24</f>
        <v>13</v>
      </c>
      <c r="L28" s="317">
        <f>'Insumo Informe E'!K24</f>
        <v>20.5</v>
      </c>
      <c r="M28" s="316">
        <f>'Insumo Informe E'!L24</f>
        <v>2.0499999999999998</v>
      </c>
      <c r="N28" s="316">
        <f>'Insumo Informe E'!M24</f>
        <v>3</v>
      </c>
      <c r="O28" s="316">
        <f>'Insumo Informe E'!N24</f>
        <v>3</v>
      </c>
      <c r="P28" s="316">
        <f>'Insumo Informe E'!O24</f>
        <v>2</v>
      </c>
      <c r="Q28" s="316">
        <f>'Insumo Informe E'!P24</f>
        <v>8</v>
      </c>
      <c r="R28" s="317">
        <f>'Insumo Informe E'!Q24</f>
        <v>0.8</v>
      </c>
      <c r="S28" s="318">
        <f>'Insumo Informe E'!R24</f>
        <v>130500000</v>
      </c>
      <c r="T28" s="318">
        <f>'Insumo Informe E'!S24</f>
        <v>134700000</v>
      </c>
      <c r="U28" s="318">
        <f>'Insumo Informe E'!T24</f>
        <v>208000000</v>
      </c>
      <c r="V28" s="318">
        <f>'Insumo Informe E'!U24</f>
        <v>190424205</v>
      </c>
      <c r="W28" s="318">
        <f>'Insumo Informe E'!V24</f>
        <v>663624205</v>
      </c>
      <c r="X28" s="318">
        <f>'Insumo Informe E'!W24</f>
        <v>368372</v>
      </c>
      <c r="Y28" s="281"/>
    </row>
    <row r="29" spans="1:25" s="283" customFormat="1" ht="44.25" customHeight="1" x14ac:dyDescent="0.25">
      <c r="A29" s="281"/>
      <c r="B29" s="312">
        <v>2</v>
      </c>
      <c r="C29" s="313">
        <v>17</v>
      </c>
      <c r="D29" s="314" t="str">
        <f>'Insumo Informe E'!C25</f>
        <v>Recuperar 25 puntos críticos identificados en el diagnóstico ambiental local que afectan el medio ambiente con procesos de atención, recuperación, organización y educación ambiental</v>
      </c>
      <c r="E29" s="315">
        <f>'Insumo Informe E'!D25</f>
        <v>1165</v>
      </c>
      <c r="F29" s="315" t="str">
        <f>'Insumo Informe E'!E25</f>
        <v>SUMA</v>
      </c>
      <c r="G29" s="316">
        <f>'Insumo Informe E'!F25</f>
        <v>0</v>
      </c>
      <c r="H29" s="316">
        <f>'Insumo Informe E'!G25</f>
        <v>10</v>
      </c>
      <c r="I29" s="316">
        <f>'Insumo Informe E'!H25</f>
        <v>0</v>
      </c>
      <c r="J29" s="316">
        <f>'Insumo Informe E'!I25</f>
        <v>15</v>
      </c>
      <c r="K29" s="315">
        <f>'Insumo Informe E'!J25</f>
        <v>0</v>
      </c>
      <c r="L29" s="317">
        <f>'Insumo Informe E'!K25</f>
        <v>25</v>
      </c>
      <c r="M29" s="316">
        <f>'Insumo Informe E'!L25</f>
        <v>1</v>
      </c>
      <c r="N29" s="316">
        <f>'Insumo Informe E'!M25</f>
        <v>8</v>
      </c>
      <c r="O29" s="316">
        <f>'Insumo Informe E'!N25</f>
        <v>0</v>
      </c>
      <c r="P29" s="316">
        <f>'Insumo Informe E'!O25</f>
        <v>15</v>
      </c>
      <c r="Q29" s="316">
        <f>'Insumo Informe E'!P25</f>
        <v>23</v>
      </c>
      <c r="R29" s="317">
        <f>'Insumo Informe E'!Q25</f>
        <v>0.92</v>
      </c>
      <c r="S29" s="318">
        <f>'Insumo Informe E'!R25</f>
        <v>229200000</v>
      </c>
      <c r="T29" s="318">
        <f>'Insumo Informe E'!S25</f>
        <v>0</v>
      </c>
      <c r="U29" s="318">
        <f>'Insumo Informe E'!T25</f>
        <v>148351743</v>
      </c>
      <c r="V29" s="318">
        <f>'Insumo Informe E'!U25</f>
        <v>0</v>
      </c>
      <c r="W29" s="318">
        <f>'Insumo Informe E'!V25</f>
        <v>377551743</v>
      </c>
      <c r="X29" s="318">
        <f>'Insumo Informe E'!W25</f>
        <v>0</v>
      </c>
      <c r="Y29" s="281"/>
    </row>
    <row r="30" spans="1:25" s="283" customFormat="1" ht="44.25" customHeight="1" x14ac:dyDescent="0.25">
      <c r="A30" s="281"/>
      <c r="B30" s="312">
        <v>2</v>
      </c>
      <c r="C30" s="313">
        <v>17</v>
      </c>
      <c r="D30" s="314" t="str">
        <f>'Insumo Informe E'!C26</f>
        <v>Recuperar 3 ríos y/o quebradas de la localidad de Santa Fe para el desarrollo integral – ambiental</v>
      </c>
      <c r="E30" s="315">
        <f>'Insumo Informe E'!D26</f>
        <v>1165</v>
      </c>
      <c r="F30" s="315" t="str">
        <f>'Insumo Informe E'!E26</f>
        <v>SUMA</v>
      </c>
      <c r="G30" s="316">
        <f>'Insumo Informe E'!F26</f>
        <v>9</v>
      </c>
      <c r="H30" s="316">
        <f>'Insumo Informe E'!G26</f>
        <v>5</v>
      </c>
      <c r="I30" s="316">
        <f>'Insumo Informe E'!H26</f>
        <v>5</v>
      </c>
      <c r="J30" s="316">
        <f>'Insumo Informe E'!I26</f>
        <v>9</v>
      </c>
      <c r="K30" s="315">
        <f>'Insumo Informe E'!J26</f>
        <v>3</v>
      </c>
      <c r="L30" s="317">
        <f>'Insumo Informe E'!K26</f>
        <v>22</v>
      </c>
      <c r="M30" s="316">
        <f>'Insumo Informe E'!L26</f>
        <v>7.333333333333333</v>
      </c>
      <c r="N30" s="316">
        <f>'Insumo Informe E'!M26</f>
        <v>5</v>
      </c>
      <c r="O30" s="316">
        <f>'Insumo Informe E'!N26</f>
        <v>5</v>
      </c>
      <c r="P30" s="316">
        <f>'Insumo Informe E'!O26</f>
        <v>9</v>
      </c>
      <c r="Q30" s="316">
        <f>'Insumo Informe E'!P26</f>
        <v>28</v>
      </c>
      <c r="R30" s="317">
        <f>'Insumo Informe E'!Q26</f>
        <v>9.3333333333333339</v>
      </c>
      <c r="S30" s="318">
        <f>'Insumo Informe E'!R26</f>
        <v>291269046</v>
      </c>
      <c r="T30" s="318">
        <f>'Insumo Informe E'!S26</f>
        <v>137500000</v>
      </c>
      <c r="U30" s="318">
        <f>'Insumo Informe E'!T26</f>
        <v>262500000</v>
      </c>
      <c r="V30" s="318">
        <f>'Insumo Informe E'!U26</f>
        <v>209083333</v>
      </c>
      <c r="W30" s="318">
        <f>'Insumo Informe E'!V26</f>
        <v>900352379</v>
      </c>
      <c r="X30" s="318">
        <f>'Insumo Informe E'!W26</f>
        <v>2083333</v>
      </c>
      <c r="Y30" s="281"/>
    </row>
    <row r="31" spans="1:25" s="283" customFormat="1" ht="44.25" customHeight="1" x14ac:dyDescent="0.25">
      <c r="A31" s="281"/>
      <c r="B31" s="312">
        <v>2</v>
      </c>
      <c r="C31" s="313">
        <v>17</v>
      </c>
      <c r="D31" s="314" t="str">
        <f>'Insumo Informe E'!C27</f>
        <v>Vincular  500 personas a través de la Planificación Agroforestal y el fortalecimiento de la asistencia técnica para armonizar con el desarrollo sostenible</v>
      </c>
      <c r="E31" s="315">
        <f>'Insumo Informe E'!D27</f>
        <v>1165</v>
      </c>
      <c r="F31" s="315" t="str">
        <f>'Insumo Informe E'!E27</f>
        <v>SUMA</v>
      </c>
      <c r="G31" s="316">
        <f>'Insumo Informe E'!F27</f>
        <v>0</v>
      </c>
      <c r="H31" s="316">
        <f>'Insumo Informe E'!G27</f>
        <v>125</v>
      </c>
      <c r="I31" s="316">
        <f>'Insumo Informe E'!H27</f>
        <v>0</v>
      </c>
      <c r="J31" s="316">
        <f>'Insumo Informe E'!I27</f>
        <v>0</v>
      </c>
      <c r="K31" s="315">
        <f>'Insumo Informe E'!J27</f>
        <v>0</v>
      </c>
      <c r="L31" s="317">
        <f>'Insumo Informe E'!K27</f>
        <v>125</v>
      </c>
      <c r="M31" s="316">
        <f>'Insumo Informe E'!L27</f>
        <v>0.25</v>
      </c>
      <c r="N31" s="316">
        <f>'Insumo Informe E'!M27</f>
        <v>125</v>
      </c>
      <c r="O31" s="316">
        <f>'Insumo Informe E'!N27</f>
        <v>0</v>
      </c>
      <c r="P31" s="316">
        <f>'Insumo Informe E'!O27</f>
        <v>0</v>
      </c>
      <c r="Q31" s="316">
        <f>'Insumo Informe E'!P27</f>
        <v>125</v>
      </c>
      <c r="R31" s="317">
        <f>'Insumo Informe E'!Q27</f>
        <v>0.25</v>
      </c>
      <c r="S31" s="318">
        <f>'Insumo Informe E'!R27</f>
        <v>167300000</v>
      </c>
      <c r="T31" s="318">
        <f>'Insumo Informe E'!S27</f>
        <v>12000000</v>
      </c>
      <c r="U31" s="318">
        <f>'Insumo Informe E'!T27</f>
        <v>0</v>
      </c>
      <c r="V31" s="318">
        <f>'Insumo Informe E'!U27</f>
        <v>0</v>
      </c>
      <c r="W31" s="318">
        <f>'Insumo Informe E'!V27</f>
        <v>179300000</v>
      </c>
      <c r="X31" s="318">
        <f>'Insumo Informe E'!W27</f>
        <v>0</v>
      </c>
      <c r="Y31" s="281"/>
    </row>
    <row r="32" spans="1:25" s="283" customFormat="1" ht="44.25" customHeight="1" x14ac:dyDescent="0.25">
      <c r="A32" s="281"/>
      <c r="B32" s="312">
        <v>2</v>
      </c>
      <c r="C32" s="313">
        <v>19</v>
      </c>
      <c r="D32" s="314" t="str">
        <f>'Insumo Informe E'!C28</f>
        <v>Mantener 64 Km/Carril  de la malla vial local</v>
      </c>
      <c r="E32" s="315">
        <f>'Insumo Informe E'!D28</f>
        <v>1168</v>
      </c>
      <c r="F32" s="315" t="str">
        <f>'Insumo Informe E'!E28</f>
        <v>SUMA</v>
      </c>
      <c r="G32" s="316">
        <f>'Insumo Informe E'!F28</f>
        <v>0</v>
      </c>
      <c r="H32" s="316">
        <f>'Insumo Informe E'!G28</f>
        <v>4.99</v>
      </c>
      <c r="I32" s="316">
        <f>'Insumo Informe E'!H28</f>
        <v>0</v>
      </c>
      <c r="J32" s="316">
        <f>'Insumo Informe E'!I28</f>
        <v>0</v>
      </c>
      <c r="K32" s="315">
        <f>'Insumo Informe E'!J28</f>
        <v>0</v>
      </c>
      <c r="L32" s="317">
        <f>'Insumo Informe E'!K28</f>
        <v>4.99</v>
      </c>
      <c r="M32" s="316">
        <f>'Insumo Informe E'!L28</f>
        <v>7.7968750000000003E-2</v>
      </c>
      <c r="N32" s="316">
        <f>'Insumo Informe E'!M28</f>
        <v>5</v>
      </c>
      <c r="O32" s="316">
        <f>'Insumo Informe E'!N28</f>
        <v>0</v>
      </c>
      <c r="P32" s="316">
        <f>'Insumo Informe E'!O28</f>
        <v>0</v>
      </c>
      <c r="Q32" s="316">
        <f>'Insumo Informe E'!P28</f>
        <v>5</v>
      </c>
      <c r="R32" s="317">
        <f>'Insumo Informe E'!Q28</f>
        <v>7.8125E-2</v>
      </c>
      <c r="S32" s="318">
        <f>'Insumo Informe E'!R28</f>
        <v>4620000000</v>
      </c>
      <c r="T32" s="318">
        <f>'Insumo Informe E'!S28</f>
        <v>42829428</v>
      </c>
      <c r="U32" s="318">
        <f>'Insumo Informe E'!T28</f>
        <v>0</v>
      </c>
      <c r="V32" s="318">
        <f>'Insumo Informe E'!U28</f>
        <v>0</v>
      </c>
      <c r="W32" s="318">
        <f>'Insumo Informe E'!V28</f>
        <v>4662829428</v>
      </c>
      <c r="X32" s="318">
        <f>'Insumo Informe E'!W28</f>
        <v>0</v>
      </c>
      <c r="Y32" s="281"/>
    </row>
    <row r="33" spans="1:25" s="283" customFormat="1" ht="44.25" customHeight="1" x14ac:dyDescent="0.25">
      <c r="A33" s="281"/>
      <c r="B33" s="312">
        <v>2</v>
      </c>
      <c r="C33" s="313">
        <v>19</v>
      </c>
      <c r="D33" s="314" t="str">
        <f>'Insumo Informe E'!C29</f>
        <v>Mantener y rehabilitar 12.000 M2 de espacio público</v>
      </c>
      <c r="E33" s="315">
        <f>'Insumo Informe E'!D29</f>
        <v>1168</v>
      </c>
      <c r="F33" s="315" t="str">
        <f>'Insumo Informe E'!E29</f>
        <v>SUMA</v>
      </c>
      <c r="G33" s="316">
        <f>'Insumo Informe E'!F29</f>
        <v>0</v>
      </c>
      <c r="H33" s="316">
        <f>'Insumo Informe E'!G29</f>
        <v>1191</v>
      </c>
      <c r="I33" s="316">
        <f>'Insumo Informe E'!H29</f>
        <v>5600</v>
      </c>
      <c r="J33" s="316">
        <f>'Insumo Informe E'!I29</f>
        <v>2169</v>
      </c>
      <c r="K33" s="315">
        <f>'Insumo Informe E'!J29</f>
        <v>7000</v>
      </c>
      <c r="L33" s="317">
        <f>'Insumo Informe E'!K29</f>
        <v>15960</v>
      </c>
      <c r="M33" s="316">
        <f>'Insumo Informe E'!L29</f>
        <v>1.33</v>
      </c>
      <c r="N33" s="316">
        <f>'Insumo Informe E'!M29</f>
        <v>5656</v>
      </c>
      <c r="O33" s="316">
        <f>'Insumo Informe E'!N29</f>
        <v>5600</v>
      </c>
      <c r="P33" s="316">
        <f>'Insumo Informe E'!O29</f>
        <v>2169</v>
      </c>
      <c r="Q33" s="316">
        <f>'Insumo Informe E'!P29</f>
        <v>13425</v>
      </c>
      <c r="R33" s="317">
        <f>'Insumo Informe E'!Q29</f>
        <v>1.1187499999999999</v>
      </c>
      <c r="S33" s="318">
        <f>'Insumo Informe E'!R29</f>
        <v>1767304000</v>
      </c>
      <c r="T33" s="318">
        <f>'Insumo Informe E'!S29</f>
        <v>4573579496</v>
      </c>
      <c r="U33" s="318">
        <f>'Insumo Informe E'!T29</f>
        <v>1392961107</v>
      </c>
      <c r="V33" s="318">
        <f>'Insumo Informe E'!U29</f>
        <v>1276383257</v>
      </c>
      <c r="W33" s="318">
        <f>'Insumo Informe E'!V29</f>
        <v>9010227860</v>
      </c>
      <c r="X33" s="318">
        <f>'Insumo Informe E'!W29</f>
        <v>0</v>
      </c>
      <c r="Y33" s="281"/>
    </row>
    <row r="34" spans="1:25" s="283" customFormat="1" ht="44.25" customHeight="1" x14ac:dyDescent="0.25">
      <c r="A34" s="281"/>
      <c r="B34" s="312">
        <v>2</v>
      </c>
      <c r="C34" s="313">
        <v>19</v>
      </c>
      <c r="D34" s="314" t="str">
        <f>'Insumo Informe E'!C30</f>
        <v>Rehabilitar 19 Km/Carril  de la malla vial local</v>
      </c>
      <c r="E34" s="315">
        <f>'Insumo Informe E'!D30</f>
        <v>1168</v>
      </c>
      <c r="F34" s="315" t="str">
        <f>'Insumo Informe E'!E30</f>
        <v>SUMA</v>
      </c>
      <c r="G34" s="316">
        <f>'Insumo Informe E'!F30</f>
        <v>0</v>
      </c>
      <c r="H34" s="316">
        <f>'Insumo Informe E'!G30</f>
        <v>0</v>
      </c>
      <c r="I34" s="316">
        <f>'Insumo Informe E'!H30</f>
        <v>4</v>
      </c>
      <c r="J34" s="316">
        <f>'Insumo Informe E'!I30</f>
        <v>2</v>
      </c>
      <c r="K34" s="315">
        <f>'Insumo Informe E'!J30</f>
        <v>3.5</v>
      </c>
      <c r="L34" s="317">
        <f>'Insumo Informe E'!K30</f>
        <v>9.5</v>
      </c>
      <c r="M34" s="316">
        <f>'Insumo Informe E'!L30</f>
        <v>0.5</v>
      </c>
      <c r="N34" s="316">
        <f>'Insumo Informe E'!M30</f>
        <v>0</v>
      </c>
      <c r="O34" s="316">
        <f>'Insumo Informe E'!N30</f>
        <v>4</v>
      </c>
      <c r="P34" s="316">
        <f>'Insumo Informe E'!O30</f>
        <v>3.1</v>
      </c>
      <c r="Q34" s="316">
        <f>'Insumo Informe E'!P30</f>
        <v>7.1</v>
      </c>
      <c r="R34" s="317">
        <f>'Insumo Informe E'!Q30</f>
        <v>0.37368421052631579</v>
      </c>
      <c r="S34" s="318">
        <f>'Insumo Informe E'!R30</f>
        <v>0</v>
      </c>
      <c r="T34" s="318">
        <f>'Insumo Informe E'!S30</f>
        <v>4000000000</v>
      </c>
      <c r="U34" s="318">
        <f>'Insumo Informe E'!T30</f>
        <v>6124021803</v>
      </c>
      <c r="V34" s="318">
        <f>'Insumo Informe E'!U30</f>
        <v>7582150000</v>
      </c>
      <c r="W34" s="318">
        <f>'Insumo Informe E'!V30</f>
        <v>17706171803</v>
      </c>
      <c r="X34" s="318">
        <f>'Insumo Informe E'!W30</f>
        <v>346956956</v>
      </c>
      <c r="Y34" s="281"/>
    </row>
    <row r="35" spans="1:25" s="283" customFormat="1" ht="44.25" customHeight="1" x14ac:dyDescent="0.25">
      <c r="A35" s="281"/>
      <c r="B35" s="312">
        <v>2</v>
      </c>
      <c r="C35" s="313">
        <f>'Insumo Informe E'!B31</f>
        <v>20</v>
      </c>
      <c r="D35" s="314" t="str">
        <f>'Insumo Informe E'!C31</f>
        <v>Realizar 1 dotación al Comité Local de Emergencias - CLE de elementos para la atención del riesgo</v>
      </c>
      <c r="E35" s="315">
        <f>'Insumo Informe E'!D31</f>
        <v>1170</v>
      </c>
      <c r="F35" s="315" t="str">
        <f>'Insumo Informe E'!E31</f>
        <v>SUMA</v>
      </c>
      <c r="G35" s="316">
        <f>'Insumo Informe E'!F31</f>
        <v>0</v>
      </c>
      <c r="H35" s="316">
        <f>'Insumo Informe E'!G31</f>
        <v>0.5</v>
      </c>
      <c r="I35" s="316">
        <f>'Insumo Informe E'!H31</f>
        <v>1</v>
      </c>
      <c r="J35" s="316">
        <f>'Insumo Informe E'!I31</f>
        <v>1</v>
      </c>
      <c r="K35" s="315">
        <f>'Insumo Informe E'!J31</f>
        <v>1</v>
      </c>
      <c r="L35" s="317">
        <f>'Insumo Informe E'!K31</f>
        <v>3.5</v>
      </c>
      <c r="M35" s="316">
        <f>'Insumo Informe E'!L31</f>
        <v>3.5</v>
      </c>
      <c r="N35" s="316">
        <f>'Insumo Informe E'!M31</f>
        <v>0.5</v>
      </c>
      <c r="O35" s="316">
        <f>'Insumo Informe E'!N31</f>
        <v>1</v>
      </c>
      <c r="P35" s="316">
        <f>'Insumo Informe E'!O31</f>
        <v>1</v>
      </c>
      <c r="Q35" s="316">
        <f>'Insumo Informe E'!P31</f>
        <v>2.5</v>
      </c>
      <c r="R35" s="317">
        <f>'Insumo Informe E'!Q31</f>
        <v>2.5</v>
      </c>
      <c r="S35" s="318">
        <f>'Insumo Informe E'!R31</f>
        <v>9879488</v>
      </c>
      <c r="T35" s="318">
        <f>'Insumo Informe E'!S31</f>
        <v>14380725</v>
      </c>
      <c r="U35" s="318">
        <f>'Insumo Informe E'!T31</f>
        <v>21513000</v>
      </c>
      <c r="V35" s="318">
        <f>'Insumo Informe E'!U31</f>
        <v>17779931</v>
      </c>
      <c r="W35" s="318">
        <f>'Insumo Informe E'!V31</f>
        <v>63553144</v>
      </c>
      <c r="X35" s="318">
        <f>'Insumo Informe E'!W31</f>
        <v>0</v>
      </c>
      <c r="Y35" s="281"/>
    </row>
    <row r="36" spans="1:25" s="283" customFormat="1" ht="44.25" customHeight="1" x14ac:dyDescent="0.25">
      <c r="A36" s="281"/>
      <c r="B36" s="312">
        <v>2</v>
      </c>
      <c r="C36" s="313">
        <v>20</v>
      </c>
      <c r="D36" s="314" t="str">
        <f>'Insumo Informe E'!C32</f>
        <v>Vincular 400 personas con programas para la prevención de riesgos</v>
      </c>
      <c r="E36" s="315">
        <f>'Insumo Informe E'!D32</f>
        <v>1170</v>
      </c>
      <c r="F36" s="315" t="str">
        <f>'Insumo Informe E'!E32</f>
        <v>SUMA</v>
      </c>
      <c r="G36" s="316">
        <f>'Insumo Informe E'!F32</f>
        <v>0</v>
      </c>
      <c r="H36" s="316">
        <f>'Insumo Informe E'!G32</f>
        <v>100</v>
      </c>
      <c r="I36" s="316">
        <f>'Insumo Informe E'!H32</f>
        <v>100</v>
      </c>
      <c r="J36" s="316">
        <f>'Insumo Informe E'!I32</f>
        <v>0</v>
      </c>
      <c r="K36" s="315">
        <f>'Insumo Informe E'!J32</f>
        <v>200</v>
      </c>
      <c r="L36" s="317">
        <f>'Insumo Informe E'!K32</f>
        <v>400</v>
      </c>
      <c r="M36" s="316">
        <f>'Insumo Informe E'!L32</f>
        <v>1</v>
      </c>
      <c r="N36" s="316">
        <f>'Insumo Informe E'!M32</f>
        <v>100</v>
      </c>
      <c r="O36" s="316">
        <f>'Insumo Informe E'!N32</f>
        <v>100</v>
      </c>
      <c r="P36" s="316">
        <f>'Insumo Informe E'!O32</f>
        <v>0</v>
      </c>
      <c r="Q36" s="316">
        <f>'Insumo Informe E'!P32</f>
        <v>200</v>
      </c>
      <c r="R36" s="317">
        <f>'Insumo Informe E'!Q32</f>
        <v>0.5</v>
      </c>
      <c r="S36" s="318">
        <f>'Insumo Informe E'!R32</f>
        <v>2905927335</v>
      </c>
      <c r="T36" s="318">
        <f>'Insumo Informe E'!S32</f>
        <v>1149677110</v>
      </c>
      <c r="U36" s="318">
        <f>'Insumo Informe E'!T32</f>
        <v>3320000</v>
      </c>
      <c r="V36" s="318">
        <f>'Insumo Informe E'!U32</f>
        <v>16974000</v>
      </c>
      <c r="W36" s="318">
        <f>'Insumo Informe E'!V32</f>
        <v>4075898445</v>
      </c>
      <c r="X36" s="318">
        <f>'Insumo Informe E'!W32</f>
        <v>0</v>
      </c>
      <c r="Y36" s="281"/>
    </row>
    <row r="37" spans="1:25" s="283" customFormat="1" ht="44.25" customHeight="1" x14ac:dyDescent="0.25">
      <c r="A37" s="281"/>
      <c r="B37" s="312">
        <v>2</v>
      </c>
      <c r="C37" s="313">
        <f>'Insumo Informe E'!B33</f>
        <v>21</v>
      </c>
      <c r="D37" s="314" t="str">
        <f>'Insumo Informe E'!C33</f>
        <v>Vincular 400 personas mediante procesos de sensibilización y estrategias para el manejo de residuos sólidos</v>
      </c>
      <c r="E37" s="315">
        <f>'Insumo Informe E'!D33</f>
        <v>1172</v>
      </c>
      <c r="F37" s="315" t="str">
        <f>'Insumo Informe E'!E33</f>
        <v>SUMA</v>
      </c>
      <c r="G37" s="316">
        <f>'Insumo Informe E'!F33</f>
        <v>0</v>
      </c>
      <c r="H37" s="316">
        <f>'Insumo Informe E'!G33</f>
        <v>100</v>
      </c>
      <c r="I37" s="316">
        <f>'Insumo Informe E'!H33</f>
        <v>100</v>
      </c>
      <c r="J37" s="316">
        <f>'Insumo Informe E'!I33</f>
        <v>150</v>
      </c>
      <c r="K37" s="315">
        <f>'Insumo Informe E'!J33</f>
        <v>900</v>
      </c>
      <c r="L37" s="317">
        <f>'Insumo Informe E'!K33</f>
        <v>1250</v>
      </c>
      <c r="M37" s="316">
        <f>'Insumo Informe E'!L33</f>
        <v>3.125</v>
      </c>
      <c r="N37" s="316">
        <f>'Insumo Informe E'!M33</f>
        <v>100</v>
      </c>
      <c r="O37" s="316">
        <f>'Insumo Informe E'!N33</f>
        <v>100</v>
      </c>
      <c r="P37" s="316">
        <f>'Insumo Informe E'!O33</f>
        <v>200</v>
      </c>
      <c r="Q37" s="316">
        <f>'Insumo Informe E'!P33</f>
        <v>400</v>
      </c>
      <c r="R37" s="317">
        <f>'Insumo Informe E'!Q33</f>
        <v>1</v>
      </c>
      <c r="S37" s="318">
        <f>'Insumo Informe E'!R33</f>
        <v>128815800</v>
      </c>
      <c r="T37" s="318">
        <f>'Insumo Informe E'!S33</f>
        <v>147440000</v>
      </c>
      <c r="U37" s="318">
        <f>'Insumo Informe E'!T33</f>
        <v>70663102</v>
      </c>
      <c r="V37" s="318">
        <f>'Insumo Informe E'!U33</f>
        <v>120000000</v>
      </c>
      <c r="W37" s="318">
        <f>'Insumo Informe E'!V33</f>
        <v>466918902</v>
      </c>
      <c r="X37" s="318">
        <f>'Insumo Informe E'!W33</f>
        <v>0</v>
      </c>
      <c r="Y37" s="281"/>
    </row>
    <row r="38" spans="1:25" s="283" customFormat="1" ht="44.25" customHeight="1" x14ac:dyDescent="0.25">
      <c r="A38" s="281"/>
      <c r="B38" s="312">
        <v>2</v>
      </c>
      <c r="C38" s="313">
        <f>'Insumo Informe E'!B34</f>
        <v>22</v>
      </c>
      <c r="D38" s="314" t="str">
        <f>'Insumo Informe E'!C34</f>
        <v>Vincular 160 personas mediante acciones pedagógicas y de sensibilización a través de jornadas de apropiación del entorno</v>
      </c>
      <c r="E38" s="315">
        <f>'Insumo Informe E'!D34</f>
        <v>1174</v>
      </c>
      <c r="F38" s="315" t="str">
        <f>'Insumo Informe E'!E34</f>
        <v>SUMA</v>
      </c>
      <c r="G38" s="316">
        <f>'Insumo Informe E'!F34</f>
        <v>0</v>
      </c>
      <c r="H38" s="316">
        <f>'Insumo Informe E'!G34</f>
        <v>80</v>
      </c>
      <c r="I38" s="316">
        <f>'Insumo Informe E'!H34</f>
        <v>0</v>
      </c>
      <c r="J38" s="316">
        <f>'Insumo Informe E'!I34</f>
        <v>0</v>
      </c>
      <c r="K38" s="315">
        <f>'Insumo Informe E'!J34</f>
        <v>0</v>
      </c>
      <c r="L38" s="317">
        <f>'Insumo Informe E'!K34</f>
        <v>80</v>
      </c>
      <c r="M38" s="316">
        <f>'Insumo Informe E'!L34</f>
        <v>0.5</v>
      </c>
      <c r="N38" s="316">
        <f>'Insumo Informe E'!M34</f>
        <v>500</v>
      </c>
      <c r="O38" s="316">
        <f>'Insumo Informe E'!N34</f>
        <v>0</v>
      </c>
      <c r="P38" s="316">
        <f>'Insumo Informe E'!O34</f>
        <v>0</v>
      </c>
      <c r="Q38" s="316">
        <f>'Insumo Informe E'!P34</f>
        <v>500</v>
      </c>
      <c r="R38" s="317">
        <f>'Insumo Informe E'!Q34</f>
        <v>3.125</v>
      </c>
      <c r="S38" s="318">
        <f>'Insumo Informe E'!R34</f>
        <v>183500000</v>
      </c>
      <c r="T38" s="318">
        <f>'Insumo Informe E'!S34</f>
        <v>0</v>
      </c>
      <c r="U38" s="318">
        <f>'Insumo Informe E'!T34</f>
        <v>0</v>
      </c>
      <c r="V38" s="318">
        <f>'Insumo Informe E'!U34</f>
        <v>0</v>
      </c>
      <c r="W38" s="318">
        <f>'Insumo Informe E'!V34</f>
        <v>183500000</v>
      </c>
      <c r="X38" s="318">
        <f>'Insumo Informe E'!W34</f>
        <v>0</v>
      </c>
      <c r="Y38" s="281"/>
    </row>
    <row r="39" spans="1:25" s="283" customFormat="1" ht="44.25" customHeight="1" x14ac:dyDescent="0.25">
      <c r="A39" s="281"/>
      <c r="B39" s="312">
        <v>3</v>
      </c>
      <c r="C39" s="313">
        <f>'Insumo Informe E'!B35</f>
        <v>24</v>
      </c>
      <c r="D39" s="314" t="str">
        <f>'Insumo Informe E'!C35</f>
        <v>Dotar y/o adecuar 15 salones comunales con elementos, materiales y mobiliario para el desarrollo de la participación en la toma de decisiones</v>
      </c>
      <c r="E39" s="315">
        <f>'Insumo Informe E'!D35</f>
        <v>1177</v>
      </c>
      <c r="F39" s="315" t="str">
        <f>'Insumo Informe E'!E35</f>
        <v>SUMA</v>
      </c>
      <c r="G39" s="316">
        <f>'Insumo Informe E'!F35</f>
        <v>0</v>
      </c>
      <c r="H39" s="316">
        <f>'Insumo Informe E'!G35</f>
        <v>6</v>
      </c>
      <c r="I39" s="316">
        <f>'Insumo Informe E'!H35</f>
        <v>6</v>
      </c>
      <c r="J39" s="316">
        <f>'Insumo Informe E'!I35</f>
        <v>8</v>
      </c>
      <c r="K39" s="315">
        <f>'Insumo Informe E'!J35</f>
        <v>6</v>
      </c>
      <c r="L39" s="317">
        <f>'Insumo Informe E'!K35</f>
        <v>26</v>
      </c>
      <c r="M39" s="316">
        <f>'Insumo Informe E'!L35</f>
        <v>1.7333333333333334</v>
      </c>
      <c r="N39" s="316">
        <f>'Insumo Informe E'!M35</f>
        <v>6</v>
      </c>
      <c r="O39" s="316">
        <f>'Insumo Informe E'!N35</f>
        <v>6</v>
      </c>
      <c r="P39" s="316">
        <f>'Insumo Informe E'!O35</f>
        <v>8</v>
      </c>
      <c r="Q39" s="316">
        <f>'Insumo Informe E'!P35</f>
        <v>20</v>
      </c>
      <c r="R39" s="317">
        <f>'Insumo Informe E'!Q35</f>
        <v>1.3333333333333333</v>
      </c>
      <c r="S39" s="318">
        <f>'Insumo Informe E'!R35</f>
        <v>276170584</v>
      </c>
      <c r="T39" s="318">
        <f>'Insumo Informe E'!S35</f>
        <v>241050086</v>
      </c>
      <c r="U39" s="318">
        <f>'Insumo Informe E'!T35</f>
        <v>146974551</v>
      </c>
      <c r="V39" s="318">
        <f>'Insumo Informe E'!U35</f>
        <v>53900000</v>
      </c>
      <c r="W39" s="318">
        <f>'Insumo Informe E'!V35</f>
        <v>718095221</v>
      </c>
      <c r="X39" s="318">
        <f>'Insumo Informe E'!W35</f>
        <v>0</v>
      </c>
      <c r="Y39" s="281"/>
    </row>
    <row r="40" spans="1:25" s="283" customFormat="1" ht="44.25" customHeight="1" x14ac:dyDescent="0.25">
      <c r="A40" s="281"/>
      <c r="B40" s="312">
        <v>3</v>
      </c>
      <c r="C40" s="313">
        <v>24</v>
      </c>
      <c r="D40" s="314" t="str">
        <f>'Insumo Informe E'!C36</f>
        <v>Fortalecer 60 Organizaciones Sociales  a través del apoyo de las acciones  y propuestas para el mejoramiento de las expresiones sociales</v>
      </c>
      <c r="E40" s="315">
        <f>'Insumo Informe E'!D36</f>
        <v>1177</v>
      </c>
      <c r="F40" s="315" t="str">
        <f>'Insumo Informe E'!E36</f>
        <v>SUMA</v>
      </c>
      <c r="G40" s="316">
        <f>'Insumo Informe E'!F36</f>
        <v>0</v>
      </c>
      <c r="H40" s="316">
        <f>'Insumo Informe E'!G36</f>
        <v>15</v>
      </c>
      <c r="I40" s="316">
        <f>'Insumo Informe E'!H36</f>
        <v>0</v>
      </c>
      <c r="J40" s="316">
        <f>'Insumo Informe E'!I36</f>
        <v>65</v>
      </c>
      <c r="K40" s="315">
        <f>'Insumo Informe E'!J36</f>
        <v>0</v>
      </c>
      <c r="L40" s="317">
        <f>'Insumo Informe E'!K36</f>
        <v>80</v>
      </c>
      <c r="M40" s="316">
        <f>'Insumo Informe E'!L36</f>
        <v>1.3333333333333333</v>
      </c>
      <c r="N40" s="316">
        <f>'Insumo Informe E'!M36</f>
        <v>15</v>
      </c>
      <c r="O40" s="316">
        <f>'Insumo Informe E'!N36</f>
        <v>0</v>
      </c>
      <c r="P40" s="316">
        <f>'Insumo Informe E'!O36</f>
        <v>65</v>
      </c>
      <c r="Q40" s="316">
        <f>'Insumo Informe E'!P36</f>
        <v>80</v>
      </c>
      <c r="R40" s="317">
        <f>'Insumo Informe E'!Q36</f>
        <v>1.3333333333333333</v>
      </c>
      <c r="S40" s="318">
        <f>'Insumo Informe E'!R36</f>
        <v>197393500</v>
      </c>
      <c r="T40" s="318">
        <f>'Insumo Informe E'!S36</f>
        <v>54219000</v>
      </c>
      <c r="U40" s="318">
        <f>'Insumo Informe E'!T36</f>
        <v>258185500</v>
      </c>
      <c r="V40" s="318">
        <f>'Insumo Informe E'!U36</f>
        <v>0</v>
      </c>
      <c r="W40" s="318">
        <f>'Insumo Informe E'!V36</f>
        <v>509798000</v>
      </c>
      <c r="X40" s="318">
        <f>'Insumo Informe E'!W36</f>
        <v>0</v>
      </c>
      <c r="Y40" s="281"/>
    </row>
    <row r="41" spans="1:25" s="283" customFormat="1" ht="44.25" customHeight="1" x14ac:dyDescent="0.25">
      <c r="A41" s="281"/>
      <c r="B41" s="312">
        <v>3</v>
      </c>
      <c r="C41" s="313">
        <v>24</v>
      </c>
      <c r="D41" s="314" t="str">
        <f>'Insumo Informe E'!C37</f>
        <v>Vincular  600 personas en los ejercicios de los presupuestos participativos en la localidad de Santa Fe</v>
      </c>
      <c r="E41" s="315">
        <f>'Insumo Informe E'!D37</f>
        <v>1177</v>
      </c>
      <c r="F41" s="315" t="str">
        <f>'Insumo Informe E'!E37</f>
        <v>SUMA</v>
      </c>
      <c r="G41" s="316">
        <f>'Insumo Informe E'!F37</f>
        <v>0</v>
      </c>
      <c r="H41" s="316">
        <f>'Insumo Informe E'!G37</f>
        <v>0</v>
      </c>
      <c r="I41" s="316">
        <f>'Insumo Informe E'!H37</f>
        <v>150</v>
      </c>
      <c r="J41" s="316">
        <f>'Insumo Informe E'!I37</f>
        <v>0</v>
      </c>
      <c r="K41" s="315">
        <f>'Insumo Informe E'!J37</f>
        <v>0</v>
      </c>
      <c r="L41" s="317">
        <f>'Insumo Informe E'!K37</f>
        <v>150</v>
      </c>
      <c r="M41" s="316">
        <f>'Insumo Informe E'!L37</f>
        <v>0.25</v>
      </c>
      <c r="N41" s="316">
        <f>'Insumo Informe E'!M37</f>
        <v>0</v>
      </c>
      <c r="O41" s="316">
        <f>'Insumo Informe E'!N37</f>
        <v>150</v>
      </c>
      <c r="P41" s="316">
        <f>'Insumo Informe E'!O37</f>
        <v>0</v>
      </c>
      <c r="Q41" s="316">
        <f>'Insumo Informe E'!P37</f>
        <v>150</v>
      </c>
      <c r="R41" s="317">
        <f>'Insumo Informe E'!Q37</f>
        <v>0.25</v>
      </c>
      <c r="S41" s="318">
        <f>'Insumo Informe E'!R37</f>
        <v>0</v>
      </c>
      <c r="T41" s="318">
        <f>'Insumo Informe E'!S37</f>
        <v>21550000</v>
      </c>
      <c r="U41" s="318">
        <f>'Insumo Informe E'!T37</f>
        <v>0</v>
      </c>
      <c r="V41" s="318">
        <f>'Insumo Informe E'!U37</f>
        <v>0</v>
      </c>
      <c r="W41" s="318">
        <f>'Insumo Informe E'!V37</f>
        <v>21550000</v>
      </c>
      <c r="X41" s="318">
        <f>'Insumo Informe E'!W37</f>
        <v>0</v>
      </c>
      <c r="Y41" s="281"/>
    </row>
    <row r="42" spans="1:25" s="283" customFormat="1" ht="44.25" customHeight="1" x14ac:dyDescent="0.25">
      <c r="A42" s="281"/>
      <c r="B42" s="312">
        <v>3</v>
      </c>
      <c r="C42" s="313">
        <f>'Insumo Informe E'!B38</f>
        <v>26</v>
      </c>
      <c r="D42" s="314" t="str">
        <f>'Insumo Informe E'!C38</f>
        <v>Vincular 400 personas en el fortalecimiento y consolidación del control social de las ciudadanas y ciudadanos</v>
      </c>
      <c r="E42" s="315">
        <f>'Insumo Informe E'!D38</f>
        <v>1178</v>
      </c>
      <c r="F42" s="315" t="str">
        <f>'Insumo Informe E'!E38</f>
        <v>SUMA</v>
      </c>
      <c r="G42" s="316">
        <f>'Insumo Informe E'!F38</f>
        <v>0</v>
      </c>
      <c r="H42" s="316">
        <f>'Insumo Informe E'!G38</f>
        <v>0</v>
      </c>
      <c r="I42" s="316">
        <f>'Insumo Informe E'!H38</f>
        <v>0</v>
      </c>
      <c r="J42" s="316">
        <f>'Insumo Informe E'!I38</f>
        <v>620</v>
      </c>
      <c r="K42" s="315">
        <f>'Insumo Informe E'!J38</f>
        <v>0</v>
      </c>
      <c r="L42" s="317">
        <f>'Insumo Informe E'!K38</f>
        <v>620</v>
      </c>
      <c r="M42" s="316">
        <f>'Insumo Informe E'!L38</f>
        <v>1.55</v>
      </c>
      <c r="N42" s="316">
        <f>'Insumo Informe E'!M38</f>
        <v>0</v>
      </c>
      <c r="O42" s="316">
        <f>'Insumo Informe E'!N38</f>
        <v>0</v>
      </c>
      <c r="P42" s="316">
        <f>'Insumo Informe E'!O38</f>
        <v>620</v>
      </c>
      <c r="Q42" s="316">
        <f>'Insumo Informe E'!P38</f>
        <v>620</v>
      </c>
      <c r="R42" s="317">
        <f>'Insumo Informe E'!Q38</f>
        <v>1.55</v>
      </c>
      <c r="S42" s="318">
        <f>'Insumo Informe E'!R38</f>
        <v>0</v>
      </c>
      <c r="T42" s="318">
        <f>'Insumo Informe E'!S38</f>
        <v>0</v>
      </c>
      <c r="U42" s="318">
        <f>'Insumo Informe E'!T38</f>
        <v>95957746</v>
      </c>
      <c r="V42" s="318">
        <f>'Insumo Informe E'!U38</f>
        <v>3287600</v>
      </c>
      <c r="W42" s="318">
        <f>'Insumo Informe E'!V38</f>
        <v>99245346</v>
      </c>
      <c r="X42" s="318">
        <f>'Insumo Informe E'!W38</f>
        <v>2553839</v>
      </c>
      <c r="Y42" s="281"/>
    </row>
    <row r="43" spans="1:25" s="283" customFormat="1" ht="44.25" customHeight="1" x14ac:dyDescent="0.25">
      <c r="A43" s="281"/>
      <c r="B43" s="312">
        <v>3</v>
      </c>
      <c r="C43" s="313">
        <f>'Insumo Informe E'!B39</f>
        <v>27</v>
      </c>
      <c r="D43" s="314" t="str">
        <f>'Insumo Informe E'!C39</f>
        <v>Vincular 800 personas con acciones para motivar el cumplimiento voluntario de normas en la localidad</v>
      </c>
      <c r="E43" s="315">
        <f>'Insumo Informe E'!D39</f>
        <v>1167</v>
      </c>
      <c r="F43" s="315" t="str">
        <f>'Insumo Informe E'!E39</f>
        <v>SUMA</v>
      </c>
      <c r="G43" s="316">
        <f>'Insumo Informe E'!F39</f>
        <v>0</v>
      </c>
      <c r="H43" s="316">
        <f>'Insumo Informe E'!G39</f>
        <v>60</v>
      </c>
      <c r="I43" s="316">
        <f>'Insumo Informe E'!H39</f>
        <v>345</v>
      </c>
      <c r="J43" s="316">
        <f>'Insumo Informe E'!I39</f>
        <v>60</v>
      </c>
      <c r="K43" s="315">
        <f>'Insumo Informe E'!J39</f>
        <v>135</v>
      </c>
      <c r="L43" s="317">
        <f>'Insumo Informe E'!K39</f>
        <v>600</v>
      </c>
      <c r="M43" s="316">
        <f>'Insumo Informe E'!L39</f>
        <v>0.75</v>
      </c>
      <c r="N43" s="316">
        <f>'Insumo Informe E'!M39</f>
        <v>60</v>
      </c>
      <c r="O43" s="316">
        <f>'Insumo Informe E'!N39</f>
        <v>345</v>
      </c>
      <c r="P43" s="316">
        <f>'Insumo Informe E'!O39</f>
        <v>100</v>
      </c>
      <c r="Q43" s="316">
        <f>'Insumo Informe E'!P39</f>
        <v>505</v>
      </c>
      <c r="R43" s="317">
        <f>'Insumo Informe E'!Q39</f>
        <v>0.63124999999999998</v>
      </c>
      <c r="S43" s="318">
        <f>'Insumo Informe E'!R39</f>
        <v>14650000</v>
      </c>
      <c r="T43" s="318">
        <f>'Insumo Informe E'!S39</f>
        <v>262420500</v>
      </c>
      <c r="U43" s="318">
        <f>'Insumo Informe E'!T39</f>
        <v>46549410</v>
      </c>
      <c r="V43" s="318">
        <f>'Insumo Informe E'!U39</f>
        <v>59439790</v>
      </c>
      <c r="W43" s="318">
        <f>'Insumo Informe E'!V39</f>
        <v>383059700</v>
      </c>
      <c r="X43" s="318">
        <f>'Insumo Informe E'!W39</f>
        <v>0</v>
      </c>
      <c r="Y43" s="281"/>
    </row>
    <row r="44" spans="1:25" s="283" customFormat="1" ht="44.25" customHeight="1" x14ac:dyDescent="0.25">
      <c r="A44" s="281"/>
      <c r="B44" s="312">
        <v>3</v>
      </c>
      <c r="C44" s="313">
        <v>27</v>
      </c>
      <c r="D44" s="314" t="str">
        <f>'Insumo Informe E'!C40</f>
        <v>Vincular 800 personas con estrategias para promocionar la defensa del espacio público en la localidad</v>
      </c>
      <c r="E44" s="315">
        <f>'Insumo Informe E'!D40</f>
        <v>1167</v>
      </c>
      <c r="F44" s="315" t="str">
        <f>'Insumo Informe E'!E40</f>
        <v>SUMA</v>
      </c>
      <c r="G44" s="316">
        <f>'Insumo Informe E'!F40</f>
        <v>0</v>
      </c>
      <c r="H44" s="316">
        <f>'Insumo Informe E'!G40</f>
        <v>0</v>
      </c>
      <c r="I44" s="316">
        <f>'Insumo Informe E'!H40</f>
        <v>300</v>
      </c>
      <c r="J44" s="316">
        <f>'Insumo Informe E'!I40</f>
        <v>500</v>
      </c>
      <c r="K44" s="315">
        <f>'Insumo Informe E'!J40</f>
        <v>0</v>
      </c>
      <c r="L44" s="317">
        <f>'Insumo Informe E'!K40</f>
        <v>800</v>
      </c>
      <c r="M44" s="316">
        <f>'Insumo Informe E'!L40</f>
        <v>1</v>
      </c>
      <c r="N44" s="316">
        <f>'Insumo Informe E'!M40</f>
        <v>0</v>
      </c>
      <c r="O44" s="316">
        <f>'Insumo Informe E'!N40</f>
        <v>400</v>
      </c>
      <c r="P44" s="316">
        <f>'Insumo Informe E'!O40</f>
        <v>500</v>
      </c>
      <c r="Q44" s="316">
        <f>'Insumo Informe E'!P40</f>
        <v>900</v>
      </c>
      <c r="R44" s="317">
        <f>'Insumo Informe E'!Q40</f>
        <v>1.125</v>
      </c>
      <c r="S44" s="318">
        <f>'Insumo Informe E'!R40</f>
        <v>0</v>
      </c>
      <c r="T44" s="318">
        <f>'Insumo Informe E'!S40</f>
        <v>219230000</v>
      </c>
      <c r="U44" s="318">
        <f>'Insumo Informe E'!T40</f>
        <v>82916665</v>
      </c>
      <c r="V44" s="318">
        <f>'Insumo Informe E'!U40</f>
        <v>0</v>
      </c>
      <c r="W44" s="318">
        <f>'Insumo Informe E'!V40</f>
        <v>302146665</v>
      </c>
      <c r="X44" s="318">
        <f>'Insumo Informe E'!W40</f>
        <v>0</v>
      </c>
      <c r="Y44" s="281"/>
    </row>
    <row r="45" spans="1:25" s="283" customFormat="1" ht="44.25" customHeight="1" x14ac:dyDescent="0.25">
      <c r="A45" s="281"/>
      <c r="B45" s="312">
        <v>3</v>
      </c>
      <c r="C45" s="313">
        <v>27</v>
      </c>
      <c r="D45" s="314" t="str">
        <f>'Insumo Informe E'!C41</f>
        <v>Vincular 800 personas en procesos para el mejoramiento de las condiciones de seguridad y convivencia  de los sectores prioritarios o puntos críticos de la localidad, fomentando la construcción de territorios de paz, la promoción de la resolución de conflictos y/o dotación de equipamientos y medios de seguridad</v>
      </c>
      <c r="E45" s="315">
        <f>'Insumo Informe E'!D41</f>
        <v>1167</v>
      </c>
      <c r="F45" s="315" t="str">
        <f>'Insumo Informe E'!E41</f>
        <v>SUMA</v>
      </c>
      <c r="G45" s="316">
        <f>'Insumo Informe E'!F41</f>
        <v>0</v>
      </c>
      <c r="H45" s="316">
        <f>'Insumo Informe E'!G41</f>
        <v>200</v>
      </c>
      <c r="I45" s="316">
        <f>'Insumo Informe E'!H41</f>
        <v>300</v>
      </c>
      <c r="J45" s="316">
        <f>'Insumo Informe E'!I41</f>
        <v>270</v>
      </c>
      <c r="K45" s="315">
        <f>'Insumo Informe E'!J41</f>
        <v>270</v>
      </c>
      <c r="L45" s="317">
        <f>'Insumo Informe E'!K41</f>
        <v>1040</v>
      </c>
      <c r="M45" s="316">
        <f>'Insumo Informe E'!L41</f>
        <v>1.3</v>
      </c>
      <c r="N45" s="316">
        <f>'Insumo Informe E'!M41</f>
        <v>200</v>
      </c>
      <c r="O45" s="316">
        <f>'Insumo Informe E'!N41</f>
        <v>300</v>
      </c>
      <c r="P45" s="316">
        <f>'Insumo Informe E'!O41</f>
        <v>270</v>
      </c>
      <c r="Q45" s="316">
        <f>'Insumo Informe E'!P41</f>
        <v>770</v>
      </c>
      <c r="R45" s="317">
        <f>'Insumo Informe E'!Q41</f>
        <v>0.96250000000000002</v>
      </c>
      <c r="S45" s="318">
        <f>'Insumo Informe E'!R41</f>
        <v>130350000</v>
      </c>
      <c r="T45" s="318">
        <f>'Insumo Informe E'!S41</f>
        <v>202807978</v>
      </c>
      <c r="U45" s="318">
        <f>'Insumo Informe E'!T41</f>
        <v>71100000</v>
      </c>
      <c r="V45" s="318">
        <f>'Insumo Informe E'!U41</f>
        <v>67236000</v>
      </c>
      <c r="W45" s="318">
        <f>'Insumo Informe E'!V41</f>
        <v>471493978</v>
      </c>
      <c r="X45" s="318">
        <f>'Insumo Informe E'!W41</f>
        <v>0</v>
      </c>
      <c r="Y45" s="281"/>
    </row>
    <row r="46" spans="1:25" s="283" customFormat="1" ht="44.25" customHeight="1" x14ac:dyDescent="0.25">
      <c r="A46" s="281"/>
      <c r="B46" s="312">
        <v>3</v>
      </c>
      <c r="C46" s="313">
        <f>'Insumo Informe E'!B42</f>
        <v>30</v>
      </c>
      <c r="D46" s="314" t="str">
        <f>'Insumo Informe E'!C42</f>
        <v>Fortalecer 1 Comité de Participación Comunitaria en Salud - COPACOS</v>
      </c>
      <c r="E46" s="315">
        <f>'Insumo Informe E'!D42</f>
        <v>1175</v>
      </c>
      <c r="F46" s="315" t="str">
        <f>'Insumo Informe E'!E42</f>
        <v>CONSTANTE</v>
      </c>
      <c r="G46" s="316">
        <f>'Insumo Informe E'!F42</f>
        <v>0</v>
      </c>
      <c r="H46" s="316">
        <f>'Insumo Informe E'!G42</f>
        <v>1</v>
      </c>
      <c r="I46" s="316">
        <f>'Insumo Informe E'!H42</f>
        <v>1</v>
      </c>
      <c r="J46" s="316">
        <f>'Insumo Informe E'!I42</f>
        <v>1</v>
      </c>
      <c r="K46" s="315">
        <f>'Insumo Informe E'!J42</f>
        <v>0</v>
      </c>
      <c r="L46" s="317">
        <f>'Insumo Informe E'!K42</f>
        <v>0.75</v>
      </c>
      <c r="M46" s="316">
        <f>'Insumo Informe E'!L42</f>
        <v>0.75</v>
      </c>
      <c r="N46" s="316">
        <f>'Insumo Informe E'!M42</f>
        <v>1</v>
      </c>
      <c r="O46" s="316">
        <f>'Insumo Informe E'!N42</f>
        <v>1</v>
      </c>
      <c r="P46" s="316">
        <f>'Insumo Informe E'!O42</f>
        <v>1</v>
      </c>
      <c r="Q46" s="316">
        <f>'Insumo Informe E'!P42</f>
        <v>0.75</v>
      </c>
      <c r="R46" s="317">
        <f>'Insumo Informe E'!Q42</f>
        <v>0.75</v>
      </c>
      <c r="S46" s="318">
        <f>'Insumo Informe E'!R42</f>
        <v>20000000</v>
      </c>
      <c r="T46" s="318">
        <f>'Insumo Informe E'!S42</f>
        <v>0</v>
      </c>
      <c r="U46" s="318">
        <f>'Insumo Informe E'!T42</f>
        <v>0</v>
      </c>
      <c r="V46" s="318">
        <f>'Insumo Informe E'!U42</f>
        <v>0</v>
      </c>
      <c r="W46" s="318">
        <f>'Insumo Informe E'!V42</f>
        <v>20000000</v>
      </c>
      <c r="X46" s="318">
        <f>'Insumo Informe E'!W42</f>
        <v>0</v>
      </c>
      <c r="Y46" s="281"/>
    </row>
    <row r="47" spans="1:25" s="283" customFormat="1" ht="44.25" customHeight="1" x14ac:dyDescent="0.25">
      <c r="A47" s="281"/>
      <c r="B47" s="312">
        <v>3</v>
      </c>
      <c r="C47" s="313">
        <f>'Insumo Informe E'!B43</f>
        <v>31</v>
      </c>
      <c r="D47" s="314" t="str">
        <f>'Insumo Informe E'!C43</f>
        <v>Implementar 1 Sistema Integrado de Gestión en la administración local</v>
      </c>
      <c r="E47" s="315">
        <f>'Insumo Informe E'!D43</f>
        <v>1171</v>
      </c>
      <c r="F47" s="315" t="str">
        <f>'Insumo Informe E'!E43</f>
        <v>CONSTANTE</v>
      </c>
      <c r="G47" s="316">
        <f>'Insumo Informe E'!F43</f>
        <v>1</v>
      </c>
      <c r="H47" s="316">
        <f>'Insumo Informe E'!G43</f>
        <v>0</v>
      </c>
      <c r="I47" s="316">
        <f>'Insumo Informe E'!H43</f>
        <v>0</v>
      </c>
      <c r="J47" s="316">
        <f>'Insumo Informe E'!I43</f>
        <v>3</v>
      </c>
      <c r="K47" s="315">
        <f>'Insumo Informe E'!J43</f>
        <v>1</v>
      </c>
      <c r="L47" s="317">
        <f>'Insumo Informe E'!K43</f>
        <v>1</v>
      </c>
      <c r="M47" s="316">
        <f>'Insumo Informe E'!L43</f>
        <v>1</v>
      </c>
      <c r="N47" s="316">
        <f>'Insumo Informe E'!M43</f>
        <v>0</v>
      </c>
      <c r="O47" s="316">
        <f>'Insumo Informe E'!N43</f>
        <v>0</v>
      </c>
      <c r="P47" s="316">
        <f>'Insumo Informe E'!O43</f>
        <v>3</v>
      </c>
      <c r="Q47" s="316">
        <f>'Insumo Informe E'!P43</f>
        <v>1</v>
      </c>
      <c r="R47" s="317">
        <f>'Insumo Informe E'!Q43</f>
        <v>1</v>
      </c>
      <c r="S47" s="318">
        <f>'Insumo Informe E'!R43</f>
        <v>0</v>
      </c>
      <c r="T47" s="318">
        <f>'Insumo Informe E'!S43</f>
        <v>0</v>
      </c>
      <c r="U47" s="318">
        <f>'Insumo Informe E'!T43</f>
        <v>38083333</v>
      </c>
      <c r="V47" s="318">
        <f>'Insumo Informe E'!U43</f>
        <v>40514999</v>
      </c>
      <c r="W47" s="318">
        <f>'Insumo Informe E'!V43</f>
        <v>78598332</v>
      </c>
      <c r="X47" s="318">
        <f>'Insumo Informe E'!W43</f>
        <v>32015000</v>
      </c>
      <c r="Y47" s="281"/>
    </row>
    <row r="48" spans="1:25" s="283" customFormat="1" ht="44.25" customHeight="1" x14ac:dyDescent="0.25">
      <c r="A48" s="281"/>
      <c r="B48" s="312">
        <v>3</v>
      </c>
      <c r="C48" s="313">
        <v>31</v>
      </c>
      <c r="D48" s="314" t="str">
        <f>'Insumo Informe E'!C44</f>
        <v>Realizar 1 fortalecimiento a la función administrativa y desarrollo institucional anualmente</v>
      </c>
      <c r="E48" s="315">
        <f>'Insumo Informe E'!D44</f>
        <v>1171</v>
      </c>
      <c r="F48" s="315" t="str">
        <f>'Insumo Informe E'!E44</f>
        <v>CONSTANTE</v>
      </c>
      <c r="G48" s="316">
        <f>'Insumo Informe E'!F44</f>
        <v>1</v>
      </c>
      <c r="H48" s="316">
        <f>'Insumo Informe E'!G44</f>
        <v>1</v>
      </c>
      <c r="I48" s="316">
        <f>'Insumo Informe E'!H44</f>
        <v>1</v>
      </c>
      <c r="J48" s="316">
        <f>'Insumo Informe E'!I44</f>
        <v>1</v>
      </c>
      <c r="K48" s="315">
        <f>'Insumo Informe E'!J44</f>
        <v>1</v>
      </c>
      <c r="L48" s="317">
        <f>'Insumo Informe E'!K44</f>
        <v>1</v>
      </c>
      <c r="M48" s="316">
        <f>'Insumo Informe E'!L44</f>
        <v>1</v>
      </c>
      <c r="N48" s="316">
        <f>'Insumo Informe E'!M44</f>
        <v>1</v>
      </c>
      <c r="O48" s="316">
        <f>'Insumo Informe E'!N44</f>
        <v>1</v>
      </c>
      <c r="P48" s="316">
        <f>'Insumo Informe E'!O44</f>
        <v>1</v>
      </c>
      <c r="Q48" s="316">
        <f>'Insumo Informe E'!P44</f>
        <v>1</v>
      </c>
      <c r="R48" s="317">
        <f>'Insumo Informe E'!Q44</f>
        <v>1</v>
      </c>
      <c r="S48" s="318">
        <f>'Insumo Informe E'!R44</f>
        <v>2400858084</v>
      </c>
      <c r="T48" s="318">
        <f>'Insumo Informe E'!S44</f>
        <v>2184029394</v>
      </c>
      <c r="U48" s="318">
        <f>'Insumo Informe E'!T44</f>
        <v>2458021727</v>
      </c>
      <c r="V48" s="318">
        <f>'Insumo Informe E'!U44</f>
        <v>2460554433</v>
      </c>
      <c r="W48" s="318">
        <f>'Insumo Informe E'!V44</f>
        <v>9503463638</v>
      </c>
      <c r="X48" s="318">
        <f>'Insumo Informe E'!W44</f>
        <v>1539899990</v>
      </c>
      <c r="Y48" s="281"/>
    </row>
    <row r="49" spans="1:25" s="283" customFormat="1" ht="44.25" customHeight="1" x14ac:dyDescent="0.25">
      <c r="A49" s="281"/>
      <c r="B49" s="312">
        <v>3</v>
      </c>
      <c r="C49" s="313">
        <v>31</v>
      </c>
      <c r="D49" s="314" t="str">
        <f>'Insumo Informe E'!C45</f>
        <v>Realizar a los 7 ediles de la localidad el pago de honorarios correspondiente a sesiones ordinarias, extraordinarias y comisiones permanentes y el fortalecimiento de la función administrativa y desarrollo institucional de la JAL de Santa Fe</v>
      </c>
      <c r="E49" s="315">
        <f>'Insumo Informe E'!D45</f>
        <v>1171</v>
      </c>
      <c r="F49" s="315" t="str">
        <f>'Insumo Informe E'!E45</f>
        <v>CONSTANTE</v>
      </c>
      <c r="G49" s="316">
        <f>'Insumo Informe E'!F45</f>
        <v>7</v>
      </c>
      <c r="H49" s="316">
        <f>'Insumo Informe E'!G45</f>
        <v>7</v>
      </c>
      <c r="I49" s="316">
        <f>'Insumo Informe E'!H45</f>
        <v>7</v>
      </c>
      <c r="J49" s="316">
        <f>'Insumo Informe E'!I45</f>
        <v>7</v>
      </c>
      <c r="K49" s="315">
        <f>'Insumo Informe E'!J45</f>
        <v>7</v>
      </c>
      <c r="L49" s="317">
        <f>'Insumo Informe E'!K45</f>
        <v>7</v>
      </c>
      <c r="M49" s="316">
        <f>'Insumo Informe E'!L45</f>
        <v>1</v>
      </c>
      <c r="N49" s="316">
        <f>'Insumo Informe E'!M45</f>
        <v>7</v>
      </c>
      <c r="O49" s="316">
        <f>'Insumo Informe E'!N45</f>
        <v>7</v>
      </c>
      <c r="P49" s="316">
        <f>'Insumo Informe E'!O45</f>
        <v>7</v>
      </c>
      <c r="Q49" s="316">
        <f>'Insumo Informe E'!P45</f>
        <v>7</v>
      </c>
      <c r="R49" s="317">
        <f>'Insumo Informe E'!Q45</f>
        <v>1</v>
      </c>
      <c r="S49" s="318">
        <f>'Insumo Informe E'!R45</f>
        <v>407157583</v>
      </c>
      <c r="T49" s="318">
        <f>'Insumo Informe E'!S45</f>
        <v>430995825</v>
      </c>
      <c r="U49" s="318">
        <f>'Insumo Informe E'!T45</f>
        <v>468575772</v>
      </c>
      <c r="V49" s="318">
        <f>'Insumo Informe E'!U45</f>
        <v>507327072</v>
      </c>
      <c r="W49" s="318">
        <f>'Insumo Informe E'!V45</f>
        <v>1814056252</v>
      </c>
      <c r="X49" s="318">
        <f>'Insumo Informe E'!W45</f>
        <v>465049816</v>
      </c>
      <c r="Y49" s="281"/>
    </row>
    <row r="50" spans="1:25" s="283" customFormat="1" ht="44.25" customHeight="1" x14ac:dyDescent="0.25">
      <c r="A50" s="281"/>
      <c r="B50" s="312">
        <v>3</v>
      </c>
      <c r="C50" s="313">
        <f>'Insumo Informe E'!B46</f>
        <v>32</v>
      </c>
      <c r="D50" s="314" t="str">
        <f>'Insumo Informe E'!C46</f>
        <v>Vincular 4.000 personas a través de procesos de Tecnologías de la información, la comunicación y medios comunicativos</v>
      </c>
      <c r="E50" s="315">
        <f>'Insumo Informe E'!D46</f>
        <v>1173</v>
      </c>
      <c r="F50" s="315" t="str">
        <f>'Insumo Informe E'!E46</f>
        <v>SUMA</v>
      </c>
      <c r="G50" s="316">
        <f>'Insumo Informe E'!F46</f>
        <v>0</v>
      </c>
      <c r="H50" s="316">
        <f>'Insumo Informe E'!G46</f>
        <v>1000</v>
      </c>
      <c r="I50" s="316">
        <f>'Insumo Informe E'!H46</f>
        <v>0</v>
      </c>
      <c r="J50" s="316">
        <f>'Insumo Informe E'!I46</f>
        <v>0</v>
      </c>
      <c r="K50" s="315">
        <f>'Insumo Informe E'!J46</f>
        <v>0</v>
      </c>
      <c r="L50" s="317">
        <f>'Insumo Informe E'!K46</f>
        <v>1000</v>
      </c>
      <c r="M50" s="316">
        <f>'Insumo Informe E'!L46</f>
        <v>0.25</v>
      </c>
      <c r="N50" s="316">
        <f>'Insumo Informe E'!M46</f>
        <v>1000</v>
      </c>
      <c r="O50" s="316">
        <f>'Insumo Informe E'!N46</f>
        <v>0</v>
      </c>
      <c r="P50" s="316">
        <f>'Insumo Informe E'!O46</f>
        <v>3000</v>
      </c>
      <c r="Q50" s="316">
        <f>'Insumo Informe E'!P46</f>
        <v>4000</v>
      </c>
      <c r="R50" s="317">
        <f>'Insumo Informe E'!Q46</f>
        <v>1</v>
      </c>
      <c r="S50" s="318">
        <f>'Insumo Informe E'!R46</f>
        <v>200000000</v>
      </c>
      <c r="T50" s="318">
        <f>'Insumo Informe E'!S46</f>
        <v>0</v>
      </c>
      <c r="U50" s="318">
        <f>'Insumo Informe E'!T46</f>
        <v>0</v>
      </c>
      <c r="V50" s="318">
        <f>'Insumo Informe E'!U46</f>
        <v>0</v>
      </c>
      <c r="W50" s="318">
        <f>'Insumo Informe E'!V46</f>
        <v>200000000</v>
      </c>
      <c r="X50" s="318">
        <f>'Insumo Informe E'!W46</f>
        <v>0</v>
      </c>
      <c r="Y50" s="281"/>
    </row>
    <row r="51" spans="1:25" s="283" customFormat="1" x14ac:dyDescent="0.25">
      <c r="A51" s="319"/>
      <c r="B51" s="319"/>
      <c r="C51" s="319"/>
      <c r="D51" s="319"/>
      <c r="E51" s="319"/>
      <c r="F51" s="319"/>
      <c r="G51" s="319"/>
      <c r="H51" s="319"/>
      <c r="I51" s="319"/>
      <c r="J51" s="319"/>
      <c r="K51" s="319"/>
      <c r="L51" s="319"/>
      <c r="M51" s="320"/>
      <c r="N51" s="320"/>
      <c r="O51" s="320"/>
      <c r="P51" s="320"/>
      <c r="Q51" s="320"/>
      <c r="R51" s="320"/>
      <c r="S51" s="321"/>
      <c r="T51" s="322"/>
      <c r="U51" s="322"/>
      <c r="V51" s="322"/>
      <c r="W51" s="322"/>
      <c r="X51" s="318"/>
      <c r="Y51" s="281"/>
    </row>
    <row r="52" spans="1:25" s="283" customFormat="1" ht="21.75" customHeight="1" x14ac:dyDescent="0.25">
      <c r="A52" s="319"/>
      <c r="B52" s="681" t="s">
        <v>1368</v>
      </c>
      <c r="C52" s="681"/>
      <c r="D52" s="681"/>
      <c r="E52" s="681"/>
      <c r="F52" s="681"/>
      <c r="G52" s="681"/>
      <c r="H52" s="681"/>
      <c r="I52" s="681"/>
      <c r="J52" s="681"/>
      <c r="K52" s="681"/>
      <c r="L52" s="681"/>
      <c r="M52" s="681"/>
      <c r="N52" s="681"/>
      <c r="O52" s="681"/>
      <c r="P52" s="681"/>
      <c r="Q52" s="681"/>
      <c r="R52" s="681"/>
      <c r="S52" s="681"/>
      <c r="T52" s="681"/>
      <c r="U52" s="681"/>
      <c r="V52" s="681"/>
      <c r="W52" s="681"/>
      <c r="X52" s="681"/>
      <c r="Y52" s="281"/>
    </row>
    <row r="53" spans="1:25" x14ac:dyDescent="0.25">
      <c r="A53" s="319"/>
      <c r="B53" s="319"/>
      <c r="C53" s="319"/>
      <c r="D53" s="675" t="s">
        <v>1373</v>
      </c>
      <c r="E53" s="676"/>
      <c r="F53" s="676"/>
      <c r="G53" s="676"/>
      <c r="H53" s="676"/>
      <c r="I53" s="676"/>
      <c r="J53" s="676"/>
      <c r="K53" s="676"/>
      <c r="L53" s="676"/>
      <c r="M53" s="676"/>
      <c r="N53" s="676"/>
      <c r="O53" s="676"/>
      <c r="P53" s="676"/>
      <c r="Q53" s="676"/>
      <c r="R53" s="676"/>
      <c r="S53" s="676"/>
      <c r="T53" s="676"/>
      <c r="U53" s="676"/>
      <c r="V53" s="676"/>
      <c r="W53" s="676"/>
      <c r="X53" s="676"/>
      <c r="Y53" s="676"/>
    </row>
    <row r="54" spans="1:25" x14ac:dyDescent="0.25">
      <c r="A54" s="319"/>
      <c r="B54" s="319"/>
      <c r="C54" s="319"/>
      <c r="D54" s="677" t="s">
        <v>1374</v>
      </c>
      <c r="E54" s="677"/>
      <c r="F54" s="677"/>
      <c r="G54" s="677"/>
      <c r="H54" s="677"/>
      <c r="I54" s="677"/>
      <c r="J54" s="677"/>
      <c r="K54" s="677"/>
      <c r="L54" s="677"/>
      <c r="M54" s="677"/>
      <c r="N54" s="677"/>
      <c r="O54" s="677"/>
      <c r="P54" s="677"/>
      <c r="Q54" s="677"/>
      <c r="R54" s="677"/>
      <c r="S54" s="677"/>
      <c r="T54" s="677"/>
      <c r="U54" s="677"/>
      <c r="V54" s="677"/>
      <c r="W54" s="677"/>
      <c r="X54" s="677"/>
      <c r="Y54" s="677"/>
    </row>
    <row r="55" spans="1:25" x14ac:dyDescent="0.25">
      <c r="A55" s="319"/>
      <c r="B55" s="319"/>
      <c r="C55" s="319"/>
      <c r="D55" s="677" t="s">
        <v>1375</v>
      </c>
      <c r="E55" s="677"/>
      <c r="F55" s="677"/>
      <c r="G55" s="677"/>
      <c r="H55" s="677"/>
      <c r="I55" s="677"/>
      <c r="J55" s="677"/>
      <c r="K55" s="677"/>
      <c r="L55" s="677"/>
      <c r="M55" s="677"/>
      <c r="N55" s="677"/>
      <c r="O55" s="677"/>
      <c r="P55" s="677"/>
      <c r="Q55" s="677"/>
      <c r="R55" s="677"/>
      <c r="S55" s="677"/>
      <c r="T55" s="677"/>
      <c r="U55" s="677"/>
      <c r="V55" s="677"/>
      <c r="W55" s="677"/>
      <c r="X55" s="677"/>
      <c r="Y55" s="677"/>
    </row>
    <row r="56" spans="1:25" x14ac:dyDescent="0.25">
      <c r="A56" s="319"/>
      <c r="B56" s="319"/>
      <c r="C56" s="319"/>
      <c r="D56" s="319"/>
      <c r="E56" s="319"/>
      <c r="F56" s="319"/>
      <c r="G56" s="319"/>
      <c r="H56" s="319"/>
      <c r="I56" s="319"/>
      <c r="J56" s="319"/>
      <c r="K56" s="319"/>
      <c r="L56" s="319"/>
      <c r="M56" s="320"/>
      <c r="N56" s="320"/>
      <c r="O56" s="320"/>
      <c r="P56" s="320"/>
      <c r="Q56" s="320"/>
      <c r="R56" s="320"/>
      <c r="S56" s="319"/>
      <c r="T56" s="319"/>
      <c r="U56" s="319"/>
      <c r="V56" s="319"/>
      <c r="W56" s="319"/>
      <c r="X56" s="319"/>
      <c r="Y56" s="323"/>
    </row>
    <row r="57" spans="1:25" x14ac:dyDescent="0.25">
      <c r="H57" s="283"/>
      <c r="I57" s="283"/>
      <c r="J57" s="283"/>
      <c r="K57" s="283"/>
      <c r="L57" s="283"/>
      <c r="M57" s="325"/>
    </row>
  </sheetData>
  <sheetProtection selectLockedCells="1" selectUnlockedCells="1"/>
  <mergeCells count="12">
    <mergeCell ref="B3:R3"/>
    <mergeCell ref="D4:R4"/>
    <mergeCell ref="K5:R5"/>
    <mergeCell ref="B6:C6"/>
    <mergeCell ref="B7:C7"/>
    <mergeCell ref="G7:L7"/>
    <mergeCell ref="M7:R7"/>
    <mergeCell ref="D53:Y53"/>
    <mergeCell ref="D54:Y54"/>
    <mergeCell ref="D55:Y55"/>
    <mergeCell ref="S7:W7"/>
    <mergeCell ref="B52:X52"/>
  </mergeCells>
  <pageMargins left="0.25" right="0.25" top="0.75" bottom="0.75" header="0.3" footer="0.3"/>
  <pageSetup paperSize="5" scale="63" orientation="landscape" r:id="rId1"/>
  <colBreaks count="1" manualBreakCount="1">
    <brk id="25" max="1048575" man="1"/>
  </colBreaks>
  <drawing r:id="rId2"/>
  <pictur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47"/>
  <sheetViews>
    <sheetView zoomScale="85" zoomScaleNormal="85" workbookViewId="0">
      <selection activeCell="E6" sqref="E6"/>
    </sheetView>
  </sheetViews>
  <sheetFormatPr baseColWidth="10" defaultColWidth="10.140625" defaultRowHeight="15" x14ac:dyDescent="0.25"/>
  <cols>
    <col min="6" max="6" width="11.5703125" bestFit="1" customWidth="1"/>
    <col min="7" max="10" width="15.140625" bestFit="1" customWidth="1"/>
    <col min="11" max="11" width="36" bestFit="1" customWidth="1"/>
    <col min="12" max="12" width="55.140625" bestFit="1" customWidth="1"/>
    <col min="13" max="15" width="15.140625" bestFit="1" customWidth="1"/>
    <col min="16" max="16" width="40.28515625" bestFit="1" customWidth="1"/>
    <col min="17" max="17" width="58.28515625" bestFit="1" customWidth="1"/>
    <col min="18" max="21" width="15.140625" bestFit="1" customWidth="1"/>
    <col min="22" max="22" width="15.28515625" bestFit="1" customWidth="1"/>
    <col min="23" max="23" width="15.140625" bestFit="1" customWidth="1"/>
  </cols>
  <sheetData>
    <row r="3" spans="1:23" x14ac:dyDescent="0.25">
      <c r="A3" s="138"/>
      <c r="B3" s="139"/>
      <c r="C3" s="139"/>
      <c r="D3" s="139"/>
      <c r="E3" s="139"/>
      <c r="F3" s="139"/>
      <c r="G3" s="140" t="s">
        <v>1273</v>
      </c>
      <c r="H3" s="139"/>
      <c r="I3" s="139"/>
      <c r="J3" s="139"/>
      <c r="K3" s="139"/>
      <c r="L3" s="139"/>
      <c r="M3" s="139"/>
      <c r="N3" s="139"/>
      <c r="O3" s="139"/>
      <c r="P3" s="139"/>
      <c r="Q3" s="139"/>
      <c r="R3" s="139"/>
      <c r="S3" s="139"/>
      <c r="T3" s="139"/>
      <c r="U3" s="139"/>
      <c r="V3" s="139"/>
      <c r="W3" s="477"/>
    </row>
    <row r="4" spans="1:23" x14ac:dyDescent="0.25">
      <c r="A4" s="140" t="s">
        <v>10</v>
      </c>
      <c r="B4" s="140" t="s">
        <v>12</v>
      </c>
      <c r="C4" s="140" t="s">
        <v>15</v>
      </c>
      <c r="D4" s="140" t="s">
        <v>18</v>
      </c>
      <c r="E4" s="140" t="s">
        <v>27</v>
      </c>
      <c r="F4" s="140" t="s">
        <v>1909</v>
      </c>
      <c r="G4" s="138" t="s">
        <v>1902</v>
      </c>
      <c r="H4" s="487" t="s">
        <v>1904</v>
      </c>
      <c r="I4" s="487" t="s">
        <v>1906</v>
      </c>
      <c r="J4" s="487" t="s">
        <v>1908</v>
      </c>
      <c r="K4" s="487" t="s">
        <v>1369</v>
      </c>
      <c r="L4" s="487" t="s">
        <v>1274</v>
      </c>
      <c r="M4" s="487" t="s">
        <v>1903</v>
      </c>
      <c r="N4" s="487" t="s">
        <v>1905</v>
      </c>
      <c r="O4" s="487" t="s">
        <v>1907</v>
      </c>
      <c r="P4" s="487" t="s">
        <v>1370</v>
      </c>
      <c r="Q4" s="487" t="s">
        <v>1371</v>
      </c>
      <c r="R4" s="487" t="s">
        <v>1912</v>
      </c>
      <c r="S4" s="487" t="s">
        <v>1913</v>
      </c>
      <c r="T4" s="487" t="s">
        <v>1914</v>
      </c>
      <c r="U4" s="487" t="s">
        <v>1915</v>
      </c>
      <c r="V4" s="487" t="s">
        <v>1372</v>
      </c>
      <c r="W4" s="481" t="s">
        <v>1916</v>
      </c>
    </row>
    <row r="5" spans="1:23" x14ac:dyDescent="0.25">
      <c r="A5" s="138">
        <v>1</v>
      </c>
      <c r="B5" s="138">
        <v>1</v>
      </c>
      <c r="C5" s="138" t="s">
        <v>42</v>
      </c>
      <c r="D5" s="138">
        <v>1147</v>
      </c>
      <c r="E5" s="138" t="s">
        <v>50</v>
      </c>
      <c r="F5" s="138">
        <v>0</v>
      </c>
      <c r="G5" s="482">
        <v>8</v>
      </c>
      <c r="H5" s="488">
        <v>7</v>
      </c>
      <c r="I5" s="488">
        <v>12</v>
      </c>
      <c r="J5" s="488">
        <v>0</v>
      </c>
      <c r="K5" s="488">
        <v>27</v>
      </c>
      <c r="L5" s="488">
        <v>0.9</v>
      </c>
      <c r="M5" s="488">
        <v>8</v>
      </c>
      <c r="N5" s="488">
        <v>11</v>
      </c>
      <c r="O5" s="488">
        <v>12</v>
      </c>
      <c r="P5" s="488">
        <v>31</v>
      </c>
      <c r="Q5" s="488">
        <v>1.0333333333333334</v>
      </c>
      <c r="R5" s="488">
        <v>188551992</v>
      </c>
      <c r="S5" s="488">
        <v>176319333</v>
      </c>
      <c r="T5" s="488">
        <v>50000000</v>
      </c>
      <c r="U5" s="488">
        <v>0</v>
      </c>
      <c r="V5" s="488">
        <v>414871325</v>
      </c>
      <c r="W5" s="483">
        <v>0</v>
      </c>
    </row>
    <row r="6" spans="1:23" x14ac:dyDescent="0.25">
      <c r="A6" s="478"/>
      <c r="B6" s="478"/>
      <c r="C6" s="138" t="s">
        <v>51</v>
      </c>
      <c r="D6" s="138">
        <v>1147</v>
      </c>
      <c r="E6" s="138" t="s">
        <v>50</v>
      </c>
      <c r="F6" s="138">
        <v>0</v>
      </c>
      <c r="G6" s="482">
        <v>1395</v>
      </c>
      <c r="H6" s="488">
        <v>451</v>
      </c>
      <c r="I6" s="488">
        <v>0</v>
      </c>
      <c r="J6" s="488">
        <v>0</v>
      </c>
      <c r="K6" s="488">
        <v>1846</v>
      </c>
      <c r="L6" s="488">
        <v>0.92300000000000004</v>
      </c>
      <c r="M6" s="488">
        <v>1395</v>
      </c>
      <c r="N6" s="488">
        <v>451</v>
      </c>
      <c r="O6" s="488">
        <v>0</v>
      </c>
      <c r="P6" s="488">
        <v>1846</v>
      </c>
      <c r="Q6" s="488">
        <v>0.92300000000000004</v>
      </c>
      <c r="R6" s="488">
        <v>247000000</v>
      </c>
      <c r="S6" s="488">
        <v>305521001</v>
      </c>
      <c r="T6" s="488">
        <v>0</v>
      </c>
      <c r="U6" s="488">
        <v>0</v>
      </c>
      <c r="V6" s="488">
        <v>552521001</v>
      </c>
      <c r="W6" s="483">
        <v>0</v>
      </c>
    </row>
    <row r="7" spans="1:23" x14ac:dyDescent="0.25">
      <c r="A7" s="478"/>
      <c r="B7" s="138">
        <v>2</v>
      </c>
      <c r="C7" s="138" t="s">
        <v>65</v>
      </c>
      <c r="D7" s="138">
        <v>1149</v>
      </c>
      <c r="E7" s="138" t="s">
        <v>50</v>
      </c>
      <c r="F7" s="138" t="s">
        <v>1897</v>
      </c>
      <c r="G7" s="482">
        <v>300</v>
      </c>
      <c r="H7" s="488">
        <v>220</v>
      </c>
      <c r="I7" s="488">
        <v>380</v>
      </c>
      <c r="J7" s="488">
        <v>900</v>
      </c>
      <c r="K7" s="488">
        <v>1800</v>
      </c>
      <c r="L7" s="488">
        <v>1.5</v>
      </c>
      <c r="M7" s="488">
        <v>300</v>
      </c>
      <c r="N7" s="488">
        <v>300</v>
      </c>
      <c r="O7" s="488">
        <v>380</v>
      </c>
      <c r="P7" s="488">
        <v>980</v>
      </c>
      <c r="Q7" s="488">
        <v>0.81666666666666665</v>
      </c>
      <c r="R7" s="488">
        <v>96950000</v>
      </c>
      <c r="S7" s="488">
        <v>21958780</v>
      </c>
      <c r="T7" s="488">
        <v>83937681</v>
      </c>
      <c r="U7" s="488">
        <v>113750000</v>
      </c>
      <c r="V7" s="488">
        <v>316596461</v>
      </c>
      <c r="W7" s="483">
        <v>2250000</v>
      </c>
    </row>
    <row r="8" spans="1:23" x14ac:dyDescent="0.25">
      <c r="A8" s="478"/>
      <c r="B8" s="478"/>
      <c r="C8" s="138" t="s">
        <v>58</v>
      </c>
      <c r="D8" s="138">
        <v>1149</v>
      </c>
      <c r="E8" s="138" t="s">
        <v>50</v>
      </c>
      <c r="F8" s="138" t="s">
        <v>1897</v>
      </c>
      <c r="G8" s="482">
        <v>3000</v>
      </c>
      <c r="H8" s="488">
        <v>3000</v>
      </c>
      <c r="I8" s="488">
        <v>3000</v>
      </c>
      <c r="J8" s="488">
        <v>4090</v>
      </c>
      <c r="K8" s="488">
        <v>13090</v>
      </c>
      <c r="L8" s="488">
        <v>1.0908333333333333</v>
      </c>
      <c r="M8" s="488">
        <v>3000</v>
      </c>
      <c r="N8" s="488">
        <v>3000</v>
      </c>
      <c r="O8" s="488">
        <v>3000</v>
      </c>
      <c r="P8" s="488">
        <v>9000</v>
      </c>
      <c r="Q8" s="488">
        <v>0.75</v>
      </c>
      <c r="R8" s="488">
        <v>534472033</v>
      </c>
      <c r="S8" s="488">
        <v>426981220</v>
      </c>
      <c r="T8" s="488">
        <v>115419463</v>
      </c>
      <c r="U8" s="488">
        <v>222923260</v>
      </c>
      <c r="V8" s="488">
        <v>1299795976</v>
      </c>
      <c r="W8" s="483">
        <v>0</v>
      </c>
    </row>
    <row r="9" spans="1:23" x14ac:dyDescent="0.25">
      <c r="A9" s="478"/>
      <c r="B9" s="478"/>
      <c r="C9" s="138" t="s">
        <v>67</v>
      </c>
      <c r="D9" s="138">
        <v>1149</v>
      </c>
      <c r="E9" s="138" t="s">
        <v>50</v>
      </c>
      <c r="F9" s="138" t="s">
        <v>1897</v>
      </c>
      <c r="G9" s="482">
        <v>80</v>
      </c>
      <c r="H9" s="488">
        <v>90</v>
      </c>
      <c r="I9" s="488">
        <v>100</v>
      </c>
      <c r="J9" s="488">
        <v>80</v>
      </c>
      <c r="K9" s="488">
        <v>350</v>
      </c>
      <c r="L9" s="488">
        <v>1.09375</v>
      </c>
      <c r="M9" s="488">
        <v>66</v>
      </c>
      <c r="N9" s="488">
        <v>250</v>
      </c>
      <c r="O9" s="488">
        <v>100</v>
      </c>
      <c r="P9" s="488">
        <v>416</v>
      </c>
      <c r="Q9" s="488">
        <v>1.3</v>
      </c>
      <c r="R9" s="488">
        <v>104781818</v>
      </c>
      <c r="S9" s="488">
        <v>100000000</v>
      </c>
      <c r="T9" s="488">
        <v>50642856</v>
      </c>
      <c r="U9" s="488">
        <v>184000000</v>
      </c>
      <c r="V9" s="488">
        <v>439424674</v>
      </c>
      <c r="W9" s="483">
        <v>0</v>
      </c>
    </row>
    <row r="10" spans="1:23" x14ac:dyDescent="0.25">
      <c r="A10" s="478"/>
      <c r="B10" s="138">
        <v>3</v>
      </c>
      <c r="C10" s="138" t="s">
        <v>84</v>
      </c>
      <c r="D10" s="138">
        <v>1150</v>
      </c>
      <c r="E10" s="138" t="s">
        <v>50</v>
      </c>
      <c r="F10" s="138">
        <v>0</v>
      </c>
      <c r="G10" s="482">
        <v>0</v>
      </c>
      <c r="H10" s="488">
        <v>9</v>
      </c>
      <c r="I10" s="488">
        <v>0</v>
      </c>
      <c r="J10" s="488">
        <v>0</v>
      </c>
      <c r="K10" s="488">
        <v>9</v>
      </c>
      <c r="L10" s="488">
        <v>1.125</v>
      </c>
      <c r="M10" s="488">
        <v>0</v>
      </c>
      <c r="N10" s="488">
        <v>9</v>
      </c>
      <c r="O10" s="488">
        <v>0</v>
      </c>
      <c r="P10" s="488">
        <v>9</v>
      </c>
      <c r="Q10" s="488">
        <v>1.125</v>
      </c>
      <c r="R10" s="488">
        <v>0</v>
      </c>
      <c r="S10" s="488">
        <v>88229200</v>
      </c>
      <c r="T10" s="488">
        <v>0</v>
      </c>
      <c r="U10" s="488">
        <v>0</v>
      </c>
      <c r="V10" s="488">
        <v>88229200</v>
      </c>
      <c r="W10" s="483">
        <v>0</v>
      </c>
    </row>
    <row r="11" spans="1:23" x14ac:dyDescent="0.25">
      <c r="A11" s="478"/>
      <c r="B11" s="478"/>
      <c r="C11" s="138" t="s">
        <v>89</v>
      </c>
      <c r="D11" s="138">
        <v>1150</v>
      </c>
      <c r="E11" s="138" t="s">
        <v>50</v>
      </c>
      <c r="F11" s="138">
        <v>530</v>
      </c>
      <c r="G11" s="482">
        <v>600</v>
      </c>
      <c r="H11" s="488">
        <v>800</v>
      </c>
      <c r="I11" s="488">
        <v>900</v>
      </c>
      <c r="J11" s="488">
        <v>530</v>
      </c>
      <c r="K11" s="488">
        <v>2830</v>
      </c>
      <c r="L11" s="488">
        <v>0.94333333333333336</v>
      </c>
      <c r="M11" s="488">
        <v>650</v>
      </c>
      <c r="N11" s="488">
        <v>800</v>
      </c>
      <c r="O11" s="488">
        <v>900</v>
      </c>
      <c r="P11" s="488">
        <v>2880</v>
      </c>
      <c r="Q11" s="488">
        <v>0.96</v>
      </c>
      <c r="R11" s="488">
        <v>16464000</v>
      </c>
      <c r="S11" s="488">
        <v>135015223</v>
      </c>
      <c r="T11" s="488">
        <v>19720000</v>
      </c>
      <c r="U11" s="488">
        <v>12365880</v>
      </c>
      <c r="V11" s="488">
        <v>183565103</v>
      </c>
      <c r="W11" s="483">
        <v>12365880</v>
      </c>
    </row>
    <row r="12" spans="1:23" x14ac:dyDescent="0.25">
      <c r="A12" s="478"/>
      <c r="B12" s="478"/>
      <c r="C12" s="138" t="s">
        <v>71</v>
      </c>
      <c r="D12" s="138">
        <v>1150</v>
      </c>
      <c r="E12" s="138" t="s">
        <v>50</v>
      </c>
      <c r="F12" s="138">
        <v>0</v>
      </c>
      <c r="G12" s="482">
        <v>100</v>
      </c>
      <c r="H12" s="488">
        <v>270</v>
      </c>
      <c r="I12" s="488">
        <v>25</v>
      </c>
      <c r="J12" s="488">
        <v>100</v>
      </c>
      <c r="K12" s="488">
        <v>495</v>
      </c>
      <c r="L12" s="488">
        <v>1.2375</v>
      </c>
      <c r="M12" s="488">
        <v>130</v>
      </c>
      <c r="N12" s="488">
        <v>270</v>
      </c>
      <c r="O12" s="488">
        <v>25</v>
      </c>
      <c r="P12" s="488">
        <v>425</v>
      </c>
      <c r="Q12" s="488">
        <v>1.0625</v>
      </c>
      <c r="R12" s="488">
        <v>194630000</v>
      </c>
      <c r="S12" s="488">
        <v>442042074</v>
      </c>
      <c r="T12" s="488">
        <v>41000000</v>
      </c>
      <c r="U12" s="488">
        <v>172454389</v>
      </c>
      <c r="V12" s="488">
        <v>850126463</v>
      </c>
      <c r="W12" s="483">
        <v>0</v>
      </c>
    </row>
    <row r="13" spans="1:23" x14ac:dyDescent="0.25">
      <c r="A13" s="478"/>
      <c r="B13" s="478"/>
      <c r="C13" s="138" t="s">
        <v>78</v>
      </c>
      <c r="D13" s="138">
        <v>1150</v>
      </c>
      <c r="E13" s="138" t="s">
        <v>50</v>
      </c>
      <c r="F13" s="138">
        <v>0</v>
      </c>
      <c r="G13" s="482">
        <v>900</v>
      </c>
      <c r="H13" s="488">
        <v>0</v>
      </c>
      <c r="I13" s="488">
        <v>300</v>
      </c>
      <c r="J13" s="488">
        <v>0</v>
      </c>
      <c r="K13" s="488">
        <v>1200</v>
      </c>
      <c r="L13" s="488">
        <v>1.2</v>
      </c>
      <c r="M13" s="488">
        <v>900</v>
      </c>
      <c r="N13" s="488">
        <v>0</v>
      </c>
      <c r="O13" s="488">
        <v>300</v>
      </c>
      <c r="P13" s="488">
        <v>1200</v>
      </c>
      <c r="Q13" s="488">
        <v>1.2</v>
      </c>
      <c r="R13" s="488">
        <v>198507100</v>
      </c>
      <c r="S13" s="488">
        <v>6600000</v>
      </c>
      <c r="T13" s="488">
        <v>117566000</v>
      </c>
      <c r="U13" s="488">
        <v>0</v>
      </c>
      <c r="V13" s="488">
        <v>322673100</v>
      </c>
      <c r="W13" s="483">
        <v>0</v>
      </c>
    </row>
    <row r="14" spans="1:23" x14ac:dyDescent="0.25">
      <c r="A14" s="478"/>
      <c r="B14" s="138">
        <v>4</v>
      </c>
      <c r="C14" s="138" t="s">
        <v>94</v>
      </c>
      <c r="D14" s="138">
        <v>1164</v>
      </c>
      <c r="E14" s="138" t="s">
        <v>50</v>
      </c>
      <c r="F14" s="138">
        <v>0</v>
      </c>
      <c r="G14" s="482">
        <v>0</v>
      </c>
      <c r="H14" s="488">
        <v>0</v>
      </c>
      <c r="I14" s="488">
        <v>0</v>
      </c>
      <c r="J14" s="488">
        <v>250</v>
      </c>
      <c r="K14" s="488">
        <v>250</v>
      </c>
      <c r="L14" s="488">
        <v>1.25</v>
      </c>
      <c r="M14" s="488">
        <v>0</v>
      </c>
      <c r="N14" s="488">
        <v>0</v>
      </c>
      <c r="O14" s="488">
        <v>0</v>
      </c>
      <c r="P14" s="488">
        <v>0</v>
      </c>
      <c r="Q14" s="488">
        <v>0</v>
      </c>
      <c r="R14" s="488">
        <v>0</v>
      </c>
      <c r="S14" s="488">
        <v>0</v>
      </c>
      <c r="T14" s="488">
        <v>0</v>
      </c>
      <c r="U14" s="488">
        <v>27960668</v>
      </c>
      <c r="V14" s="488">
        <v>27960668</v>
      </c>
      <c r="W14" s="483">
        <v>0</v>
      </c>
    </row>
    <row r="15" spans="1:23" x14ac:dyDescent="0.25">
      <c r="A15" s="478"/>
      <c r="B15" s="138">
        <v>5</v>
      </c>
      <c r="C15" s="138" t="s">
        <v>102</v>
      </c>
      <c r="D15" s="138">
        <v>1157</v>
      </c>
      <c r="E15" s="138" t="s">
        <v>109</v>
      </c>
      <c r="F15" s="138">
        <v>2700</v>
      </c>
      <c r="G15" s="482">
        <v>900</v>
      </c>
      <c r="H15" s="488">
        <v>1200</v>
      </c>
      <c r="I15" s="488">
        <v>2300</v>
      </c>
      <c r="J15" s="488">
        <v>2700</v>
      </c>
      <c r="K15" s="488">
        <v>1775</v>
      </c>
      <c r="L15" s="488">
        <v>1.9722222222222223</v>
      </c>
      <c r="M15" s="488">
        <v>900</v>
      </c>
      <c r="N15" s="488">
        <v>1200</v>
      </c>
      <c r="O15" s="488">
        <v>2500</v>
      </c>
      <c r="P15" s="488">
        <v>1825</v>
      </c>
      <c r="Q15" s="488">
        <v>2.0277777777777777</v>
      </c>
      <c r="R15" s="488">
        <v>1813000000</v>
      </c>
      <c r="S15" s="488">
        <v>1800498972</v>
      </c>
      <c r="T15" s="488">
        <v>4622824460</v>
      </c>
      <c r="U15" s="488">
        <v>3400000000</v>
      </c>
      <c r="V15" s="488">
        <v>11636323432</v>
      </c>
      <c r="W15" s="483">
        <v>306316134</v>
      </c>
    </row>
    <row r="16" spans="1:23" x14ac:dyDescent="0.25">
      <c r="A16" s="478"/>
      <c r="B16" s="478"/>
      <c r="C16" s="138" t="s">
        <v>116</v>
      </c>
      <c r="D16" s="138">
        <v>1157</v>
      </c>
      <c r="E16" s="138" t="s">
        <v>50</v>
      </c>
      <c r="F16" s="138">
        <v>0</v>
      </c>
      <c r="G16" s="482">
        <v>250</v>
      </c>
      <c r="H16" s="488">
        <v>250</v>
      </c>
      <c r="I16" s="488">
        <v>400</v>
      </c>
      <c r="J16" s="488">
        <v>0</v>
      </c>
      <c r="K16" s="488">
        <v>900</v>
      </c>
      <c r="L16" s="488">
        <v>0.9</v>
      </c>
      <c r="M16" s="488">
        <v>250</v>
      </c>
      <c r="N16" s="488">
        <v>250</v>
      </c>
      <c r="O16" s="488">
        <v>400</v>
      </c>
      <c r="P16" s="488">
        <v>900</v>
      </c>
      <c r="Q16" s="488">
        <v>0.9</v>
      </c>
      <c r="R16" s="488">
        <v>294209970</v>
      </c>
      <c r="S16" s="488">
        <v>312947000</v>
      </c>
      <c r="T16" s="488">
        <v>316000000</v>
      </c>
      <c r="U16" s="488">
        <v>0</v>
      </c>
      <c r="V16" s="488">
        <v>923156970</v>
      </c>
      <c r="W16" s="483">
        <v>0</v>
      </c>
    </row>
    <row r="17" spans="1:23" x14ac:dyDescent="0.25">
      <c r="A17" s="478"/>
      <c r="B17" s="478"/>
      <c r="C17" s="138" t="s">
        <v>110</v>
      </c>
      <c r="D17" s="138">
        <v>1157</v>
      </c>
      <c r="E17" s="138" t="s">
        <v>50</v>
      </c>
      <c r="F17" s="138">
        <v>0</v>
      </c>
      <c r="G17" s="482">
        <v>210</v>
      </c>
      <c r="H17" s="488">
        <v>0</v>
      </c>
      <c r="I17" s="488">
        <v>0</v>
      </c>
      <c r="J17" s="488">
        <v>0</v>
      </c>
      <c r="K17" s="488">
        <v>210</v>
      </c>
      <c r="L17" s="488">
        <v>0.95454545454545459</v>
      </c>
      <c r="M17" s="488">
        <v>210</v>
      </c>
      <c r="N17" s="488">
        <v>0</v>
      </c>
      <c r="O17" s="488">
        <v>0</v>
      </c>
      <c r="P17" s="488">
        <v>210</v>
      </c>
      <c r="Q17" s="488">
        <v>0.95454545454545459</v>
      </c>
      <c r="R17" s="488">
        <v>300546142</v>
      </c>
      <c r="S17" s="488">
        <v>0</v>
      </c>
      <c r="T17" s="488">
        <v>0</v>
      </c>
      <c r="U17" s="488">
        <v>0</v>
      </c>
      <c r="V17" s="488">
        <v>300546142</v>
      </c>
      <c r="W17" s="483">
        <v>0</v>
      </c>
    </row>
    <row r="18" spans="1:23" x14ac:dyDescent="0.25">
      <c r="A18" s="478"/>
      <c r="B18" s="478"/>
      <c r="C18" s="138" t="s">
        <v>112</v>
      </c>
      <c r="D18" s="138">
        <v>1157</v>
      </c>
      <c r="E18" s="138" t="s">
        <v>50</v>
      </c>
      <c r="F18" s="138">
        <v>0</v>
      </c>
      <c r="G18" s="482">
        <v>1250</v>
      </c>
      <c r="H18" s="488">
        <v>1250</v>
      </c>
      <c r="I18" s="488">
        <v>1800</v>
      </c>
      <c r="J18" s="488">
        <v>0</v>
      </c>
      <c r="K18" s="488">
        <v>4300</v>
      </c>
      <c r="L18" s="488">
        <v>0.86</v>
      </c>
      <c r="M18" s="488">
        <v>1250</v>
      </c>
      <c r="N18" s="488">
        <v>1250</v>
      </c>
      <c r="O18" s="488">
        <v>1800</v>
      </c>
      <c r="P18" s="488">
        <v>4300</v>
      </c>
      <c r="Q18" s="488">
        <v>0.86</v>
      </c>
      <c r="R18" s="488">
        <v>236477888</v>
      </c>
      <c r="S18" s="488">
        <v>261732500</v>
      </c>
      <c r="T18" s="488">
        <v>305050000</v>
      </c>
      <c r="U18" s="488">
        <v>0</v>
      </c>
      <c r="V18" s="488">
        <v>803260388</v>
      </c>
      <c r="W18" s="483">
        <v>0</v>
      </c>
    </row>
    <row r="19" spans="1:23" x14ac:dyDescent="0.25">
      <c r="A19" s="478"/>
      <c r="B19" s="138">
        <v>8</v>
      </c>
      <c r="C19" s="138" t="s">
        <v>120</v>
      </c>
      <c r="D19" s="138">
        <v>1161</v>
      </c>
      <c r="E19" s="138" t="s">
        <v>50</v>
      </c>
      <c r="F19" s="138">
        <v>0</v>
      </c>
      <c r="G19" s="482">
        <v>1</v>
      </c>
      <c r="H19" s="488">
        <v>2</v>
      </c>
      <c r="I19" s="488">
        <v>0</v>
      </c>
      <c r="J19" s="488">
        <v>0</v>
      </c>
      <c r="K19" s="488">
        <v>3</v>
      </c>
      <c r="L19" s="488">
        <v>1.5</v>
      </c>
      <c r="M19" s="488">
        <v>1</v>
      </c>
      <c r="N19" s="488">
        <v>2</v>
      </c>
      <c r="O19" s="488">
        <v>0</v>
      </c>
      <c r="P19" s="488">
        <v>3</v>
      </c>
      <c r="Q19" s="488">
        <v>1.5</v>
      </c>
      <c r="R19" s="488">
        <v>253216540</v>
      </c>
      <c r="S19" s="488">
        <v>163770000</v>
      </c>
      <c r="T19" s="488">
        <v>16000000</v>
      </c>
      <c r="U19" s="488">
        <v>0</v>
      </c>
      <c r="V19" s="488">
        <v>432986540</v>
      </c>
      <c r="W19" s="483">
        <v>0</v>
      </c>
    </row>
    <row r="20" spans="1:23" x14ac:dyDescent="0.25">
      <c r="A20" s="478"/>
      <c r="B20" s="478"/>
      <c r="C20" s="138" t="s">
        <v>144</v>
      </c>
      <c r="D20" s="138">
        <v>1161</v>
      </c>
      <c r="E20" s="138" t="s">
        <v>50</v>
      </c>
      <c r="F20" s="138">
        <v>0</v>
      </c>
      <c r="G20" s="482">
        <v>0</v>
      </c>
      <c r="H20" s="488">
        <v>0</v>
      </c>
      <c r="I20" s="488">
        <v>3</v>
      </c>
      <c r="J20" s="488">
        <v>0</v>
      </c>
      <c r="K20" s="488">
        <v>3</v>
      </c>
      <c r="L20" s="488">
        <v>0.75</v>
      </c>
      <c r="M20" s="488">
        <v>0</v>
      </c>
      <c r="N20" s="488">
        <v>3</v>
      </c>
      <c r="O20" s="488">
        <v>3</v>
      </c>
      <c r="P20" s="488">
        <v>6</v>
      </c>
      <c r="Q20" s="488">
        <v>1.5</v>
      </c>
      <c r="R20" s="488">
        <v>0</v>
      </c>
      <c r="S20" s="488">
        <v>0</v>
      </c>
      <c r="T20" s="488">
        <v>62866389</v>
      </c>
      <c r="U20" s="488">
        <v>0</v>
      </c>
      <c r="V20" s="488">
        <v>62866389</v>
      </c>
      <c r="W20" s="483">
        <v>0</v>
      </c>
    </row>
    <row r="21" spans="1:23" x14ac:dyDescent="0.25">
      <c r="A21" s="478"/>
      <c r="B21" s="478"/>
      <c r="C21" s="138" t="s">
        <v>139</v>
      </c>
      <c r="D21" s="138">
        <v>1161</v>
      </c>
      <c r="E21" s="138" t="s">
        <v>109</v>
      </c>
      <c r="F21" s="138">
        <v>0</v>
      </c>
      <c r="G21" s="482">
        <v>475</v>
      </c>
      <c r="H21" s="488">
        <v>250</v>
      </c>
      <c r="I21" s="488">
        <v>250</v>
      </c>
      <c r="J21" s="488">
        <v>350</v>
      </c>
      <c r="K21" s="488">
        <v>331.25</v>
      </c>
      <c r="L21" s="488">
        <v>0.9464285714285714</v>
      </c>
      <c r="M21" s="488">
        <v>475</v>
      </c>
      <c r="N21" s="488">
        <v>250</v>
      </c>
      <c r="O21" s="488">
        <v>250</v>
      </c>
      <c r="P21" s="488">
        <v>243.75</v>
      </c>
      <c r="Q21" s="488">
        <v>0.6964285714285714</v>
      </c>
      <c r="R21" s="488">
        <v>488305000</v>
      </c>
      <c r="S21" s="488">
        <v>391822500</v>
      </c>
      <c r="T21" s="488">
        <v>492371000</v>
      </c>
      <c r="U21" s="488">
        <v>187521521</v>
      </c>
      <c r="V21" s="488">
        <v>1560020021</v>
      </c>
      <c r="W21" s="483">
        <v>0</v>
      </c>
    </row>
    <row r="22" spans="1:23" x14ac:dyDescent="0.25">
      <c r="A22" s="478"/>
      <c r="B22" s="478"/>
      <c r="C22" s="138" t="s">
        <v>134</v>
      </c>
      <c r="D22" s="138">
        <v>1163</v>
      </c>
      <c r="E22" s="138" t="s">
        <v>50</v>
      </c>
      <c r="F22" s="138">
        <v>0</v>
      </c>
      <c r="G22" s="482">
        <v>2000</v>
      </c>
      <c r="H22" s="488">
        <v>2000</v>
      </c>
      <c r="I22" s="488">
        <v>1480</v>
      </c>
      <c r="J22" s="488">
        <v>1135</v>
      </c>
      <c r="K22" s="488">
        <v>6615</v>
      </c>
      <c r="L22" s="488">
        <v>1.47</v>
      </c>
      <c r="M22" s="488">
        <v>2000</v>
      </c>
      <c r="N22" s="488">
        <v>2000</v>
      </c>
      <c r="O22" s="488">
        <v>1480</v>
      </c>
      <c r="P22" s="488">
        <v>5480</v>
      </c>
      <c r="Q22" s="488">
        <v>1.2177777777777778</v>
      </c>
      <c r="R22" s="488">
        <v>544213543</v>
      </c>
      <c r="S22" s="488">
        <v>690703293</v>
      </c>
      <c r="T22" s="488">
        <v>597258335</v>
      </c>
      <c r="U22" s="488">
        <v>644697339</v>
      </c>
      <c r="V22" s="488">
        <v>2476872510</v>
      </c>
      <c r="W22" s="483">
        <v>0</v>
      </c>
    </row>
    <row r="23" spans="1:23" x14ac:dyDescent="0.25">
      <c r="A23" s="478"/>
      <c r="B23" s="478"/>
      <c r="C23" s="138" t="s">
        <v>128</v>
      </c>
      <c r="D23" s="138">
        <v>1161</v>
      </c>
      <c r="E23" s="138" t="s">
        <v>109</v>
      </c>
      <c r="F23" s="138">
        <v>1</v>
      </c>
      <c r="G23" s="482">
        <v>12</v>
      </c>
      <c r="H23" s="488">
        <v>13</v>
      </c>
      <c r="I23" s="488">
        <v>8</v>
      </c>
      <c r="J23" s="488">
        <v>6</v>
      </c>
      <c r="K23" s="488">
        <v>9.75</v>
      </c>
      <c r="L23" s="488">
        <v>1.0833333333333333</v>
      </c>
      <c r="M23" s="488">
        <v>12</v>
      </c>
      <c r="N23" s="488">
        <v>13</v>
      </c>
      <c r="O23" s="488">
        <v>8</v>
      </c>
      <c r="P23" s="488">
        <v>8.5</v>
      </c>
      <c r="Q23" s="488">
        <v>0.94444444444444442</v>
      </c>
      <c r="R23" s="488">
        <v>614233685</v>
      </c>
      <c r="S23" s="488">
        <v>634919725</v>
      </c>
      <c r="T23" s="488">
        <v>693708384</v>
      </c>
      <c r="U23" s="488">
        <v>487863030</v>
      </c>
      <c r="V23" s="488">
        <v>2430724824</v>
      </c>
      <c r="W23" s="483">
        <v>0</v>
      </c>
    </row>
    <row r="24" spans="1:23" x14ac:dyDescent="0.25">
      <c r="A24" s="138">
        <v>2</v>
      </c>
      <c r="B24" s="138">
        <v>17</v>
      </c>
      <c r="C24" s="138" t="s">
        <v>161</v>
      </c>
      <c r="D24" s="138">
        <v>1165</v>
      </c>
      <c r="E24" s="138" t="s">
        <v>50</v>
      </c>
      <c r="F24" s="138">
        <v>0</v>
      </c>
      <c r="G24" s="482">
        <v>3</v>
      </c>
      <c r="H24" s="488">
        <v>2.5</v>
      </c>
      <c r="I24" s="488">
        <v>2</v>
      </c>
      <c r="J24" s="488">
        <v>13</v>
      </c>
      <c r="K24" s="488">
        <v>20.5</v>
      </c>
      <c r="L24" s="488">
        <v>2.0499999999999998</v>
      </c>
      <c r="M24" s="488">
        <v>3</v>
      </c>
      <c r="N24" s="488">
        <v>3</v>
      </c>
      <c r="O24" s="488">
        <v>2</v>
      </c>
      <c r="P24" s="488">
        <v>8</v>
      </c>
      <c r="Q24" s="488">
        <v>0.8</v>
      </c>
      <c r="R24" s="488">
        <v>130500000</v>
      </c>
      <c r="S24" s="488">
        <v>134700000</v>
      </c>
      <c r="T24" s="488">
        <v>208000000</v>
      </c>
      <c r="U24" s="488">
        <v>190424205</v>
      </c>
      <c r="V24" s="488">
        <v>663624205</v>
      </c>
      <c r="W24" s="483">
        <v>368372</v>
      </c>
    </row>
    <row r="25" spans="1:23" x14ac:dyDescent="0.25">
      <c r="A25" s="478"/>
      <c r="B25" s="478"/>
      <c r="C25" s="138" t="s">
        <v>158</v>
      </c>
      <c r="D25" s="138">
        <v>1165</v>
      </c>
      <c r="E25" s="138" t="s">
        <v>50</v>
      </c>
      <c r="F25" s="138">
        <v>0</v>
      </c>
      <c r="G25" s="482">
        <v>10</v>
      </c>
      <c r="H25" s="488">
        <v>0</v>
      </c>
      <c r="I25" s="488">
        <v>15</v>
      </c>
      <c r="J25" s="488">
        <v>0</v>
      </c>
      <c r="K25" s="488">
        <v>25</v>
      </c>
      <c r="L25" s="488">
        <v>1</v>
      </c>
      <c r="M25" s="488">
        <v>8</v>
      </c>
      <c r="N25" s="488">
        <v>0</v>
      </c>
      <c r="O25" s="488">
        <v>15</v>
      </c>
      <c r="P25" s="488">
        <v>23</v>
      </c>
      <c r="Q25" s="488">
        <v>0.92</v>
      </c>
      <c r="R25" s="488">
        <v>229200000</v>
      </c>
      <c r="S25" s="488">
        <v>0</v>
      </c>
      <c r="T25" s="488">
        <v>148351743</v>
      </c>
      <c r="U25" s="488">
        <v>0</v>
      </c>
      <c r="V25" s="488">
        <v>377551743</v>
      </c>
      <c r="W25" s="483">
        <v>0</v>
      </c>
    </row>
    <row r="26" spans="1:23" x14ac:dyDescent="0.25">
      <c r="A26" s="478"/>
      <c r="B26" s="478"/>
      <c r="C26" s="138" t="s">
        <v>150</v>
      </c>
      <c r="D26" s="138">
        <v>1165</v>
      </c>
      <c r="E26" s="138" t="s">
        <v>50</v>
      </c>
      <c r="F26" s="138">
        <v>9</v>
      </c>
      <c r="G26" s="482">
        <v>5</v>
      </c>
      <c r="H26" s="488">
        <v>5</v>
      </c>
      <c r="I26" s="488">
        <v>9</v>
      </c>
      <c r="J26" s="488">
        <v>3</v>
      </c>
      <c r="K26" s="488">
        <v>22</v>
      </c>
      <c r="L26" s="488">
        <v>7.333333333333333</v>
      </c>
      <c r="M26" s="488">
        <v>5</v>
      </c>
      <c r="N26" s="488">
        <v>5</v>
      </c>
      <c r="O26" s="488">
        <v>9</v>
      </c>
      <c r="P26" s="488">
        <v>28</v>
      </c>
      <c r="Q26" s="488">
        <v>9.3333333333333339</v>
      </c>
      <c r="R26" s="488">
        <v>291269046</v>
      </c>
      <c r="S26" s="488">
        <v>137500000</v>
      </c>
      <c r="T26" s="488">
        <v>262500000</v>
      </c>
      <c r="U26" s="488">
        <v>209083333</v>
      </c>
      <c r="V26" s="488">
        <v>900352379</v>
      </c>
      <c r="W26" s="483">
        <v>2083333</v>
      </c>
    </row>
    <row r="27" spans="1:23" x14ac:dyDescent="0.25">
      <c r="A27" s="478"/>
      <c r="B27" s="478"/>
      <c r="C27" s="138" t="s">
        <v>164</v>
      </c>
      <c r="D27" s="138">
        <v>1165</v>
      </c>
      <c r="E27" s="138" t="s">
        <v>50</v>
      </c>
      <c r="F27" s="138">
        <v>0</v>
      </c>
      <c r="G27" s="482">
        <v>125</v>
      </c>
      <c r="H27" s="488">
        <v>0</v>
      </c>
      <c r="I27" s="488">
        <v>0</v>
      </c>
      <c r="J27" s="488">
        <v>0</v>
      </c>
      <c r="K27" s="488">
        <v>125</v>
      </c>
      <c r="L27" s="488">
        <v>0.25</v>
      </c>
      <c r="M27" s="488">
        <v>125</v>
      </c>
      <c r="N27" s="488">
        <v>0</v>
      </c>
      <c r="O27" s="488">
        <v>0</v>
      </c>
      <c r="P27" s="488">
        <v>125</v>
      </c>
      <c r="Q27" s="488">
        <v>0.25</v>
      </c>
      <c r="R27" s="488">
        <v>167300000</v>
      </c>
      <c r="S27" s="488">
        <v>12000000</v>
      </c>
      <c r="T27" s="488">
        <v>0</v>
      </c>
      <c r="U27" s="488">
        <v>0</v>
      </c>
      <c r="V27" s="488">
        <v>179300000</v>
      </c>
      <c r="W27" s="483">
        <v>0</v>
      </c>
    </row>
    <row r="28" spans="1:23" x14ac:dyDescent="0.25">
      <c r="A28" s="478"/>
      <c r="B28" s="138">
        <v>19</v>
      </c>
      <c r="C28" s="138" t="s">
        <v>168</v>
      </c>
      <c r="D28" s="138">
        <v>1168</v>
      </c>
      <c r="E28" s="138" t="s">
        <v>50</v>
      </c>
      <c r="F28" s="138">
        <v>0</v>
      </c>
      <c r="G28" s="482">
        <v>4.99</v>
      </c>
      <c r="H28" s="488">
        <v>0</v>
      </c>
      <c r="I28" s="488">
        <v>0</v>
      </c>
      <c r="J28" s="488">
        <v>0</v>
      </c>
      <c r="K28" s="488">
        <v>4.99</v>
      </c>
      <c r="L28" s="488">
        <v>7.7968750000000003E-2</v>
      </c>
      <c r="M28" s="488">
        <v>5</v>
      </c>
      <c r="N28" s="488">
        <v>0</v>
      </c>
      <c r="O28" s="488">
        <v>0</v>
      </c>
      <c r="P28" s="488">
        <v>5</v>
      </c>
      <c r="Q28" s="488">
        <v>7.8125E-2</v>
      </c>
      <c r="R28" s="488">
        <v>4620000000</v>
      </c>
      <c r="S28" s="488">
        <v>42829428</v>
      </c>
      <c r="T28" s="488">
        <v>0</v>
      </c>
      <c r="U28" s="488">
        <v>0</v>
      </c>
      <c r="V28" s="488">
        <v>4662829428</v>
      </c>
      <c r="W28" s="483">
        <v>0</v>
      </c>
    </row>
    <row r="29" spans="1:23" x14ac:dyDescent="0.25">
      <c r="A29" s="478"/>
      <c r="B29" s="478"/>
      <c r="C29" s="138" t="s">
        <v>178</v>
      </c>
      <c r="D29" s="138">
        <v>1168</v>
      </c>
      <c r="E29" s="138" t="s">
        <v>50</v>
      </c>
      <c r="F29" s="138">
        <v>0</v>
      </c>
      <c r="G29" s="482">
        <v>1191</v>
      </c>
      <c r="H29" s="488">
        <v>5600</v>
      </c>
      <c r="I29" s="488">
        <v>2169</v>
      </c>
      <c r="J29" s="488">
        <v>7000</v>
      </c>
      <c r="K29" s="488">
        <v>15960</v>
      </c>
      <c r="L29" s="488">
        <v>1.33</v>
      </c>
      <c r="M29" s="488">
        <v>5656</v>
      </c>
      <c r="N29" s="488">
        <v>5600</v>
      </c>
      <c r="O29" s="488">
        <v>2169</v>
      </c>
      <c r="P29" s="488">
        <v>13425</v>
      </c>
      <c r="Q29" s="488">
        <v>1.1187499999999999</v>
      </c>
      <c r="R29" s="488">
        <v>1767304000</v>
      </c>
      <c r="S29" s="488">
        <v>4573579496</v>
      </c>
      <c r="T29" s="488">
        <v>1392961107</v>
      </c>
      <c r="U29" s="488">
        <v>1276383257</v>
      </c>
      <c r="V29" s="488">
        <v>9010227860</v>
      </c>
      <c r="W29" s="483">
        <v>0</v>
      </c>
    </row>
    <row r="30" spans="1:23" x14ac:dyDescent="0.25">
      <c r="A30" s="478"/>
      <c r="B30" s="478"/>
      <c r="C30" s="138" t="s">
        <v>176</v>
      </c>
      <c r="D30" s="138">
        <v>1168</v>
      </c>
      <c r="E30" s="138" t="s">
        <v>50</v>
      </c>
      <c r="F30" s="138">
        <v>0</v>
      </c>
      <c r="G30" s="482">
        <v>0</v>
      </c>
      <c r="H30" s="488">
        <v>4</v>
      </c>
      <c r="I30" s="488">
        <v>2</v>
      </c>
      <c r="J30" s="488">
        <v>3.5</v>
      </c>
      <c r="K30" s="488">
        <v>9.5</v>
      </c>
      <c r="L30" s="488">
        <v>0.5</v>
      </c>
      <c r="M30" s="488">
        <v>0</v>
      </c>
      <c r="N30" s="488">
        <v>4</v>
      </c>
      <c r="O30" s="488">
        <v>3.1</v>
      </c>
      <c r="P30" s="488">
        <v>7.1</v>
      </c>
      <c r="Q30" s="488">
        <v>0.37368421052631579</v>
      </c>
      <c r="R30" s="488">
        <v>0</v>
      </c>
      <c r="S30" s="488">
        <v>4000000000</v>
      </c>
      <c r="T30" s="488">
        <v>6124021803</v>
      </c>
      <c r="U30" s="488">
        <v>7582150000</v>
      </c>
      <c r="V30" s="488">
        <v>17706171803</v>
      </c>
      <c r="W30" s="483">
        <v>346956956</v>
      </c>
    </row>
    <row r="31" spans="1:23" x14ac:dyDescent="0.25">
      <c r="A31" s="478"/>
      <c r="B31" s="138">
        <v>20</v>
      </c>
      <c r="C31" s="138" t="s">
        <v>189</v>
      </c>
      <c r="D31" s="138">
        <v>1170</v>
      </c>
      <c r="E31" s="138" t="s">
        <v>50</v>
      </c>
      <c r="F31" s="138">
        <v>0</v>
      </c>
      <c r="G31" s="482">
        <v>0.5</v>
      </c>
      <c r="H31" s="488">
        <v>1</v>
      </c>
      <c r="I31" s="488">
        <v>1</v>
      </c>
      <c r="J31" s="488">
        <v>1</v>
      </c>
      <c r="K31" s="488">
        <v>3.5</v>
      </c>
      <c r="L31" s="488">
        <v>3.5</v>
      </c>
      <c r="M31" s="488">
        <v>0.5</v>
      </c>
      <c r="N31" s="488">
        <v>1</v>
      </c>
      <c r="O31" s="488">
        <v>1</v>
      </c>
      <c r="P31" s="488">
        <v>2.5</v>
      </c>
      <c r="Q31" s="488">
        <v>2.5</v>
      </c>
      <c r="R31" s="488">
        <v>9879488</v>
      </c>
      <c r="S31" s="488">
        <v>14380725</v>
      </c>
      <c r="T31" s="488">
        <v>21513000</v>
      </c>
      <c r="U31" s="488">
        <v>17779931</v>
      </c>
      <c r="V31" s="488">
        <v>63553144</v>
      </c>
      <c r="W31" s="483">
        <v>0</v>
      </c>
    </row>
    <row r="32" spans="1:23" x14ac:dyDescent="0.25">
      <c r="A32" s="478"/>
      <c r="B32" s="478"/>
      <c r="C32" s="138" t="s">
        <v>184</v>
      </c>
      <c r="D32" s="138">
        <v>1170</v>
      </c>
      <c r="E32" s="138" t="s">
        <v>50</v>
      </c>
      <c r="F32" s="138">
        <v>0</v>
      </c>
      <c r="G32" s="482">
        <v>100</v>
      </c>
      <c r="H32" s="488">
        <v>100</v>
      </c>
      <c r="I32" s="488">
        <v>0</v>
      </c>
      <c r="J32" s="488">
        <v>200</v>
      </c>
      <c r="K32" s="488">
        <v>400</v>
      </c>
      <c r="L32" s="488">
        <v>1</v>
      </c>
      <c r="M32" s="488">
        <v>100</v>
      </c>
      <c r="N32" s="488">
        <v>100</v>
      </c>
      <c r="O32" s="488">
        <v>0</v>
      </c>
      <c r="P32" s="488">
        <v>200</v>
      </c>
      <c r="Q32" s="488">
        <v>0.5</v>
      </c>
      <c r="R32" s="488">
        <v>2905927335</v>
      </c>
      <c r="S32" s="488">
        <v>1149677110</v>
      </c>
      <c r="T32" s="488">
        <v>3320000</v>
      </c>
      <c r="U32" s="488">
        <v>16974000</v>
      </c>
      <c r="V32" s="488">
        <v>4075898445</v>
      </c>
      <c r="W32" s="483">
        <v>0</v>
      </c>
    </row>
    <row r="33" spans="1:23" x14ac:dyDescent="0.25">
      <c r="A33" s="478"/>
      <c r="B33" s="138">
        <v>21</v>
      </c>
      <c r="C33" s="138" t="s">
        <v>194</v>
      </c>
      <c r="D33" s="138">
        <v>1172</v>
      </c>
      <c r="E33" s="138" t="s">
        <v>50</v>
      </c>
      <c r="F33" s="138">
        <v>0</v>
      </c>
      <c r="G33" s="482">
        <v>100</v>
      </c>
      <c r="H33" s="488">
        <v>100</v>
      </c>
      <c r="I33" s="488">
        <v>150</v>
      </c>
      <c r="J33" s="488">
        <v>900</v>
      </c>
      <c r="K33" s="488">
        <v>1250</v>
      </c>
      <c r="L33" s="488">
        <v>3.125</v>
      </c>
      <c r="M33" s="488">
        <v>100</v>
      </c>
      <c r="N33" s="488">
        <v>100</v>
      </c>
      <c r="O33" s="488">
        <v>200</v>
      </c>
      <c r="P33" s="488">
        <v>400</v>
      </c>
      <c r="Q33" s="488">
        <v>1</v>
      </c>
      <c r="R33" s="488">
        <v>128815800</v>
      </c>
      <c r="S33" s="488">
        <v>147440000</v>
      </c>
      <c r="T33" s="488">
        <v>70663102</v>
      </c>
      <c r="U33" s="488">
        <v>120000000</v>
      </c>
      <c r="V33" s="488">
        <v>466918902</v>
      </c>
      <c r="W33" s="483">
        <v>0</v>
      </c>
    </row>
    <row r="34" spans="1:23" x14ac:dyDescent="0.25">
      <c r="A34" s="478"/>
      <c r="B34" s="138">
        <v>22</v>
      </c>
      <c r="C34" s="138" t="s">
        <v>201</v>
      </c>
      <c r="D34" s="138">
        <v>1174</v>
      </c>
      <c r="E34" s="138" t="s">
        <v>50</v>
      </c>
      <c r="F34" s="138">
        <v>0</v>
      </c>
      <c r="G34" s="482">
        <v>80</v>
      </c>
      <c r="H34" s="488">
        <v>0</v>
      </c>
      <c r="I34" s="488">
        <v>0</v>
      </c>
      <c r="J34" s="488">
        <v>0</v>
      </c>
      <c r="K34" s="488">
        <v>80</v>
      </c>
      <c r="L34" s="488">
        <v>0.5</v>
      </c>
      <c r="M34" s="488">
        <v>500</v>
      </c>
      <c r="N34" s="488">
        <v>0</v>
      </c>
      <c r="O34" s="488">
        <v>0</v>
      </c>
      <c r="P34" s="488">
        <v>500</v>
      </c>
      <c r="Q34" s="488">
        <v>3.125</v>
      </c>
      <c r="R34" s="488">
        <v>183500000</v>
      </c>
      <c r="S34" s="488">
        <v>0</v>
      </c>
      <c r="T34" s="488">
        <v>0</v>
      </c>
      <c r="U34" s="488">
        <v>0</v>
      </c>
      <c r="V34" s="488">
        <v>183500000</v>
      </c>
      <c r="W34" s="483">
        <v>0</v>
      </c>
    </row>
    <row r="35" spans="1:23" x14ac:dyDescent="0.25">
      <c r="A35" s="138">
        <v>3</v>
      </c>
      <c r="B35" s="138">
        <v>24</v>
      </c>
      <c r="C35" s="138" t="s">
        <v>215</v>
      </c>
      <c r="D35" s="138">
        <v>1177</v>
      </c>
      <c r="E35" s="138" t="s">
        <v>50</v>
      </c>
      <c r="F35" s="138">
        <v>0</v>
      </c>
      <c r="G35" s="482">
        <v>6</v>
      </c>
      <c r="H35" s="488">
        <v>6</v>
      </c>
      <c r="I35" s="488">
        <v>8</v>
      </c>
      <c r="J35" s="488">
        <v>6</v>
      </c>
      <c r="K35" s="488">
        <v>26</v>
      </c>
      <c r="L35" s="488">
        <v>1.7333333333333334</v>
      </c>
      <c r="M35" s="488">
        <v>6</v>
      </c>
      <c r="N35" s="488">
        <v>6</v>
      </c>
      <c r="O35" s="488">
        <v>8</v>
      </c>
      <c r="P35" s="488">
        <v>20</v>
      </c>
      <c r="Q35" s="488">
        <v>1.3333333333333333</v>
      </c>
      <c r="R35" s="488">
        <v>276170584</v>
      </c>
      <c r="S35" s="488">
        <v>241050086</v>
      </c>
      <c r="T35" s="488">
        <v>146974551</v>
      </c>
      <c r="U35" s="488">
        <v>53900000</v>
      </c>
      <c r="V35" s="488">
        <v>718095221</v>
      </c>
      <c r="W35" s="483">
        <v>0</v>
      </c>
    </row>
    <row r="36" spans="1:23" x14ac:dyDescent="0.25">
      <c r="A36" s="478"/>
      <c r="B36" s="478"/>
      <c r="C36" s="138" t="s">
        <v>210</v>
      </c>
      <c r="D36" s="138">
        <v>1177</v>
      </c>
      <c r="E36" s="138" t="s">
        <v>50</v>
      </c>
      <c r="F36" s="138">
        <v>0</v>
      </c>
      <c r="G36" s="482">
        <v>15</v>
      </c>
      <c r="H36" s="488">
        <v>0</v>
      </c>
      <c r="I36" s="488">
        <v>65</v>
      </c>
      <c r="J36" s="488">
        <v>0</v>
      </c>
      <c r="K36" s="488">
        <v>80</v>
      </c>
      <c r="L36" s="488">
        <v>1.3333333333333333</v>
      </c>
      <c r="M36" s="488">
        <v>15</v>
      </c>
      <c r="N36" s="488">
        <v>0</v>
      </c>
      <c r="O36" s="488">
        <v>65</v>
      </c>
      <c r="P36" s="488">
        <v>80</v>
      </c>
      <c r="Q36" s="488">
        <v>1.3333333333333333</v>
      </c>
      <c r="R36" s="488">
        <v>197393500</v>
      </c>
      <c r="S36" s="488">
        <v>54219000</v>
      </c>
      <c r="T36" s="488">
        <v>258185500</v>
      </c>
      <c r="U36" s="488">
        <v>0</v>
      </c>
      <c r="V36" s="488">
        <v>509798000</v>
      </c>
      <c r="W36" s="483">
        <v>0</v>
      </c>
    </row>
    <row r="37" spans="1:23" x14ac:dyDescent="0.25">
      <c r="A37" s="478"/>
      <c r="B37" s="478"/>
      <c r="C37" s="138" t="s">
        <v>206</v>
      </c>
      <c r="D37" s="138">
        <v>1177</v>
      </c>
      <c r="E37" s="138" t="s">
        <v>50</v>
      </c>
      <c r="F37" s="138">
        <v>0</v>
      </c>
      <c r="G37" s="482">
        <v>0</v>
      </c>
      <c r="H37" s="488">
        <v>150</v>
      </c>
      <c r="I37" s="488">
        <v>0</v>
      </c>
      <c r="J37" s="488">
        <v>0</v>
      </c>
      <c r="K37" s="488">
        <v>150</v>
      </c>
      <c r="L37" s="488">
        <v>0.25</v>
      </c>
      <c r="M37" s="488">
        <v>0</v>
      </c>
      <c r="N37" s="488">
        <v>150</v>
      </c>
      <c r="O37" s="488">
        <v>0</v>
      </c>
      <c r="P37" s="488">
        <v>150</v>
      </c>
      <c r="Q37" s="488">
        <v>0.25</v>
      </c>
      <c r="R37" s="488">
        <v>0</v>
      </c>
      <c r="S37" s="488">
        <v>21550000</v>
      </c>
      <c r="T37" s="488">
        <v>0</v>
      </c>
      <c r="U37" s="488">
        <v>0</v>
      </c>
      <c r="V37" s="488">
        <v>21550000</v>
      </c>
      <c r="W37" s="483">
        <v>0</v>
      </c>
    </row>
    <row r="38" spans="1:23" x14ac:dyDescent="0.25">
      <c r="A38" s="478"/>
      <c r="B38" s="138">
        <v>26</v>
      </c>
      <c r="C38" s="138" t="s">
        <v>220</v>
      </c>
      <c r="D38" s="138">
        <v>1178</v>
      </c>
      <c r="E38" s="138" t="s">
        <v>50</v>
      </c>
      <c r="F38" s="138">
        <v>0</v>
      </c>
      <c r="G38" s="482">
        <v>0</v>
      </c>
      <c r="H38" s="488">
        <v>0</v>
      </c>
      <c r="I38" s="488">
        <v>620</v>
      </c>
      <c r="J38" s="488">
        <v>0</v>
      </c>
      <c r="K38" s="488">
        <v>620</v>
      </c>
      <c r="L38" s="488">
        <v>1.55</v>
      </c>
      <c r="M38" s="488">
        <v>0</v>
      </c>
      <c r="N38" s="488">
        <v>0</v>
      </c>
      <c r="O38" s="488">
        <v>620</v>
      </c>
      <c r="P38" s="488">
        <v>620</v>
      </c>
      <c r="Q38" s="488">
        <v>1.55</v>
      </c>
      <c r="R38" s="488">
        <v>0</v>
      </c>
      <c r="S38" s="488">
        <v>0</v>
      </c>
      <c r="T38" s="488">
        <v>95957746</v>
      </c>
      <c r="U38" s="488">
        <v>3287600</v>
      </c>
      <c r="V38" s="488">
        <v>99245346</v>
      </c>
      <c r="W38" s="483">
        <v>2553839</v>
      </c>
    </row>
    <row r="39" spans="1:23" x14ac:dyDescent="0.25">
      <c r="A39" s="478"/>
      <c r="B39" s="138">
        <v>27</v>
      </c>
      <c r="C39" s="138" t="s">
        <v>231</v>
      </c>
      <c r="D39" s="138">
        <v>1167</v>
      </c>
      <c r="E39" s="138" t="s">
        <v>50</v>
      </c>
      <c r="F39" s="138">
        <v>0</v>
      </c>
      <c r="G39" s="482">
        <v>60</v>
      </c>
      <c r="H39" s="488">
        <v>345</v>
      </c>
      <c r="I39" s="488">
        <v>60</v>
      </c>
      <c r="J39" s="488">
        <v>135</v>
      </c>
      <c r="K39" s="488">
        <v>600</v>
      </c>
      <c r="L39" s="488">
        <v>0.75</v>
      </c>
      <c r="M39" s="488">
        <v>60</v>
      </c>
      <c r="N39" s="488">
        <v>345</v>
      </c>
      <c r="O39" s="488">
        <v>100</v>
      </c>
      <c r="P39" s="488">
        <v>505</v>
      </c>
      <c r="Q39" s="488">
        <v>0.63124999999999998</v>
      </c>
      <c r="R39" s="488">
        <v>14650000</v>
      </c>
      <c r="S39" s="488">
        <v>262420500</v>
      </c>
      <c r="T39" s="488">
        <v>46549410</v>
      </c>
      <c r="U39" s="488">
        <v>59439790</v>
      </c>
      <c r="V39" s="488">
        <v>383059700</v>
      </c>
      <c r="W39" s="483">
        <v>0</v>
      </c>
    </row>
    <row r="40" spans="1:23" x14ac:dyDescent="0.25">
      <c r="A40" s="478"/>
      <c r="B40" s="478"/>
      <c r="C40" s="138" t="s">
        <v>233</v>
      </c>
      <c r="D40" s="138">
        <v>1167</v>
      </c>
      <c r="E40" s="138" t="s">
        <v>50</v>
      </c>
      <c r="F40" s="138">
        <v>0</v>
      </c>
      <c r="G40" s="482">
        <v>0</v>
      </c>
      <c r="H40" s="488">
        <v>300</v>
      </c>
      <c r="I40" s="488">
        <v>500</v>
      </c>
      <c r="J40" s="488">
        <v>0</v>
      </c>
      <c r="K40" s="488">
        <v>800</v>
      </c>
      <c r="L40" s="488">
        <v>1</v>
      </c>
      <c r="M40" s="488">
        <v>0</v>
      </c>
      <c r="N40" s="488">
        <v>400</v>
      </c>
      <c r="O40" s="488">
        <v>500</v>
      </c>
      <c r="P40" s="488">
        <v>900</v>
      </c>
      <c r="Q40" s="488">
        <v>1.125</v>
      </c>
      <c r="R40" s="488">
        <v>0</v>
      </c>
      <c r="S40" s="488">
        <v>219230000</v>
      </c>
      <c r="T40" s="488">
        <v>82916665</v>
      </c>
      <c r="U40" s="488">
        <v>0</v>
      </c>
      <c r="V40" s="488">
        <v>302146665</v>
      </c>
      <c r="W40" s="483">
        <v>0</v>
      </c>
    </row>
    <row r="41" spans="1:23" x14ac:dyDescent="0.25">
      <c r="A41" s="478"/>
      <c r="B41" s="478"/>
      <c r="C41" s="138" t="s">
        <v>226</v>
      </c>
      <c r="D41" s="138">
        <v>1167</v>
      </c>
      <c r="E41" s="138" t="s">
        <v>50</v>
      </c>
      <c r="F41" s="138">
        <v>0</v>
      </c>
      <c r="G41" s="482">
        <v>200</v>
      </c>
      <c r="H41" s="488">
        <v>300</v>
      </c>
      <c r="I41" s="488">
        <v>270</v>
      </c>
      <c r="J41" s="488">
        <v>270</v>
      </c>
      <c r="K41" s="488">
        <v>1040</v>
      </c>
      <c r="L41" s="488">
        <v>1.3</v>
      </c>
      <c r="M41" s="488">
        <v>200</v>
      </c>
      <c r="N41" s="488">
        <v>300</v>
      </c>
      <c r="O41" s="488">
        <v>270</v>
      </c>
      <c r="P41" s="488">
        <v>770</v>
      </c>
      <c r="Q41" s="488">
        <v>0.96250000000000002</v>
      </c>
      <c r="R41" s="488">
        <v>130350000</v>
      </c>
      <c r="S41" s="488">
        <v>202807978</v>
      </c>
      <c r="T41" s="488">
        <v>71100000</v>
      </c>
      <c r="U41" s="488">
        <v>67236000</v>
      </c>
      <c r="V41" s="488">
        <v>471493978</v>
      </c>
      <c r="W41" s="483">
        <v>0</v>
      </c>
    </row>
    <row r="42" spans="1:23" x14ac:dyDescent="0.25">
      <c r="A42" s="478"/>
      <c r="B42" s="138">
        <v>30</v>
      </c>
      <c r="C42" s="138" t="s">
        <v>236</v>
      </c>
      <c r="D42" s="138">
        <v>1175</v>
      </c>
      <c r="E42" s="138" t="s">
        <v>109</v>
      </c>
      <c r="F42" s="138">
        <v>0</v>
      </c>
      <c r="G42" s="482">
        <v>1</v>
      </c>
      <c r="H42" s="488">
        <v>1</v>
      </c>
      <c r="I42" s="488">
        <v>1</v>
      </c>
      <c r="J42" s="488">
        <v>0</v>
      </c>
      <c r="K42" s="488">
        <v>0.75</v>
      </c>
      <c r="L42" s="488">
        <v>0.75</v>
      </c>
      <c r="M42" s="488">
        <v>1</v>
      </c>
      <c r="N42" s="488">
        <v>1</v>
      </c>
      <c r="O42" s="488">
        <v>1</v>
      </c>
      <c r="P42" s="488">
        <v>0.75</v>
      </c>
      <c r="Q42" s="488">
        <v>0.75</v>
      </c>
      <c r="R42" s="488">
        <v>20000000</v>
      </c>
      <c r="S42" s="488">
        <v>0</v>
      </c>
      <c r="T42" s="488">
        <v>0</v>
      </c>
      <c r="U42" s="488">
        <v>0</v>
      </c>
      <c r="V42" s="488">
        <v>20000000</v>
      </c>
      <c r="W42" s="483">
        <v>0</v>
      </c>
    </row>
    <row r="43" spans="1:23" x14ac:dyDescent="0.25">
      <c r="A43" s="478"/>
      <c r="B43" s="138">
        <v>31</v>
      </c>
      <c r="C43" s="138" t="s">
        <v>251</v>
      </c>
      <c r="D43" s="138">
        <v>1171</v>
      </c>
      <c r="E43" s="138" t="s">
        <v>109</v>
      </c>
      <c r="F43" s="138">
        <v>1</v>
      </c>
      <c r="G43" s="482">
        <v>0</v>
      </c>
      <c r="H43" s="488">
        <v>0</v>
      </c>
      <c r="I43" s="488">
        <v>3</v>
      </c>
      <c r="J43" s="488">
        <v>1</v>
      </c>
      <c r="K43" s="488">
        <v>1</v>
      </c>
      <c r="L43" s="488">
        <v>1</v>
      </c>
      <c r="M43" s="488">
        <v>0</v>
      </c>
      <c r="N43" s="488">
        <v>0</v>
      </c>
      <c r="O43" s="488">
        <v>3</v>
      </c>
      <c r="P43" s="488">
        <v>1</v>
      </c>
      <c r="Q43" s="488">
        <v>1</v>
      </c>
      <c r="R43" s="488">
        <v>0</v>
      </c>
      <c r="S43" s="488">
        <v>0</v>
      </c>
      <c r="T43" s="488">
        <v>38083333</v>
      </c>
      <c r="U43" s="488">
        <v>40514999</v>
      </c>
      <c r="V43" s="488">
        <v>78598332</v>
      </c>
      <c r="W43" s="483">
        <v>32015000</v>
      </c>
    </row>
    <row r="44" spans="1:23" x14ac:dyDescent="0.25">
      <c r="A44" s="478"/>
      <c r="B44" s="478"/>
      <c r="C44" s="138" t="s">
        <v>241</v>
      </c>
      <c r="D44" s="138">
        <v>1171</v>
      </c>
      <c r="E44" s="138" t="s">
        <v>109</v>
      </c>
      <c r="F44" s="138">
        <v>1</v>
      </c>
      <c r="G44" s="482">
        <v>1</v>
      </c>
      <c r="H44" s="488">
        <v>1</v>
      </c>
      <c r="I44" s="488">
        <v>1</v>
      </c>
      <c r="J44" s="488">
        <v>1</v>
      </c>
      <c r="K44" s="488">
        <v>1</v>
      </c>
      <c r="L44" s="488">
        <v>1</v>
      </c>
      <c r="M44" s="488">
        <v>1</v>
      </c>
      <c r="N44" s="488">
        <v>1</v>
      </c>
      <c r="O44" s="488">
        <v>1</v>
      </c>
      <c r="P44" s="488">
        <v>1</v>
      </c>
      <c r="Q44" s="488">
        <v>1</v>
      </c>
      <c r="R44" s="488">
        <v>2400858084</v>
      </c>
      <c r="S44" s="488">
        <v>2184029394</v>
      </c>
      <c r="T44" s="488">
        <v>2458021727</v>
      </c>
      <c r="U44" s="488">
        <v>2460554433</v>
      </c>
      <c r="V44" s="488">
        <v>9503463638</v>
      </c>
      <c r="W44" s="483">
        <v>1539899990</v>
      </c>
    </row>
    <row r="45" spans="1:23" x14ac:dyDescent="0.25">
      <c r="A45" s="478"/>
      <c r="B45" s="478"/>
      <c r="C45" s="138" t="s">
        <v>247</v>
      </c>
      <c r="D45" s="138">
        <v>1171</v>
      </c>
      <c r="E45" s="138" t="s">
        <v>109</v>
      </c>
      <c r="F45" s="138">
        <v>7</v>
      </c>
      <c r="G45" s="482">
        <v>7</v>
      </c>
      <c r="H45" s="488">
        <v>7</v>
      </c>
      <c r="I45" s="488">
        <v>7</v>
      </c>
      <c r="J45" s="488">
        <v>7</v>
      </c>
      <c r="K45" s="488">
        <v>7</v>
      </c>
      <c r="L45" s="488">
        <v>1</v>
      </c>
      <c r="M45" s="488">
        <v>7</v>
      </c>
      <c r="N45" s="488">
        <v>7</v>
      </c>
      <c r="O45" s="488">
        <v>7</v>
      </c>
      <c r="P45" s="488">
        <v>7</v>
      </c>
      <c r="Q45" s="488">
        <v>1</v>
      </c>
      <c r="R45" s="488">
        <v>407157583</v>
      </c>
      <c r="S45" s="488">
        <v>430995825</v>
      </c>
      <c r="T45" s="488">
        <v>468575772</v>
      </c>
      <c r="U45" s="488">
        <v>507327072</v>
      </c>
      <c r="V45" s="488">
        <v>1814056252</v>
      </c>
      <c r="W45" s="483">
        <v>465049816</v>
      </c>
    </row>
    <row r="46" spans="1:23" x14ac:dyDescent="0.25">
      <c r="A46" s="478"/>
      <c r="B46" s="138">
        <v>32</v>
      </c>
      <c r="C46" s="138" t="s">
        <v>256</v>
      </c>
      <c r="D46" s="138">
        <v>1173</v>
      </c>
      <c r="E46" s="138" t="s">
        <v>50</v>
      </c>
      <c r="F46" s="138">
        <v>0</v>
      </c>
      <c r="G46" s="482">
        <v>1000</v>
      </c>
      <c r="H46" s="488">
        <v>0</v>
      </c>
      <c r="I46" s="488">
        <v>0</v>
      </c>
      <c r="J46" s="488">
        <v>0</v>
      </c>
      <c r="K46" s="488">
        <v>1000</v>
      </c>
      <c r="L46" s="488">
        <v>0.25</v>
      </c>
      <c r="M46" s="488">
        <v>1000</v>
      </c>
      <c r="N46" s="488">
        <v>0</v>
      </c>
      <c r="O46" s="488">
        <v>3000</v>
      </c>
      <c r="P46" s="488">
        <v>4000</v>
      </c>
      <c r="Q46" s="488">
        <v>1</v>
      </c>
      <c r="R46" s="488">
        <v>200000000</v>
      </c>
      <c r="S46" s="488">
        <v>0</v>
      </c>
      <c r="T46" s="488">
        <v>0</v>
      </c>
      <c r="U46" s="488">
        <v>0</v>
      </c>
      <c r="V46" s="488">
        <v>200000000</v>
      </c>
      <c r="W46" s="483">
        <v>0</v>
      </c>
    </row>
    <row r="47" spans="1:23" x14ac:dyDescent="0.25">
      <c r="A47" s="141" t="s">
        <v>1268</v>
      </c>
      <c r="B47" s="484"/>
      <c r="C47" s="484"/>
      <c r="D47" s="484"/>
      <c r="E47" s="484"/>
      <c r="F47" s="484"/>
      <c r="G47" s="485">
        <v>14390.49</v>
      </c>
      <c r="H47" s="489">
        <v>16734.5</v>
      </c>
      <c r="I47" s="489">
        <v>14841</v>
      </c>
      <c r="J47" s="489">
        <v>18681.5</v>
      </c>
      <c r="K47" s="489">
        <v>58270.239999999998</v>
      </c>
      <c r="L47" s="489">
        <v>54.28291499819624</v>
      </c>
      <c r="M47" s="489">
        <v>19339.5</v>
      </c>
      <c r="N47" s="489">
        <v>17082</v>
      </c>
      <c r="O47" s="489">
        <v>18132.099999999999</v>
      </c>
      <c r="P47" s="489">
        <v>51541.599999999999</v>
      </c>
      <c r="Q47" s="489">
        <v>51.705783236500345</v>
      </c>
      <c r="R47" s="489">
        <v>20205835131</v>
      </c>
      <c r="S47" s="489">
        <v>19787470363</v>
      </c>
      <c r="T47" s="489">
        <v>19482060027</v>
      </c>
      <c r="U47" s="489">
        <v>18058590707</v>
      </c>
      <c r="V47" s="489">
        <v>77533956228</v>
      </c>
      <c r="W47" s="486">
        <v>2709859320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39997558519241921"/>
  </sheetPr>
  <dimension ref="A1:IL215"/>
  <sheetViews>
    <sheetView zoomScale="115" zoomScaleNormal="115" workbookViewId="0">
      <pane ySplit="2" topLeftCell="A3" activePane="bottomLeft" state="frozen"/>
      <selection activeCell="Q14" sqref="Q14"/>
      <selection pane="bottomLeft" activeCell="N22" sqref="N22"/>
    </sheetView>
  </sheetViews>
  <sheetFormatPr baseColWidth="10" defaultColWidth="7.140625" defaultRowHeight="13.5" x14ac:dyDescent="0.25"/>
  <cols>
    <col min="1" max="1" width="9.85546875" style="4" customWidth="1"/>
    <col min="2" max="2" width="25.140625" style="3" customWidth="1"/>
    <col min="3" max="3" width="9.85546875" style="5" customWidth="1"/>
    <col min="4" max="4" width="25.140625" style="3" customWidth="1"/>
    <col min="5" max="5" width="9.85546875" style="5" customWidth="1"/>
    <col min="6" max="8" width="9.85546875" style="51" customWidth="1"/>
    <col min="9" max="10" width="25.140625" style="51" customWidth="1"/>
    <col min="11" max="11" width="25.140625" style="6" customWidth="1"/>
    <col min="12" max="12" width="17.42578125" style="52" customWidth="1"/>
    <col min="13" max="13" width="17.42578125" style="5" customWidth="1"/>
    <col min="14" max="15" width="17.42578125" style="3" customWidth="1"/>
    <col min="16" max="19" width="17.42578125" style="5" customWidth="1"/>
    <col min="20" max="21" width="17.42578125" style="3" customWidth="1"/>
    <col min="22" max="25" width="17.42578125" style="5" customWidth="1"/>
    <col min="26" max="27" width="14.42578125" style="6" customWidth="1"/>
    <col min="28" max="33" width="14.42578125" style="5" customWidth="1"/>
    <col min="34" max="41" width="14.42578125" style="7" customWidth="1"/>
    <col min="42" max="45" width="14.42578125" style="53" customWidth="1"/>
    <col min="46" max="46" width="14.42578125" style="6" customWidth="1"/>
    <col min="47" max="47" width="14.42578125" style="5" customWidth="1"/>
    <col min="48" max="48" width="14.42578125" style="54" customWidth="1"/>
    <col min="49" max="58" width="14.42578125" style="55" customWidth="1"/>
    <col min="59" max="60" width="14.42578125" style="56" customWidth="1"/>
    <col min="61" max="63" width="14.42578125" style="53" customWidth="1"/>
    <col min="64" max="64" width="14.42578125" style="57" customWidth="1"/>
    <col min="65" max="76" width="14.42578125" style="58" customWidth="1"/>
    <col min="77" max="81" width="14.42578125" style="59" customWidth="1"/>
    <col min="82" max="99" width="14.42578125" style="7" customWidth="1"/>
    <col min="100" max="204" width="7.140625" style="7"/>
    <col min="205" max="16384" width="7.140625" style="8"/>
  </cols>
  <sheetData>
    <row r="1" spans="1:99" s="18" customFormat="1" ht="26.25" customHeight="1" x14ac:dyDescent="0.25">
      <c r="A1" s="563"/>
      <c r="B1" s="563"/>
      <c r="C1" s="563"/>
      <c r="D1" s="563"/>
      <c r="E1" s="563"/>
      <c r="F1" s="563"/>
      <c r="G1" s="563"/>
      <c r="H1" s="563"/>
      <c r="I1" s="563"/>
      <c r="J1" s="564"/>
      <c r="K1" s="565"/>
      <c r="L1" s="566"/>
      <c r="M1" s="567"/>
      <c r="N1" s="567"/>
      <c r="O1" s="567"/>
      <c r="P1" s="567"/>
      <c r="Q1" s="567"/>
      <c r="R1" s="567"/>
      <c r="S1" s="567"/>
      <c r="T1" s="567"/>
      <c r="U1" s="567"/>
      <c r="V1" s="567"/>
      <c r="W1" s="567"/>
      <c r="X1" s="567"/>
      <c r="Y1" s="568"/>
      <c r="Z1" s="562" t="s">
        <v>259</v>
      </c>
      <c r="AA1" s="562"/>
      <c r="AB1" s="562"/>
      <c r="AC1" s="562"/>
      <c r="AD1" s="573" t="s">
        <v>260</v>
      </c>
      <c r="AE1" s="574"/>
      <c r="AF1" s="574"/>
      <c r="AG1" s="574"/>
      <c r="AH1" s="574"/>
      <c r="AI1" s="574"/>
      <c r="AJ1" s="574"/>
      <c r="AK1" s="574"/>
      <c r="AL1" s="574"/>
      <c r="AM1" s="574"/>
      <c r="AN1" s="574"/>
      <c r="AO1" s="574"/>
      <c r="AP1" s="574"/>
      <c r="AQ1" s="574"/>
      <c r="AR1" s="574"/>
      <c r="AS1" s="575"/>
      <c r="AT1" s="576" t="s">
        <v>259</v>
      </c>
      <c r="AU1" s="576"/>
      <c r="AV1" s="576"/>
      <c r="AW1" s="577" t="s">
        <v>261</v>
      </c>
      <c r="AX1" s="577"/>
      <c r="AY1" s="577"/>
      <c r="AZ1" s="577"/>
      <c r="BA1" s="577"/>
      <c r="BB1" s="577"/>
      <c r="BC1" s="577"/>
      <c r="BD1" s="577"/>
      <c r="BE1" s="577"/>
      <c r="BF1" s="577"/>
      <c r="BG1" s="577"/>
      <c r="BH1" s="577"/>
      <c r="BI1" s="577"/>
      <c r="BJ1" s="577"/>
      <c r="BK1" s="577"/>
      <c r="BL1" s="581" t="s">
        <v>262</v>
      </c>
      <c r="BM1" s="582"/>
      <c r="BN1" s="583"/>
      <c r="BO1" s="557" t="s">
        <v>263</v>
      </c>
      <c r="BP1" s="558"/>
      <c r="BQ1" s="558"/>
      <c r="BR1" s="558"/>
      <c r="BS1" s="558"/>
      <c r="BT1" s="558"/>
      <c r="BU1" s="558"/>
      <c r="BV1" s="558"/>
      <c r="BW1" s="558"/>
      <c r="BX1" s="558"/>
      <c r="BY1" s="558"/>
      <c r="BZ1" s="558"/>
      <c r="CA1" s="558"/>
      <c r="CB1" s="558"/>
      <c r="CC1" s="558"/>
      <c r="CD1" s="581" t="s">
        <v>1917</v>
      </c>
      <c r="CE1" s="582"/>
      <c r="CF1" s="583"/>
      <c r="CG1" s="557" t="s">
        <v>1692</v>
      </c>
      <c r="CH1" s="558"/>
      <c r="CI1" s="558"/>
      <c r="CJ1" s="558"/>
      <c r="CK1" s="558"/>
      <c r="CL1" s="558"/>
      <c r="CM1" s="558"/>
      <c r="CN1" s="558"/>
      <c r="CO1" s="558"/>
      <c r="CP1" s="558"/>
      <c r="CQ1" s="558"/>
      <c r="CR1" s="558"/>
      <c r="CS1" s="558"/>
      <c r="CT1" s="558"/>
      <c r="CU1" s="558"/>
    </row>
    <row r="2" spans="1:99" s="18" customFormat="1" ht="60" customHeight="1" x14ac:dyDescent="0.25">
      <c r="A2" s="145" t="s">
        <v>14</v>
      </c>
      <c r="B2" s="145" t="s">
        <v>15</v>
      </c>
      <c r="C2" s="146" t="s">
        <v>18</v>
      </c>
      <c r="D2" s="146" t="s">
        <v>19</v>
      </c>
      <c r="E2" s="146" t="s">
        <v>20</v>
      </c>
      <c r="F2" s="146" t="s">
        <v>21</v>
      </c>
      <c r="G2" s="147" t="s">
        <v>22</v>
      </c>
      <c r="H2" s="146" t="s">
        <v>23</v>
      </c>
      <c r="I2" s="146" t="s">
        <v>24</v>
      </c>
      <c r="J2" s="148" t="s">
        <v>264</v>
      </c>
      <c r="K2" s="148" t="s">
        <v>265</v>
      </c>
      <c r="L2" s="149" t="s">
        <v>266</v>
      </c>
      <c r="M2" s="149" t="s">
        <v>267</v>
      </c>
      <c r="N2" s="149" t="s">
        <v>268</v>
      </c>
      <c r="O2" s="149" t="s">
        <v>269</v>
      </c>
      <c r="P2" s="149" t="s">
        <v>270</v>
      </c>
      <c r="Q2" s="149" t="s">
        <v>271</v>
      </c>
      <c r="R2" s="149" t="s">
        <v>272</v>
      </c>
      <c r="S2" s="149" t="s">
        <v>273</v>
      </c>
      <c r="T2" s="149" t="s">
        <v>274</v>
      </c>
      <c r="U2" s="149" t="s">
        <v>275</v>
      </c>
      <c r="V2" s="149" t="s">
        <v>276</v>
      </c>
      <c r="W2" s="149" t="s">
        <v>277</v>
      </c>
      <c r="X2" s="149" t="s">
        <v>278</v>
      </c>
      <c r="Y2" s="149" t="s">
        <v>279</v>
      </c>
      <c r="Z2" s="60" t="s">
        <v>280</v>
      </c>
      <c r="AA2" s="150" t="s">
        <v>281</v>
      </c>
      <c r="AB2" s="61" t="s">
        <v>282</v>
      </c>
      <c r="AC2" s="61" t="s">
        <v>283</v>
      </c>
      <c r="AD2" s="151" t="s">
        <v>284</v>
      </c>
      <c r="AE2" s="152" t="s">
        <v>285</v>
      </c>
      <c r="AF2" s="151" t="s">
        <v>286</v>
      </c>
      <c r="AG2" s="152" t="s">
        <v>287</v>
      </c>
      <c r="AH2" s="151" t="s">
        <v>288</v>
      </c>
      <c r="AI2" s="152" t="s">
        <v>289</v>
      </c>
      <c r="AJ2" s="151" t="s">
        <v>290</v>
      </c>
      <c r="AK2" s="152" t="s">
        <v>291</v>
      </c>
      <c r="AL2" s="151" t="s">
        <v>292</v>
      </c>
      <c r="AM2" s="152" t="s">
        <v>293</v>
      </c>
      <c r="AN2" s="151" t="s">
        <v>294</v>
      </c>
      <c r="AO2" s="152" t="s">
        <v>295</v>
      </c>
      <c r="AP2" s="152" t="s">
        <v>296</v>
      </c>
      <c r="AQ2" s="152" t="s">
        <v>297</v>
      </c>
      <c r="AR2" s="152" t="s">
        <v>298</v>
      </c>
      <c r="AS2" s="153" t="s">
        <v>299</v>
      </c>
      <c r="AT2" s="154" t="s">
        <v>300</v>
      </c>
      <c r="AU2" s="155" t="s">
        <v>301</v>
      </c>
      <c r="AV2" s="156" t="s">
        <v>302</v>
      </c>
      <c r="AW2" s="157" t="s">
        <v>284</v>
      </c>
      <c r="AX2" s="158" t="s">
        <v>285</v>
      </c>
      <c r="AY2" s="157" t="s">
        <v>286</v>
      </c>
      <c r="AZ2" s="158" t="s">
        <v>287</v>
      </c>
      <c r="BA2" s="157" t="s">
        <v>288</v>
      </c>
      <c r="BB2" s="158" t="s">
        <v>289</v>
      </c>
      <c r="BC2" s="157" t="s">
        <v>290</v>
      </c>
      <c r="BD2" s="158" t="s">
        <v>291</v>
      </c>
      <c r="BE2" s="157" t="s">
        <v>292</v>
      </c>
      <c r="BF2" s="158" t="s">
        <v>293</v>
      </c>
      <c r="BG2" s="157" t="s">
        <v>294</v>
      </c>
      <c r="BH2" s="158" t="s">
        <v>295</v>
      </c>
      <c r="BI2" s="158" t="s">
        <v>34</v>
      </c>
      <c r="BJ2" s="158" t="s">
        <v>297</v>
      </c>
      <c r="BK2" s="158" t="s">
        <v>298</v>
      </c>
      <c r="BL2" s="159" t="s">
        <v>303</v>
      </c>
      <c r="BM2" s="160" t="s">
        <v>304</v>
      </c>
      <c r="BN2" s="160" t="s">
        <v>305</v>
      </c>
      <c r="BO2" s="161" t="s">
        <v>284</v>
      </c>
      <c r="BP2" s="162" t="s">
        <v>285</v>
      </c>
      <c r="BQ2" s="161" t="s">
        <v>286</v>
      </c>
      <c r="BR2" s="162" t="s">
        <v>287</v>
      </c>
      <c r="BS2" s="161" t="s">
        <v>288</v>
      </c>
      <c r="BT2" s="162" t="s">
        <v>289</v>
      </c>
      <c r="BU2" s="161" t="s">
        <v>290</v>
      </c>
      <c r="BV2" s="162" t="s">
        <v>291</v>
      </c>
      <c r="BW2" s="161" t="s">
        <v>292</v>
      </c>
      <c r="BX2" s="162" t="s">
        <v>293</v>
      </c>
      <c r="BY2" s="161" t="s">
        <v>294</v>
      </c>
      <c r="BZ2" s="162" t="s">
        <v>295</v>
      </c>
      <c r="CA2" s="162" t="s">
        <v>306</v>
      </c>
      <c r="CB2" s="163" t="s">
        <v>297</v>
      </c>
      <c r="CC2" s="163" t="s">
        <v>298</v>
      </c>
      <c r="CD2" s="495" t="s">
        <v>1693</v>
      </c>
      <c r="CE2" s="496" t="s">
        <v>1694</v>
      </c>
      <c r="CF2" s="496" t="s">
        <v>1695</v>
      </c>
      <c r="CG2" s="497" t="s">
        <v>284</v>
      </c>
      <c r="CH2" s="498" t="s">
        <v>285</v>
      </c>
      <c r="CI2" s="497" t="s">
        <v>286</v>
      </c>
      <c r="CJ2" s="498" t="s">
        <v>287</v>
      </c>
      <c r="CK2" s="497" t="s">
        <v>288</v>
      </c>
      <c r="CL2" s="498" t="s">
        <v>289</v>
      </c>
      <c r="CM2" s="497" t="s">
        <v>290</v>
      </c>
      <c r="CN2" s="498" t="s">
        <v>291</v>
      </c>
      <c r="CO2" s="497" t="s">
        <v>292</v>
      </c>
      <c r="CP2" s="498" t="s">
        <v>293</v>
      </c>
      <c r="CQ2" s="497" t="s">
        <v>294</v>
      </c>
      <c r="CR2" s="498" t="s">
        <v>295</v>
      </c>
      <c r="CS2" s="498" t="s">
        <v>1696</v>
      </c>
      <c r="CT2" s="499" t="s">
        <v>297</v>
      </c>
      <c r="CU2" s="499" t="s">
        <v>298</v>
      </c>
    </row>
    <row r="3" spans="1:99" s="68" customFormat="1" x14ac:dyDescent="0.25">
      <c r="A3" s="490">
        <v>102</v>
      </c>
      <c r="B3" s="63" t="s">
        <v>42</v>
      </c>
      <c r="C3" s="490">
        <v>1147</v>
      </c>
      <c r="D3" s="63" t="s">
        <v>44</v>
      </c>
      <c r="E3" s="490">
        <v>2</v>
      </c>
      <c r="F3" s="559" t="s">
        <v>45</v>
      </c>
      <c r="G3" s="559">
        <v>30</v>
      </c>
      <c r="H3" s="559" t="s">
        <v>46</v>
      </c>
      <c r="I3" s="559" t="s">
        <v>47</v>
      </c>
      <c r="J3" s="560"/>
      <c r="K3" s="560"/>
      <c r="L3" s="166" t="s">
        <v>307</v>
      </c>
      <c r="M3" s="166" t="s">
        <v>48</v>
      </c>
      <c r="N3" s="166" t="s">
        <v>308</v>
      </c>
      <c r="O3" s="166" t="s">
        <v>309</v>
      </c>
      <c r="P3" s="180">
        <v>41610</v>
      </c>
      <c r="Q3" s="180">
        <v>41673</v>
      </c>
      <c r="R3" s="166" t="s">
        <v>310</v>
      </c>
      <c r="S3" s="166" t="s">
        <v>311</v>
      </c>
      <c r="T3" s="166" t="s">
        <v>312</v>
      </c>
      <c r="U3" s="166" t="s">
        <v>313</v>
      </c>
      <c r="V3" s="166">
        <v>830029017</v>
      </c>
      <c r="W3" s="174"/>
      <c r="X3" s="166" t="s">
        <v>315</v>
      </c>
      <c r="Y3" s="166"/>
      <c r="Z3" s="174">
        <v>622</v>
      </c>
      <c r="AA3" s="175">
        <v>202000000</v>
      </c>
      <c r="AB3" s="174">
        <v>837</v>
      </c>
      <c r="AC3" s="175">
        <v>138500000</v>
      </c>
      <c r="AD3" s="175">
        <v>0</v>
      </c>
      <c r="AE3" s="175">
        <v>0</v>
      </c>
      <c r="AF3" s="175">
        <v>0</v>
      </c>
      <c r="AG3" s="175">
        <v>0</v>
      </c>
      <c r="AH3" s="175">
        <v>0</v>
      </c>
      <c r="AI3" s="175">
        <v>0</v>
      </c>
      <c r="AJ3" s="175">
        <v>0</v>
      </c>
      <c r="AK3" s="175">
        <v>0</v>
      </c>
      <c r="AL3" s="175">
        <v>0</v>
      </c>
      <c r="AM3" s="175">
        <v>0</v>
      </c>
      <c r="AN3" s="175">
        <v>0</v>
      </c>
      <c r="AO3" s="175">
        <v>0</v>
      </c>
      <c r="AP3" s="175">
        <f>SUM(AD3:AO3)</f>
        <v>0</v>
      </c>
      <c r="AQ3" s="175">
        <f>+AC3-AP3</f>
        <v>138500000</v>
      </c>
      <c r="AR3" s="176">
        <f>AP3/AC3</f>
        <v>0</v>
      </c>
      <c r="AS3" s="176"/>
      <c r="AT3" s="174">
        <v>57</v>
      </c>
      <c r="AU3" s="174">
        <v>64</v>
      </c>
      <c r="AV3" s="175">
        <v>138500000</v>
      </c>
      <c r="AW3" s="174">
        <v>0</v>
      </c>
      <c r="AX3" s="174">
        <v>0</v>
      </c>
      <c r="AY3" s="174">
        <v>0</v>
      </c>
      <c r="AZ3" s="174">
        <v>0</v>
      </c>
      <c r="BA3" s="174">
        <v>138500000</v>
      </c>
      <c r="BB3" s="174">
        <v>0</v>
      </c>
      <c r="BC3" s="174">
        <v>0</v>
      </c>
      <c r="BD3" s="174">
        <v>0</v>
      </c>
      <c r="BE3" s="174">
        <v>0</v>
      </c>
      <c r="BF3" s="174">
        <v>0</v>
      </c>
      <c r="BG3" s="174">
        <v>0</v>
      </c>
      <c r="BH3" s="174">
        <v>0</v>
      </c>
      <c r="BI3" s="175">
        <f t="shared" ref="BI3:BI34" si="0">SUM(AW3:BH3)</f>
        <v>138500000</v>
      </c>
      <c r="BJ3" s="175">
        <f t="shared" ref="BJ3:BJ34" si="1">+AV3-BI3</f>
        <v>0</v>
      </c>
      <c r="BK3" s="176">
        <f>+BI3/AV3</f>
        <v>1</v>
      </c>
      <c r="BL3" s="170"/>
      <c r="BM3" s="171"/>
      <c r="BN3" s="172"/>
      <c r="BO3" s="172"/>
      <c r="BP3" s="172"/>
      <c r="BQ3" s="172"/>
      <c r="BR3" s="172"/>
      <c r="BS3" s="172"/>
      <c r="BT3" s="172"/>
      <c r="BU3" s="172"/>
      <c r="BV3" s="172"/>
      <c r="BW3" s="172"/>
      <c r="BX3" s="172"/>
      <c r="BY3" s="172"/>
      <c r="BZ3" s="172"/>
      <c r="CA3" s="172">
        <f t="shared" ref="CA3" si="2">SUM(BO3:BZ3)</f>
        <v>0</v>
      </c>
      <c r="CB3" s="172">
        <f t="shared" ref="CB3" si="3">+BN3-CA3</f>
        <v>0</v>
      </c>
      <c r="CC3" s="494" t="e">
        <f t="shared" ref="CC3" si="4">+CA3/BN3</f>
        <v>#DIV/0!</v>
      </c>
      <c r="CD3" s="192"/>
      <c r="CE3" s="192"/>
      <c r="CF3" s="172"/>
      <c r="CG3" s="172"/>
      <c r="CH3" s="172"/>
      <c r="CI3" s="172"/>
      <c r="CJ3" s="172"/>
      <c r="CK3" s="172"/>
      <c r="CL3" s="172"/>
      <c r="CM3" s="172"/>
      <c r="CN3" s="172"/>
      <c r="CO3" s="172"/>
      <c r="CP3" s="172"/>
      <c r="CQ3" s="172"/>
      <c r="CR3" s="172"/>
      <c r="CS3" s="172">
        <v>1232312</v>
      </c>
      <c r="CT3" s="172">
        <v>0</v>
      </c>
      <c r="CU3" s="192" t="e">
        <v>#DIV/0!</v>
      </c>
    </row>
    <row r="4" spans="1:99" s="68" customFormat="1" x14ac:dyDescent="0.25">
      <c r="A4" s="490">
        <v>102</v>
      </c>
      <c r="B4" s="63" t="s">
        <v>42</v>
      </c>
      <c r="C4" s="490">
        <v>1147</v>
      </c>
      <c r="D4" s="63" t="s">
        <v>44</v>
      </c>
      <c r="E4" s="490">
        <v>2</v>
      </c>
      <c r="F4" s="559"/>
      <c r="G4" s="559"/>
      <c r="H4" s="559"/>
      <c r="I4" s="559"/>
      <c r="J4" s="561"/>
      <c r="K4" s="561"/>
      <c r="L4" s="166" t="s">
        <v>307</v>
      </c>
      <c r="M4" s="166" t="s">
        <v>48</v>
      </c>
      <c r="N4" s="166" t="s">
        <v>308</v>
      </c>
      <c r="O4" s="166" t="s">
        <v>309</v>
      </c>
      <c r="P4" s="180">
        <v>41610</v>
      </c>
      <c r="Q4" s="174"/>
      <c r="R4" s="166" t="s">
        <v>310</v>
      </c>
      <c r="S4" s="166" t="s">
        <v>316</v>
      </c>
      <c r="T4" s="166" t="s">
        <v>312</v>
      </c>
      <c r="U4" s="166" t="s">
        <v>317</v>
      </c>
      <c r="V4" s="166">
        <v>800026452</v>
      </c>
      <c r="W4" s="174"/>
      <c r="X4" s="174"/>
      <c r="Y4" s="166"/>
      <c r="Z4" s="174">
        <v>622</v>
      </c>
      <c r="AA4" s="175">
        <v>202000000</v>
      </c>
      <c r="AB4" s="174">
        <v>835</v>
      </c>
      <c r="AC4" s="175">
        <v>50051992</v>
      </c>
      <c r="AD4" s="175">
        <v>0</v>
      </c>
      <c r="AE4" s="175">
        <v>0</v>
      </c>
      <c r="AF4" s="175">
        <v>0</v>
      </c>
      <c r="AG4" s="175">
        <v>0</v>
      </c>
      <c r="AH4" s="175">
        <v>0</v>
      </c>
      <c r="AI4" s="175">
        <v>0</v>
      </c>
      <c r="AJ4" s="175">
        <v>0</v>
      </c>
      <c r="AK4" s="175">
        <v>0</v>
      </c>
      <c r="AL4" s="175">
        <v>0</v>
      </c>
      <c r="AM4" s="175">
        <v>0</v>
      </c>
      <c r="AN4" s="175">
        <v>0</v>
      </c>
      <c r="AO4" s="175">
        <v>0</v>
      </c>
      <c r="AP4" s="175">
        <f>SUM(AD4:AO4)</f>
        <v>0</v>
      </c>
      <c r="AQ4" s="175">
        <f>+AC4-AP4</f>
        <v>50051992</v>
      </c>
      <c r="AR4" s="176">
        <f>AP4/AC4</f>
        <v>0</v>
      </c>
      <c r="AS4" s="176"/>
      <c r="AT4" s="174">
        <v>56</v>
      </c>
      <c r="AU4" s="174">
        <v>63</v>
      </c>
      <c r="AV4" s="175">
        <v>50051992</v>
      </c>
      <c r="AW4" s="174">
        <v>0</v>
      </c>
      <c r="AX4" s="174">
        <v>0</v>
      </c>
      <c r="AY4" s="174">
        <v>0</v>
      </c>
      <c r="AZ4" s="174">
        <v>0</v>
      </c>
      <c r="BA4" s="174">
        <v>50051992</v>
      </c>
      <c r="BB4" s="174">
        <v>0</v>
      </c>
      <c r="BC4" s="174">
        <v>0</v>
      </c>
      <c r="BD4" s="174">
        <v>0</v>
      </c>
      <c r="BE4" s="174">
        <v>0</v>
      </c>
      <c r="BF4" s="174">
        <v>0</v>
      </c>
      <c r="BG4" s="174">
        <v>0</v>
      </c>
      <c r="BH4" s="174">
        <v>0</v>
      </c>
      <c r="BI4" s="175">
        <f t="shared" si="0"/>
        <v>50051992</v>
      </c>
      <c r="BJ4" s="175">
        <f t="shared" si="1"/>
        <v>0</v>
      </c>
      <c r="BK4" s="176">
        <f>+BI4/AV4</f>
        <v>1</v>
      </c>
      <c r="BL4" s="170"/>
      <c r="BM4" s="171"/>
      <c r="BN4" s="172"/>
      <c r="BO4" s="172"/>
      <c r="BP4" s="172"/>
      <c r="BQ4" s="172"/>
      <c r="BR4" s="172"/>
      <c r="BS4" s="172"/>
      <c r="BT4" s="172"/>
      <c r="BU4" s="172"/>
      <c r="BV4" s="172"/>
      <c r="BW4" s="172"/>
      <c r="BX4" s="172"/>
      <c r="BY4" s="172"/>
      <c r="BZ4" s="172"/>
      <c r="CA4" s="172">
        <f t="shared" ref="CA4:CA67" si="5">SUM(BO4:BZ4)</f>
        <v>0</v>
      </c>
      <c r="CB4" s="172">
        <f t="shared" ref="CB4:CB67" si="6">+BN4-CA4</f>
        <v>0</v>
      </c>
      <c r="CC4" s="494" t="e">
        <f t="shared" ref="CC4:CC67" si="7">+CA4/BN4</f>
        <v>#DIV/0!</v>
      </c>
      <c r="CD4" s="192"/>
      <c r="CE4" s="192"/>
      <c r="CF4" s="172"/>
      <c r="CG4" s="172"/>
      <c r="CH4" s="172"/>
      <c r="CI4" s="172"/>
      <c r="CJ4" s="172"/>
      <c r="CK4" s="172"/>
      <c r="CL4" s="172"/>
      <c r="CM4" s="172"/>
      <c r="CN4" s="172"/>
      <c r="CO4" s="172"/>
      <c r="CP4" s="172"/>
      <c r="CQ4" s="172"/>
      <c r="CR4" s="172"/>
      <c r="CS4" s="172">
        <v>0</v>
      </c>
      <c r="CT4" s="172">
        <v>0</v>
      </c>
      <c r="CU4" s="192" t="e">
        <v>#DIV/0!</v>
      </c>
    </row>
    <row r="5" spans="1:99" s="68" customFormat="1" x14ac:dyDescent="0.25">
      <c r="A5" s="490">
        <v>102</v>
      </c>
      <c r="B5" s="63" t="s">
        <v>42</v>
      </c>
      <c r="C5" s="490">
        <v>1147</v>
      </c>
      <c r="D5" s="63" t="s">
        <v>44</v>
      </c>
      <c r="E5" s="490">
        <v>2</v>
      </c>
      <c r="F5" s="559"/>
      <c r="G5" s="559"/>
      <c r="H5" s="559"/>
      <c r="I5" s="559"/>
      <c r="J5" s="561"/>
      <c r="K5" s="561"/>
      <c r="L5" s="166"/>
      <c r="M5" s="166"/>
      <c r="N5" s="173"/>
      <c r="O5" s="166"/>
      <c r="P5" s="174"/>
      <c r="Q5" s="174"/>
      <c r="R5" s="174"/>
      <c r="S5" s="166"/>
      <c r="T5" s="174"/>
      <c r="U5" s="166"/>
      <c r="V5" s="174"/>
      <c r="W5" s="174"/>
      <c r="X5" s="174"/>
      <c r="Y5" s="166"/>
      <c r="Z5" s="174"/>
      <c r="AA5" s="175"/>
      <c r="AB5" s="174"/>
      <c r="AC5" s="175"/>
      <c r="AD5" s="175"/>
      <c r="AE5" s="175"/>
      <c r="AF5" s="175"/>
      <c r="AG5" s="175"/>
      <c r="AH5" s="175"/>
      <c r="AI5" s="175"/>
      <c r="AJ5" s="175"/>
      <c r="AK5" s="175"/>
      <c r="AL5" s="175"/>
      <c r="AM5" s="175"/>
      <c r="AN5" s="175"/>
      <c r="AO5" s="175"/>
      <c r="AP5" s="175"/>
      <c r="AQ5" s="175"/>
      <c r="AR5" s="176"/>
      <c r="AS5" s="176"/>
      <c r="AT5" s="174"/>
      <c r="AU5" s="174"/>
      <c r="AV5" s="175"/>
      <c r="AW5" s="174"/>
      <c r="AX5" s="174"/>
      <c r="AY5" s="174"/>
      <c r="AZ5" s="174"/>
      <c r="BA5" s="174"/>
      <c r="BB5" s="174"/>
      <c r="BC5" s="174"/>
      <c r="BD5" s="174"/>
      <c r="BE5" s="174"/>
      <c r="BF5" s="174"/>
      <c r="BG5" s="174"/>
      <c r="BH5" s="174"/>
      <c r="BI5" s="175">
        <f t="shared" si="0"/>
        <v>0</v>
      </c>
      <c r="BJ5" s="175">
        <f t="shared" si="1"/>
        <v>0</v>
      </c>
      <c r="BK5" s="176"/>
      <c r="BL5" s="170"/>
      <c r="BM5" s="171"/>
      <c r="BN5" s="172"/>
      <c r="BO5" s="172"/>
      <c r="BP5" s="172"/>
      <c r="BQ5" s="172"/>
      <c r="BR5" s="172"/>
      <c r="BS5" s="172"/>
      <c r="BT5" s="172"/>
      <c r="BU5" s="172"/>
      <c r="BV5" s="172"/>
      <c r="BW5" s="172"/>
      <c r="BX5" s="172"/>
      <c r="BY5" s="172"/>
      <c r="BZ5" s="172"/>
      <c r="CA5" s="172">
        <f t="shared" si="5"/>
        <v>0</v>
      </c>
      <c r="CB5" s="172">
        <f t="shared" si="6"/>
        <v>0</v>
      </c>
      <c r="CC5" s="494" t="e">
        <f t="shared" si="7"/>
        <v>#DIV/0!</v>
      </c>
      <c r="CD5" s="192"/>
      <c r="CE5" s="192"/>
      <c r="CF5" s="172"/>
      <c r="CG5" s="172"/>
      <c r="CH5" s="172"/>
      <c r="CI5" s="172"/>
      <c r="CJ5" s="172"/>
      <c r="CK5" s="172"/>
      <c r="CL5" s="172"/>
      <c r="CM5" s="172"/>
      <c r="CN5" s="172"/>
      <c r="CO5" s="172"/>
      <c r="CP5" s="172"/>
      <c r="CQ5" s="172"/>
      <c r="CR5" s="172"/>
      <c r="CS5" s="172">
        <v>0</v>
      </c>
      <c r="CT5" s="172">
        <v>0</v>
      </c>
      <c r="CU5" s="192" t="e">
        <v>#DIV/0!</v>
      </c>
    </row>
    <row r="6" spans="1:99" s="68" customFormat="1" x14ac:dyDescent="0.25">
      <c r="A6" s="491">
        <v>103</v>
      </c>
      <c r="B6" s="65" t="s">
        <v>51</v>
      </c>
      <c r="C6" s="491">
        <v>1147</v>
      </c>
      <c r="D6" s="65" t="s">
        <v>44</v>
      </c>
      <c r="E6" s="491">
        <v>1</v>
      </c>
      <c r="F6" s="584" t="s">
        <v>53</v>
      </c>
      <c r="G6" s="584">
        <v>2000</v>
      </c>
      <c r="H6" s="584" t="s">
        <v>54</v>
      </c>
      <c r="I6" s="584" t="s">
        <v>55</v>
      </c>
      <c r="J6" s="578"/>
      <c r="K6" s="578"/>
      <c r="L6" s="166" t="s">
        <v>318</v>
      </c>
      <c r="M6" s="166" t="s">
        <v>48</v>
      </c>
      <c r="N6" s="166" t="s">
        <v>319</v>
      </c>
      <c r="O6" s="166" t="s">
        <v>320</v>
      </c>
      <c r="P6" s="180">
        <v>41635</v>
      </c>
      <c r="Q6" s="180">
        <v>41663</v>
      </c>
      <c r="R6" s="166" t="s">
        <v>321</v>
      </c>
      <c r="S6" s="166">
        <v>105</v>
      </c>
      <c r="T6" s="166" t="s">
        <v>322</v>
      </c>
      <c r="U6" s="166" t="s">
        <v>323</v>
      </c>
      <c r="V6" s="166">
        <v>52233394</v>
      </c>
      <c r="W6" s="174"/>
      <c r="X6" s="166" t="s">
        <v>315</v>
      </c>
      <c r="Y6" s="166"/>
      <c r="Z6" s="174">
        <v>883</v>
      </c>
      <c r="AA6" s="175">
        <v>16480000</v>
      </c>
      <c r="AB6" s="174">
        <v>891</v>
      </c>
      <c r="AC6" s="175">
        <v>11000000</v>
      </c>
      <c r="AD6" s="175">
        <v>0</v>
      </c>
      <c r="AE6" s="175">
        <v>0</v>
      </c>
      <c r="AF6" s="175">
        <v>0</v>
      </c>
      <c r="AG6" s="175">
        <v>0</v>
      </c>
      <c r="AH6" s="175">
        <v>0</v>
      </c>
      <c r="AI6" s="175">
        <v>0</v>
      </c>
      <c r="AJ6" s="175">
        <v>0</v>
      </c>
      <c r="AK6" s="175">
        <v>0</v>
      </c>
      <c r="AL6" s="175">
        <v>0</v>
      </c>
      <c r="AM6" s="175">
        <v>0</v>
      </c>
      <c r="AN6" s="175">
        <v>0</v>
      </c>
      <c r="AO6" s="175">
        <v>0</v>
      </c>
      <c r="AP6" s="175">
        <f>SUM(AD6:AO6)</f>
        <v>0</v>
      </c>
      <c r="AQ6" s="175">
        <f>+AC6-AP6</f>
        <v>11000000</v>
      </c>
      <c r="AR6" s="176">
        <f>AP6/AC6</f>
        <v>0</v>
      </c>
      <c r="AS6" s="176"/>
      <c r="AT6" s="174">
        <v>58</v>
      </c>
      <c r="AU6" s="174">
        <v>65</v>
      </c>
      <c r="AV6" s="175">
        <v>11000000</v>
      </c>
      <c r="AW6" s="174">
        <v>0</v>
      </c>
      <c r="AX6" s="174">
        <v>0</v>
      </c>
      <c r="AY6" s="174">
        <v>0</v>
      </c>
      <c r="AZ6" s="174">
        <v>0</v>
      </c>
      <c r="BA6" s="174">
        <v>0</v>
      </c>
      <c r="BB6" s="174">
        <v>4125000</v>
      </c>
      <c r="BC6" s="174">
        <v>0</v>
      </c>
      <c r="BD6" s="174">
        <v>2750000</v>
      </c>
      <c r="BE6" s="174">
        <v>1375000</v>
      </c>
      <c r="BF6" s="174">
        <v>0</v>
      </c>
      <c r="BG6" s="174">
        <v>1375000</v>
      </c>
      <c r="BH6" s="174">
        <v>0</v>
      </c>
      <c r="BI6" s="175">
        <f t="shared" si="0"/>
        <v>9625000</v>
      </c>
      <c r="BJ6" s="175">
        <f t="shared" si="1"/>
        <v>1375000</v>
      </c>
      <c r="BK6" s="176">
        <f>+BI6/AV6</f>
        <v>0.875</v>
      </c>
      <c r="BL6" s="170">
        <v>11</v>
      </c>
      <c r="BM6" s="170">
        <v>8</v>
      </c>
      <c r="BN6" s="170">
        <v>1375000</v>
      </c>
      <c r="BO6" s="170">
        <v>0</v>
      </c>
      <c r="BP6" s="170">
        <v>0</v>
      </c>
      <c r="BQ6" s="170">
        <v>0</v>
      </c>
      <c r="BR6" s="170">
        <v>0</v>
      </c>
      <c r="BS6" s="172">
        <v>0</v>
      </c>
      <c r="BT6" s="172">
        <v>1375000</v>
      </c>
      <c r="BU6" s="172">
        <v>0</v>
      </c>
      <c r="BV6" s="172">
        <v>0</v>
      </c>
      <c r="BW6" s="172">
        <v>0</v>
      </c>
      <c r="BX6" s="172">
        <v>0</v>
      </c>
      <c r="BY6" s="172">
        <v>0</v>
      </c>
      <c r="BZ6" s="172">
        <v>0</v>
      </c>
      <c r="CA6" s="172">
        <f t="shared" si="5"/>
        <v>1375000</v>
      </c>
      <c r="CB6" s="172">
        <f t="shared" si="6"/>
        <v>0</v>
      </c>
      <c r="CC6" s="494">
        <f t="shared" si="7"/>
        <v>1</v>
      </c>
      <c r="CD6" s="192"/>
      <c r="CE6" s="192"/>
      <c r="CF6" s="172"/>
      <c r="CG6" s="172"/>
      <c r="CH6" s="172"/>
      <c r="CI6" s="172"/>
      <c r="CJ6" s="172"/>
      <c r="CK6" s="172"/>
      <c r="CL6" s="172"/>
      <c r="CM6" s="172"/>
      <c r="CN6" s="172"/>
      <c r="CO6" s="172"/>
      <c r="CP6" s="172"/>
      <c r="CQ6" s="172"/>
      <c r="CR6" s="172"/>
      <c r="CS6" s="172">
        <v>0</v>
      </c>
      <c r="CT6" s="172">
        <v>0</v>
      </c>
      <c r="CU6" s="192" t="e">
        <v>#DIV/0!</v>
      </c>
    </row>
    <row r="7" spans="1:99" s="68" customFormat="1" x14ac:dyDescent="0.25">
      <c r="A7" s="491">
        <v>103</v>
      </c>
      <c r="B7" s="65" t="s">
        <v>51</v>
      </c>
      <c r="C7" s="491">
        <v>1147</v>
      </c>
      <c r="D7" s="65" t="s">
        <v>44</v>
      </c>
      <c r="E7" s="491">
        <v>1</v>
      </c>
      <c r="F7" s="584"/>
      <c r="G7" s="584"/>
      <c r="H7" s="584"/>
      <c r="I7" s="584"/>
      <c r="J7" s="579"/>
      <c r="K7" s="579"/>
      <c r="L7" s="166" t="s">
        <v>324</v>
      </c>
      <c r="M7" s="166" t="s">
        <v>48</v>
      </c>
      <c r="N7" s="166" t="s">
        <v>319</v>
      </c>
      <c r="O7" s="166" t="s">
        <v>325</v>
      </c>
      <c r="P7" s="180">
        <v>41586</v>
      </c>
      <c r="Q7" s="180">
        <v>41663</v>
      </c>
      <c r="R7" s="166" t="s">
        <v>321</v>
      </c>
      <c r="S7" s="166" t="e">
        <f>VLOOKUP(AB7,,5,0)</f>
        <v>#N/A</v>
      </c>
      <c r="T7" s="166" t="s">
        <v>326</v>
      </c>
      <c r="U7" s="166" t="s">
        <v>327</v>
      </c>
      <c r="V7" s="166">
        <v>830077644</v>
      </c>
      <c r="W7" s="174"/>
      <c r="X7" s="166" t="s">
        <v>315</v>
      </c>
      <c r="Y7" s="166"/>
      <c r="Z7" s="174">
        <v>791</v>
      </c>
      <c r="AA7" s="175">
        <v>236000000</v>
      </c>
      <c r="AB7" s="174">
        <v>784</v>
      </c>
      <c r="AC7" s="175">
        <v>236000000</v>
      </c>
      <c r="AD7" s="175">
        <v>0</v>
      </c>
      <c r="AE7" s="175">
        <v>0</v>
      </c>
      <c r="AF7" s="175">
        <v>0</v>
      </c>
      <c r="AG7" s="175">
        <v>0</v>
      </c>
      <c r="AH7" s="175">
        <v>0</v>
      </c>
      <c r="AI7" s="175">
        <v>0</v>
      </c>
      <c r="AJ7" s="175">
        <v>0</v>
      </c>
      <c r="AK7" s="175">
        <v>0</v>
      </c>
      <c r="AL7" s="175">
        <v>0</v>
      </c>
      <c r="AM7" s="175">
        <v>0</v>
      </c>
      <c r="AN7" s="175">
        <v>0</v>
      </c>
      <c r="AO7" s="175">
        <v>0</v>
      </c>
      <c r="AP7" s="175">
        <f>SUM(AD7:AO7)</f>
        <v>0</v>
      </c>
      <c r="AQ7" s="175">
        <f>+AC7-AP7</f>
        <v>236000000</v>
      </c>
      <c r="AR7" s="176">
        <f>AP7/AC7</f>
        <v>0</v>
      </c>
      <c r="AS7" s="176"/>
      <c r="AT7" s="174">
        <v>55</v>
      </c>
      <c r="AU7" s="174">
        <v>62</v>
      </c>
      <c r="AV7" s="175">
        <v>236000000</v>
      </c>
      <c r="AW7" s="174">
        <v>0</v>
      </c>
      <c r="AX7" s="174">
        <v>0</v>
      </c>
      <c r="AY7" s="174">
        <v>0</v>
      </c>
      <c r="AZ7" s="174">
        <v>0</v>
      </c>
      <c r="BA7" s="174">
        <v>0</v>
      </c>
      <c r="BB7" s="174">
        <v>51134787</v>
      </c>
      <c r="BC7" s="174">
        <v>0</v>
      </c>
      <c r="BD7" s="174">
        <v>33416181</v>
      </c>
      <c r="BE7" s="174">
        <v>30914312</v>
      </c>
      <c r="BF7" s="174">
        <v>0</v>
      </c>
      <c r="BG7" s="174">
        <v>19580099</v>
      </c>
      <c r="BH7" s="174">
        <v>0</v>
      </c>
      <c r="BI7" s="175">
        <f t="shared" si="0"/>
        <v>135045379</v>
      </c>
      <c r="BJ7" s="175">
        <f t="shared" si="1"/>
        <v>100954621</v>
      </c>
      <c r="BK7" s="176">
        <f>+BI7/AV7</f>
        <v>0.57222618220338983</v>
      </c>
      <c r="BL7" s="170">
        <v>10</v>
      </c>
      <c r="BM7" s="170">
        <v>323</v>
      </c>
      <c r="BN7" s="170">
        <v>100954621</v>
      </c>
      <c r="BO7" s="170">
        <v>0</v>
      </c>
      <c r="BP7" s="170">
        <v>0</v>
      </c>
      <c r="BQ7" s="170">
        <v>0</v>
      </c>
      <c r="BR7" s="170">
        <v>0</v>
      </c>
      <c r="BS7" s="172">
        <v>0</v>
      </c>
      <c r="BT7" s="172">
        <v>100954621</v>
      </c>
      <c r="BU7" s="172">
        <v>0</v>
      </c>
      <c r="BV7" s="172">
        <v>0</v>
      </c>
      <c r="BW7" s="172">
        <v>0</v>
      </c>
      <c r="BX7" s="172">
        <v>0</v>
      </c>
      <c r="BY7" s="172">
        <v>0</v>
      </c>
      <c r="BZ7" s="172">
        <v>0</v>
      </c>
      <c r="CA7" s="172">
        <f t="shared" si="5"/>
        <v>100954621</v>
      </c>
      <c r="CB7" s="172">
        <f t="shared" si="6"/>
        <v>0</v>
      </c>
      <c r="CC7" s="494">
        <f t="shared" si="7"/>
        <v>1</v>
      </c>
      <c r="CD7" s="192"/>
      <c r="CE7" s="192"/>
      <c r="CF7" s="172"/>
      <c r="CG7" s="172"/>
      <c r="CH7" s="172"/>
      <c r="CI7" s="172"/>
      <c r="CJ7" s="172"/>
      <c r="CK7" s="172"/>
      <c r="CL7" s="172"/>
      <c r="CM7" s="172"/>
      <c r="CN7" s="172"/>
      <c r="CO7" s="172"/>
      <c r="CP7" s="172"/>
      <c r="CQ7" s="172"/>
      <c r="CR7" s="172"/>
      <c r="CS7" s="172">
        <v>0</v>
      </c>
      <c r="CT7" s="172">
        <v>0</v>
      </c>
      <c r="CU7" s="192" t="e">
        <v>#DIV/0!</v>
      </c>
    </row>
    <row r="8" spans="1:99" s="68" customFormat="1" x14ac:dyDescent="0.25">
      <c r="A8" s="491">
        <v>103</v>
      </c>
      <c r="B8" s="65" t="s">
        <v>51</v>
      </c>
      <c r="C8" s="491">
        <v>1147</v>
      </c>
      <c r="D8" s="65" t="s">
        <v>44</v>
      </c>
      <c r="E8" s="491">
        <v>1</v>
      </c>
      <c r="F8" s="584"/>
      <c r="G8" s="584"/>
      <c r="H8" s="584"/>
      <c r="I8" s="584"/>
      <c r="J8" s="580"/>
      <c r="K8" s="580"/>
      <c r="L8" s="177"/>
      <c r="M8" s="166"/>
      <c r="N8" s="173"/>
      <c r="O8" s="166"/>
      <c r="P8" s="173"/>
      <c r="Q8" s="173"/>
      <c r="R8" s="173"/>
      <c r="S8" s="166"/>
      <c r="T8" s="173"/>
      <c r="U8" s="166"/>
      <c r="V8" s="173"/>
      <c r="W8" s="174"/>
      <c r="X8" s="174"/>
      <c r="Y8" s="166"/>
      <c r="Z8" s="174"/>
      <c r="AA8" s="175"/>
      <c r="AB8" s="174"/>
      <c r="AC8" s="175"/>
      <c r="AD8" s="175"/>
      <c r="AE8" s="175"/>
      <c r="AF8" s="175"/>
      <c r="AG8" s="175"/>
      <c r="AH8" s="175"/>
      <c r="AI8" s="175"/>
      <c r="AJ8" s="175"/>
      <c r="AK8" s="175"/>
      <c r="AL8" s="175"/>
      <c r="AM8" s="175"/>
      <c r="AN8" s="175"/>
      <c r="AO8" s="175"/>
      <c r="AP8" s="175"/>
      <c r="AQ8" s="175"/>
      <c r="AR8" s="176"/>
      <c r="AS8" s="176"/>
      <c r="AT8" s="174"/>
      <c r="AU8" s="174"/>
      <c r="AV8" s="175"/>
      <c r="AW8" s="174"/>
      <c r="AX8" s="174"/>
      <c r="AY8" s="174"/>
      <c r="AZ8" s="174"/>
      <c r="BA8" s="174"/>
      <c r="BB8" s="174"/>
      <c r="BC8" s="174"/>
      <c r="BD8" s="174"/>
      <c r="BE8" s="174"/>
      <c r="BF8" s="174"/>
      <c r="BG8" s="174"/>
      <c r="BH8" s="174"/>
      <c r="BI8" s="175">
        <f t="shared" si="0"/>
        <v>0</v>
      </c>
      <c r="BJ8" s="175">
        <f t="shared" si="1"/>
        <v>0</v>
      </c>
      <c r="BK8" s="176"/>
      <c r="BL8" s="170"/>
      <c r="BM8" s="170"/>
      <c r="BN8" s="170"/>
      <c r="BO8" s="170"/>
      <c r="BP8" s="170"/>
      <c r="BQ8" s="170"/>
      <c r="BR8" s="170"/>
      <c r="BS8" s="172"/>
      <c r="BT8" s="172"/>
      <c r="BU8" s="172"/>
      <c r="BV8" s="172"/>
      <c r="BW8" s="172"/>
      <c r="BX8" s="172"/>
      <c r="BY8" s="172"/>
      <c r="BZ8" s="172"/>
      <c r="CA8" s="172">
        <f t="shared" si="5"/>
        <v>0</v>
      </c>
      <c r="CB8" s="172">
        <f t="shared" si="6"/>
        <v>0</v>
      </c>
      <c r="CC8" s="494" t="e">
        <f t="shared" si="7"/>
        <v>#DIV/0!</v>
      </c>
      <c r="CD8" s="192"/>
      <c r="CE8" s="192"/>
      <c r="CF8" s="172"/>
      <c r="CG8" s="172"/>
      <c r="CH8" s="172"/>
      <c r="CI8" s="172"/>
      <c r="CJ8" s="172"/>
      <c r="CK8" s="172"/>
      <c r="CL8" s="172"/>
      <c r="CM8" s="172"/>
      <c r="CN8" s="172"/>
      <c r="CO8" s="172"/>
      <c r="CP8" s="172"/>
      <c r="CQ8" s="172"/>
      <c r="CR8" s="172"/>
      <c r="CS8" s="172">
        <v>0</v>
      </c>
      <c r="CT8" s="172">
        <v>0</v>
      </c>
      <c r="CU8" s="192" t="e">
        <v>#DIV/0!</v>
      </c>
    </row>
    <row r="9" spans="1:99" s="500" customFormat="1" ht="13.5" customHeight="1" x14ac:dyDescent="0.25">
      <c r="A9" s="493">
        <v>104</v>
      </c>
      <c r="B9" s="67" t="s">
        <v>58</v>
      </c>
      <c r="C9" s="493">
        <v>1149</v>
      </c>
      <c r="D9" s="67" t="s">
        <v>60</v>
      </c>
      <c r="E9" s="493">
        <v>1</v>
      </c>
      <c r="F9" s="569" t="s">
        <v>53</v>
      </c>
      <c r="G9" s="569">
        <v>12000</v>
      </c>
      <c r="H9" s="569" t="s">
        <v>61</v>
      </c>
      <c r="I9" s="569" t="s">
        <v>62</v>
      </c>
      <c r="J9" s="571"/>
      <c r="K9" s="571"/>
      <c r="L9" s="166" t="s">
        <v>328</v>
      </c>
      <c r="M9" s="166" t="s">
        <v>63</v>
      </c>
      <c r="N9" s="166" t="s">
        <v>329</v>
      </c>
      <c r="O9" s="166" t="s">
        <v>320</v>
      </c>
      <c r="P9" s="180">
        <v>41334</v>
      </c>
      <c r="Q9" s="180">
        <v>41337</v>
      </c>
      <c r="R9" s="179" t="s">
        <v>330</v>
      </c>
      <c r="S9" s="179" t="s">
        <v>331</v>
      </c>
      <c r="T9" s="181" t="s">
        <v>332</v>
      </c>
      <c r="U9" s="166" t="s">
        <v>333</v>
      </c>
      <c r="V9" s="179">
        <v>41652063</v>
      </c>
      <c r="W9" s="179" t="s">
        <v>334</v>
      </c>
      <c r="X9" s="166" t="s">
        <v>315</v>
      </c>
      <c r="Y9" s="179"/>
      <c r="Z9" s="174">
        <v>326</v>
      </c>
      <c r="AA9" s="175">
        <v>9800000</v>
      </c>
      <c r="AB9" s="174">
        <v>329</v>
      </c>
      <c r="AC9" s="175">
        <v>9700000</v>
      </c>
      <c r="AD9" s="175">
        <v>0</v>
      </c>
      <c r="AE9" s="175">
        <v>0</v>
      </c>
      <c r="AF9" s="175">
        <v>0</v>
      </c>
      <c r="AG9" s="175">
        <v>0</v>
      </c>
      <c r="AH9" s="175">
        <v>1385714</v>
      </c>
      <c r="AI9" s="175">
        <v>1385714</v>
      </c>
      <c r="AJ9" s="175">
        <v>0</v>
      </c>
      <c r="AK9" s="175">
        <v>2771428</v>
      </c>
      <c r="AL9" s="175">
        <v>1385714</v>
      </c>
      <c r="AM9" s="175">
        <v>0</v>
      </c>
      <c r="AN9" s="175">
        <v>1385714</v>
      </c>
      <c r="AO9" s="175">
        <v>1385714</v>
      </c>
      <c r="AP9" s="175">
        <f t="shared" ref="AP9:AP16" si="8">SUM(AD9:AO9)</f>
        <v>9699998</v>
      </c>
      <c r="AQ9" s="175">
        <f t="shared" ref="AQ9:AQ16" si="9">+AC9-AP9</f>
        <v>2</v>
      </c>
      <c r="AR9" s="176">
        <f t="shared" ref="AR9:AR16" si="10">AP9/AC9</f>
        <v>0.99999979381443294</v>
      </c>
      <c r="AS9" s="176"/>
      <c r="AT9" s="174"/>
      <c r="AU9" s="174"/>
      <c r="AV9" s="175"/>
      <c r="AW9" s="174"/>
      <c r="AX9" s="174"/>
      <c r="AY9" s="174"/>
      <c r="AZ9" s="174"/>
      <c r="BA9" s="174">
        <v>0</v>
      </c>
      <c r="BB9" s="174">
        <v>0</v>
      </c>
      <c r="BC9" s="174">
        <v>0</v>
      </c>
      <c r="BD9" s="174">
        <v>0</v>
      </c>
      <c r="BE9" s="174">
        <v>0</v>
      </c>
      <c r="BF9" s="174">
        <v>0</v>
      </c>
      <c r="BG9" s="174">
        <v>0</v>
      </c>
      <c r="BH9" s="174">
        <v>0</v>
      </c>
      <c r="BI9" s="175">
        <f t="shared" si="0"/>
        <v>0</v>
      </c>
      <c r="BJ9" s="175">
        <f t="shared" si="1"/>
        <v>0</v>
      </c>
      <c r="BK9" s="176"/>
      <c r="BL9" s="170"/>
      <c r="BM9" s="170"/>
      <c r="BN9" s="170"/>
      <c r="BO9" s="170"/>
      <c r="BP9" s="170"/>
      <c r="BQ9" s="170"/>
      <c r="BR9" s="170"/>
      <c r="BS9" s="172"/>
      <c r="BT9" s="172"/>
      <c r="BU9" s="172"/>
      <c r="BV9" s="172"/>
      <c r="BW9" s="172"/>
      <c r="BX9" s="172"/>
      <c r="BY9" s="172"/>
      <c r="BZ9" s="172"/>
      <c r="CA9" s="172">
        <f t="shared" si="5"/>
        <v>0</v>
      </c>
      <c r="CB9" s="172">
        <f t="shared" si="6"/>
        <v>0</v>
      </c>
      <c r="CC9" s="494" t="e">
        <f t="shared" si="7"/>
        <v>#DIV/0!</v>
      </c>
      <c r="CD9" s="279"/>
      <c r="CE9" s="279"/>
      <c r="CF9" s="172"/>
      <c r="CG9" s="172"/>
      <c r="CH9" s="172"/>
      <c r="CI9" s="172"/>
      <c r="CJ9" s="172"/>
      <c r="CK9" s="172"/>
      <c r="CL9" s="172"/>
      <c r="CM9" s="172"/>
      <c r="CN9" s="172"/>
      <c r="CO9" s="172"/>
      <c r="CP9" s="172"/>
      <c r="CQ9" s="172"/>
      <c r="CR9" s="172"/>
      <c r="CS9" s="172">
        <v>0</v>
      </c>
      <c r="CT9" s="172">
        <v>0</v>
      </c>
      <c r="CU9" s="192" t="e">
        <v>#DIV/0!</v>
      </c>
    </row>
    <row r="10" spans="1:99" s="500" customFormat="1" x14ac:dyDescent="0.25">
      <c r="A10" s="493">
        <v>104</v>
      </c>
      <c r="B10" s="67" t="s">
        <v>58</v>
      </c>
      <c r="C10" s="493">
        <v>1149</v>
      </c>
      <c r="D10" s="67" t="s">
        <v>60</v>
      </c>
      <c r="E10" s="493">
        <v>1</v>
      </c>
      <c r="F10" s="570"/>
      <c r="G10" s="570"/>
      <c r="H10" s="570"/>
      <c r="I10" s="570"/>
      <c r="J10" s="572"/>
      <c r="K10" s="572"/>
      <c r="L10" s="166" t="s">
        <v>335</v>
      </c>
      <c r="M10" s="166" t="s">
        <v>63</v>
      </c>
      <c r="N10" s="166" t="s">
        <v>336</v>
      </c>
      <c r="O10" s="166" t="s">
        <v>325</v>
      </c>
      <c r="P10" s="180">
        <v>41451</v>
      </c>
      <c r="Q10" s="180">
        <v>41452</v>
      </c>
      <c r="R10" s="179" t="s">
        <v>337</v>
      </c>
      <c r="S10" s="179" t="s">
        <v>338</v>
      </c>
      <c r="T10" s="181" t="s">
        <v>339</v>
      </c>
      <c r="U10" s="166" t="s">
        <v>327</v>
      </c>
      <c r="V10" s="179" t="s">
        <v>340</v>
      </c>
      <c r="W10" s="179">
        <v>1816</v>
      </c>
      <c r="X10" s="166" t="s">
        <v>315</v>
      </c>
      <c r="Y10" s="179" t="s">
        <v>341</v>
      </c>
      <c r="Z10" s="174">
        <v>614</v>
      </c>
      <c r="AA10" s="175">
        <v>40000000</v>
      </c>
      <c r="AB10" s="174">
        <v>594</v>
      </c>
      <c r="AC10" s="175">
        <v>40000000</v>
      </c>
      <c r="AD10" s="175">
        <v>0</v>
      </c>
      <c r="AE10" s="175">
        <v>0</v>
      </c>
      <c r="AF10" s="175">
        <v>0</v>
      </c>
      <c r="AG10" s="175">
        <v>0</v>
      </c>
      <c r="AH10" s="175">
        <v>0</v>
      </c>
      <c r="AI10" s="175">
        <v>0</v>
      </c>
      <c r="AJ10" s="175">
        <v>0</v>
      </c>
      <c r="AK10" s="175">
        <v>0</v>
      </c>
      <c r="AL10" s="175">
        <v>0</v>
      </c>
      <c r="AM10" s="175">
        <v>0</v>
      </c>
      <c r="AN10" s="175">
        <v>0</v>
      </c>
      <c r="AO10" s="175">
        <v>0</v>
      </c>
      <c r="AP10" s="175">
        <f t="shared" si="8"/>
        <v>0</v>
      </c>
      <c r="AQ10" s="175">
        <f t="shared" si="9"/>
        <v>40000000</v>
      </c>
      <c r="AR10" s="176">
        <f t="shared" si="10"/>
        <v>0</v>
      </c>
      <c r="AS10" s="176"/>
      <c r="AT10" s="174">
        <v>495</v>
      </c>
      <c r="AU10" s="174">
        <v>490</v>
      </c>
      <c r="AV10" s="175">
        <v>40000000</v>
      </c>
      <c r="AW10" s="174">
        <v>0</v>
      </c>
      <c r="AX10" s="174">
        <v>0</v>
      </c>
      <c r="AY10" s="174">
        <v>0</v>
      </c>
      <c r="AZ10" s="174">
        <v>0</v>
      </c>
      <c r="BA10" s="174">
        <v>0</v>
      </c>
      <c r="BB10" s="174">
        <v>0</v>
      </c>
      <c r="BC10" s="174">
        <v>0</v>
      </c>
      <c r="BD10" s="174">
        <v>0</v>
      </c>
      <c r="BE10" s="174">
        <v>0</v>
      </c>
      <c r="BF10" s="174">
        <v>0</v>
      </c>
      <c r="BG10" s="174">
        <v>0</v>
      </c>
      <c r="BH10" s="174">
        <v>40000000</v>
      </c>
      <c r="BI10" s="175">
        <f t="shared" si="0"/>
        <v>40000000</v>
      </c>
      <c r="BJ10" s="175">
        <f t="shared" si="1"/>
        <v>0</v>
      </c>
      <c r="BK10" s="176">
        <f t="shared" ref="BK10:BK16" si="11">+BI10/AV10</f>
        <v>1</v>
      </c>
      <c r="BL10" s="170"/>
      <c r="BM10" s="170"/>
      <c r="BN10" s="170"/>
      <c r="BO10" s="170"/>
      <c r="BP10" s="170"/>
      <c r="BQ10" s="170"/>
      <c r="BR10" s="170"/>
      <c r="BS10" s="172"/>
      <c r="BT10" s="172"/>
      <c r="BU10" s="172"/>
      <c r="BV10" s="172"/>
      <c r="BW10" s="172"/>
      <c r="BX10" s="172"/>
      <c r="BY10" s="172"/>
      <c r="BZ10" s="172"/>
      <c r="CA10" s="172">
        <f t="shared" si="5"/>
        <v>0</v>
      </c>
      <c r="CB10" s="172">
        <f t="shared" si="6"/>
        <v>0</v>
      </c>
      <c r="CC10" s="494" t="e">
        <f t="shared" si="7"/>
        <v>#DIV/0!</v>
      </c>
      <c r="CD10" s="279"/>
      <c r="CE10" s="279"/>
      <c r="CF10" s="172"/>
      <c r="CG10" s="172"/>
      <c r="CH10" s="172"/>
      <c r="CI10" s="172"/>
      <c r="CJ10" s="172"/>
      <c r="CK10" s="172"/>
      <c r="CL10" s="172"/>
      <c r="CM10" s="172"/>
      <c r="CN10" s="172"/>
      <c r="CO10" s="172"/>
      <c r="CP10" s="172"/>
      <c r="CQ10" s="172"/>
      <c r="CR10" s="172"/>
      <c r="CS10" s="172">
        <v>0</v>
      </c>
      <c r="CT10" s="172">
        <v>0</v>
      </c>
      <c r="CU10" s="192" t="e">
        <v>#DIV/0!</v>
      </c>
    </row>
    <row r="11" spans="1:99" s="500" customFormat="1" x14ac:dyDescent="0.25">
      <c r="A11" s="493">
        <v>104</v>
      </c>
      <c r="B11" s="67" t="s">
        <v>58</v>
      </c>
      <c r="C11" s="493">
        <v>1149</v>
      </c>
      <c r="D11" s="67" t="s">
        <v>60</v>
      </c>
      <c r="E11" s="493">
        <v>1</v>
      </c>
      <c r="F11" s="570"/>
      <c r="G11" s="570"/>
      <c r="H11" s="570"/>
      <c r="I11" s="570"/>
      <c r="J11" s="572"/>
      <c r="K11" s="572"/>
      <c r="L11" s="166" t="s">
        <v>342</v>
      </c>
      <c r="M11" s="166" t="s">
        <v>63</v>
      </c>
      <c r="N11" s="166" t="s">
        <v>336</v>
      </c>
      <c r="O11" s="166" t="s">
        <v>325</v>
      </c>
      <c r="P11" s="180">
        <v>41528</v>
      </c>
      <c r="Q11" s="180">
        <v>41528</v>
      </c>
      <c r="R11" s="179" t="s">
        <v>337</v>
      </c>
      <c r="S11" s="179">
        <v>60</v>
      </c>
      <c r="T11" s="181" t="s">
        <v>343</v>
      </c>
      <c r="U11" s="166" t="s">
        <v>327</v>
      </c>
      <c r="V11" s="179" t="s">
        <v>340</v>
      </c>
      <c r="W11" s="179">
        <v>1800</v>
      </c>
      <c r="X11" s="166" t="s">
        <v>315</v>
      </c>
      <c r="Y11" s="179"/>
      <c r="Z11" s="174">
        <v>621</v>
      </c>
      <c r="AA11" s="175">
        <v>300000000</v>
      </c>
      <c r="AB11" s="174">
        <v>665</v>
      </c>
      <c r="AC11" s="175">
        <v>300000000</v>
      </c>
      <c r="AD11" s="175">
        <v>0</v>
      </c>
      <c r="AE11" s="175">
        <v>0</v>
      </c>
      <c r="AF11" s="175">
        <v>0</v>
      </c>
      <c r="AG11" s="175">
        <v>0</v>
      </c>
      <c r="AH11" s="175">
        <v>0</v>
      </c>
      <c r="AI11" s="175">
        <v>0</v>
      </c>
      <c r="AJ11" s="175">
        <v>0</v>
      </c>
      <c r="AK11" s="175">
        <v>0</v>
      </c>
      <c r="AL11" s="175">
        <v>0</v>
      </c>
      <c r="AM11" s="175">
        <v>0</v>
      </c>
      <c r="AN11" s="175">
        <v>0</v>
      </c>
      <c r="AO11" s="175">
        <v>0</v>
      </c>
      <c r="AP11" s="175">
        <f t="shared" si="8"/>
        <v>0</v>
      </c>
      <c r="AQ11" s="175">
        <f t="shared" si="9"/>
        <v>300000000</v>
      </c>
      <c r="AR11" s="176">
        <f t="shared" si="10"/>
        <v>0</v>
      </c>
      <c r="AS11" s="176"/>
      <c r="AT11" s="174">
        <v>62</v>
      </c>
      <c r="AU11" s="174">
        <v>69</v>
      </c>
      <c r="AV11" s="175">
        <v>300000000</v>
      </c>
      <c r="AW11" s="174">
        <v>0</v>
      </c>
      <c r="AX11" s="174">
        <v>0</v>
      </c>
      <c r="AY11" s="174">
        <v>0</v>
      </c>
      <c r="AZ11" s="174">
        <v>0</v>
      </c>
      <c r="BA11" s="174">
        <v>0</v>
      </c>
      <c r="BB11" s="174">
        <v>24260518</v>
      </c>
      <c r="BC11" s="174">
        <v>0</v>
      </c>
      <c r="BD11" s="174">
        <v>218963526</v>
      </c>
      <c r="BE11" s="174">
        <v>0</v>
      </c>
      <c r="BF11" s="174">
        <v>0</v>
      </c>
      <c r="BG11" s="174">
        <v>0</v>
      </c>
      <c r="BH11" s="174">
        <v>0</v>
      </c>
      <c r="BI11" s="175">
        <f t="shared" si="0"/>
        <v>243224044</v>
      </c>
      <c r="BJ11" s="175">
        <f t="shared" si="1"/>
        <v>56775956</v>
      </c>
      <c r="BK11" s="176">
        <f t="shared" si="11"/>
        <v>0.81074681333333332</v>
      </c>
      <c r="BL11" s="170">
        <v>13</v>
      </c>
      <c r="BM11" s="170">
        <v>382</v>
      </c>
      <c r="BN11" s="170">
        <v>56775956</v>
      </c>
      <c r="BO11" s="170">
        <v>0</v>
      </c>
      <c r="BP11" s="170">
        <v>0</v>
      </c>
      <c r="BQ11" s="170">
        <v>0</v>
      </c>
      <c r="BR11" s="170">
        <v>56775956</v>
      </c>
      <c r="BS11" s="172">
        <v>0</v>
      </c>
      <c r="BT11" s="172">
        <v>0</v>
      </c>
      <c r="BU11" s="172">
        <v>0</v>
      </c>
      <c r="BV11" s="172">
        <v>0</v>
      </c>
      <c r="BW11" s="172">
        <v>0</v>
      </c>
      <c r="BX11" s="172">
        <v>0</v>
      </c>
      <c r="BY11" s="172">
        <v>0</v>
      </c>
      <c r="BZ11" s="172">
        <v>0</v>
      </c>
      <c r="CA11" s="172">
        <f t="shared" si="5"/>
        <v>56775956</v>
      </c>
      <c r="CB11" s="172">
        <f t="shared" si="6"/>
        <v>0</v>
      </c>
      <c r="CC11" s="494">
        <f t="shared" si="7"/>
        <v>1</v>
      </c>
      <c r="CD11" s="279"/>
      <c r="CE11" s="279"/>
      <c r="CF11" s="172"/>
      <c r="CG11" s="172"/>
      <c r="CH11" s="172"/>
      <c r="CI11" s="172"/>
      <c r="CJ11" s="172"/>
      <c r="CK11" s="172"/>
      <c r="CL11" s="172"/>
      <c r="CM11" s="172"/>
      <c r="CN11" s="172"/>
      <c r="CO11" s="172"/>
      <c r="CP11" s="172"/>
      <c r="CQ11" s="172"/>
      <c r="CR11" s="172"/>
      <c r="CS11" s="172">
        <v>0</v>
      </c>
      <c r="CT11" s="172">
        <v>0</v>
      </c>
      <c r="CU11" s="192" t="e">
        <v>#DIV/0!</v>
      </c>
    </row>
    <row r="12" spans="1:99" s="500" customFormat="1" x14ac:dyDescent="0.25">
      <c r="A12" s="493">
        <v>104</v>
      </c>
      <c r="B12" s="67" t="s">
        <v>58</v>
      </c>
      <c r="C12" s="493">
        <v>1149</v>
      </c>
      <c r="D12" s="67" t="s">
        <v>60</v>
      </c>
      <c r="E12" s="493">
        <v>1</v>
      </c>
      <c r="F12" s="570"/>
      <c r="G12" s="570"/>
      <c r="H12" s="570"/>
      <c r="I12" s="570"/>
      <c r="J12" s="572"/>
      <c r="K12" s="572"/>
      <c r="L12" s="166" t="s">
        <v>344</v>
      </c>
      <c r="M12" s="166" t="s">
        <v>63</v>
      </c>
      <c r="N12" s="166" t="s">
        <v>319</v>
      </c>
      <c r="O12" s="166" t="s">
        <v>325</v>
      </c>
      <c r="P12" s="180">
        <v>41586</v>
      </c>
      <c r="Q12" s="183"/>
      <c r="R12" s="179" t="s">
        <v>345</v>
      </c>
      <c r="S12" s="179" t="s">
        <v>1918</v>
      </c>
      <c r="T12" s="181" t="s">
        <v>346</v>
      </c>
      <c r="U12" s="166" t="s">
        <v>327</v>
      </c>
      <c r="V12" s="179">
        <v>830077644</v>
      </c>
      <c r="W12" s="183"/>
      <c r="X12" s="166" t="s">
        <v>315</v>
      </c>
      <c r="Y12" s="179"/>
      <c r="Z12" s="174">
        <v>792</v>
      </c>
      <c r="AA12" s="175">
        <v>127000000</v>
      </c>
      <c r="AB12" s="174">
        <v>783</v>
      </c>
      <c r="AC12" s="175">
        <v>127000000</v>
      </c>
      <c r="AD12" s="175">
        <v>0</v>
      </c>
      <c r="AE12" s="175">
        <v>0</v>
      </c>
      <c r="AF12" s="175">
        <v>0</v>
      </c>
      <c r="AG12" s="175">
        <v>0</v>
      </c>
      <c r="AH12" s="175">
        <v>0</v>
      </c>
      <c r="AI12" s="175">
        <v>0</v>
      </c>
      <c r="AJ12" s="175">
        <v>0</v>
      </c>
      <c r="AK12" s="175">
        <v>0</v>
      </c>
      <c r="AL12" s="175">
        <v>0</v>
      </c>
      <c r="AM12" s="175">
        <v>0</v>
      </c>
      <c r="AN12" s="175">
        <v>0</v>
      </c>
      <c r="AO12" s="175">
        <v>0</v>
      </c>
      <c r="AP12" s="175">
        <f t="shared" si="8"/>
        <v>0</v>
      </c>
      <c r="AQ12" s="175">
        <f t="shared" si="9"/>
        <v>127000000</v>
      </c>
      <c r="AR12" s="176">
        <f t="shared" si="10"/>
        <v>0</v>
      </c>
      <c r="AS12" s="176"/>
      <c r="AT12" s="174">
        <v>64</v>
      </c>
      <c r="AU12" s="174">
        <v>71</v>
      </c>
      <c r="AV12" s="175">
        <v>127000000</v>
      </c>
      <c r="AW12" s="174">
        <v>0</v>
      </c>
      <c r="AX12" s="174">
        <v>0</v>
      </c>
      <c r="AY12" s="174">
        <v>0</v>
      </c>
      <c r="AZ12" s="174">
        <v>0</v>
      </c>
      <c r="BA12" s="174">
        <v>0</v>
      </c>
      <c r="BB12" s="174">
        <v>0</v>
      </c>
      <c r="BC12" s="174">
        <v>0</v>
      </c>
      <c r="BD12" s="174">
        <v>0</v>
      </c>
      <c r="BE12" s="174">
        <v>0</v>
      </c>
      <c r="BF12" s="174">
        <v>0</v>
      </c>
      <c r="BG12" s="174">
        <v>0</v>
      </c>
      <c r="BH12" s="174">
        <v>0</v>
      </c>
      <c r="BI12" s="175">
        <f t="shared" si="0"/>
        <v>0</v>
      </c>
      <c r="BJ12" s="175">
        <f t="shared" si="1"/>
        <v>127000000</v>
      </c>
      <c r="BK12" s="176">
        <f t="shared" si="11"/>
        <v>0</v>
      </c>
      <c r="BL12" s="170">
        <v>15</v>
      </c>
      <c r="BM12" s="170">
        <v>384</v>
      </c>
      <c r="BN12" s="170">
        <v>127000000</v>
      </c>
      <c r="BO12" s="170">
        <v>0</v>
      </c>
      <c r="BP12" s="170">
        <v>0</v>
      </c>
      <c r="BQ12" s="170">
        <v>0</v>
      </c>
      <c r="BR12" s="170">
        <v>53112038</v>
      </c>
      <c r="BS12" s="172">
        <v>7275549</v>
      </c>
      <c r="BT12" s="172">
        <v>0</v>
      </c>
      <c r="BU12" s="172">
        <v>0</v>
      </c>
      <c r="BV12" s="172">
        <v>0</v>
      </c>
      <c r="BW12" s="172">
        <v>14881061</v>
      </c>
      <c r="BX12" s="172">
        <v>11488433</v>
      </c>
      <c r="BY12" s="172">
        <v>0</v>
      </c>
      <c r="BZ12" s="172">
        <v>0</v>
      </c>
      <c r="CA12" s="172">
        <f t="shared" si="5"/>
        <v>86757081</v>
      </c>
      <c r="CB12" s="172">
        <f t="shared" si="6"/>
        <v>40242919</v>
      </c>
      <c r="CC12" s="494">
        <f t="shared" si="7"/>
        <v>0.68312662204724406</v>
      </c>
      <c r="CD12" s="279">
        <v>42</v>
      </c>
      <c r="CE12" s="279">
        <v>256</v>
      </c>
      <c r="CF12" s="172">
        <v>40242919</v>
      </c>
      <c r="CG12" s="172"/>
      <c r="CH12" s="172"/>
      <c r="CI12" s="172">
        <v>18622038</v>
      </c>
      <c r="CJ12" s="172">
        <v>3344728</v>
      </c>
      <c r="CK12" s="172">
        <v>4639924</v>
      </c>
      <c r="CL12" s="172"/>
      <c r="CM12" s="172">
        <v>4317630</v>
      </c>
      <c r="CN12" s="172">
        <v>3517142</v>
      </c>
      <c r="CO12" s="172"/>
      <c r="CP12" s="172"/>
      <c r="CQ12" s="172">
        <f>2203978+3597479</f>
        <v>5801457</v>
      </c>
      <c r="CR12" s="172"/>
      <c r="CS12" s="172">
        <f>SUM(CG12:CR12)</f>
        <v>40242919</v>
      </c>
      <c r="CT12" s="172">
        <f>CF12-CS12</f>
        <v>0</v>
      </c>
      <c r="CU12" s="192" t="e">
        <v>#DIV/0!</v>
      </c>
    </row>
    <row r="13" spans="1:99" s="500" customFormat="1" x14ac:dyDescent="0.25">
      <c r="A13" s="493">
        <v>104</v>
      </c>
      <c r="B13" s="67" t="s">
        <v>58</v>
      </c>
      <c r="C13" s="493">
        <v>1149</v>
      </c>
      <c r="D13" s="67" t="s">
        <v>60</v>
      </c>
      <c r="E13" s="493">
        <v>1</v>
      </c>
      <c r="F13" s="570"/>
      <c r="G13" s="570"/>
      <c r="H13" s="570"/>
      <c r="I13" s="570"/>
      <c r="J13" s="572"/>
      <c r="K13" s="572"/>
      <c r="L13" s="166" t="s">
        <v>347</v>
      </c>
      <c r="M13" s="166" t="s">
        <v>63</v>
      </c>
      <c r="N13" s="166" t="s">
        <v>319</v>
      </c>
      <c r="O13" s="166" t="s">
        <v>325</v>
      </c>
      <c r="P13" s="180">
        <v>41586</v>
      </c>
      <c r="Q13" s="183"/>
      <c r="R13" s="179" t="s">
        <v>310</v>
      </c>
      <c r="S13" s="179" t="e">
        <f>VLOOKUP(AB13,,5,0)</f>
        <v>#N/A</v>
      </c>
      <c r="T13" s="179" t="s">
        <v>346</v>
      </c>
      <c r="U13" s="166" t="s">
        <v>327</v>
      </c>
      <c r="V13" s="179">
        <v>830077644</v>
      </c>
      <c r="W13" s="183"/>
      <c r="X13" s="166" t="s">
        <v>315</v>
      </c>
      <c r="Y13" s="179"/>
      <c r="Z13" s="174">
        <v>813</v>
      </c>
      <c r="AA13" s="175">
        <v>50000000</v>
      </c>
      <c r="AB13" s="174">
        <v>782</v>
      </c>
      <c r="AC13" s="175">
        <v>49272033</v>
      </c>
      <c r="AD13" s="175">
        <v>0</v>
      </c>
      <c r="AE13" s="175">
        <v>0</v>
      </c>
      <c r="AF13" s="175">
        <v>0</v>
      </c>
      <c r="AG13" s="175">
        <v>0</v>
      </c>
      <c r="AH13" s="175">
        <v>0</v>
      </c>
      <c r="AI13" s="175">
        <v>0</v>
      </c>
      <c r="AJ13" s="175">
        <v>0</v>
      </c>
      <c r="AK13" s="175">
        <v>0</v>
      </c>
      <c r="AL13" s="175">
        <v>0</v>
      </c>
      <c r="AM13" s="175">
        <v>0</v>
      </c>
      <c r="AN13" s="175">
        <v>0</v>
      </c>
      <c r="AO13" s="175">
        <v>0</v>
      </c>
      <c r="AP13" s="175">
        <f t="shared" si="8"/>
        <v>0</v>
      </c>
      <c r="AQ13" s="175">
        <f t="shared" si="9"/>
        <v>49272033</v>
      </c>
      <c r="AR13" s="176">
        <f t="shared" si="10"/>
        <v>0</v>
      </c>
      <c r="AS13" s="176"/>
      <c r="AT13" s="174">
        <v>63</v>
      </c>
      <c r="AU13" s="174">
        <v>70</v>
      </c>
      <c r="AV13" s="175">
        <v>49272033</v>
      </c>
      <c r="AW13" s="174">
        <v>0</v>
      </c>
      <c r="AX13" s="174">
        <v>0</v>
      </c>
      <c r="AY13" s="174">
        <v>0</v>
      </c>
      <c r="AZ13" s="174">
        <v>0</v>
      </c>
      <c r="BA13" s="174">
        <v>0</v>
      </c>
      <c r="BB13" s="174">
        <v>0</v>
      </c>
      <c r="BC13" s="174">
        <v>0</v>
      </c>
      <c r="BD13" s="174">
        <v>0</v>
      </c>
      <c r="BE13" s="174">
        <v>0</v>
      </c>
      <c r="BF13" s="174">
        <v>0</v>
      </c>
      <c r="BG13" s="174">
        <v>0</v>
      </c>
      <c r="BH13" s="174">
        <v>0</v>
      </c>
      <c r="BI13" s="175">
        <f t="shared" si="0"/>
        <v>0</v>
      </c>
      <c r="BJ13" s="175">
        <f t="shared" si="1"/>
        <v>49272033</v>
      </c>
      <c r="BK13" s="176">
        <f t="shared" si="11"/>
        <v>0</v>
      </c>
      <c r="BL13" s="170">
        <v>14</v>
      </c>
      <c r="BM13" s="170">
        <v>383</v>
      </c>
      <c r="BN13" s="170">
        <v>49272033</v>
      </c>
      <c r="BO13" s="170">
        <v>0</v>
      </c>
      <c r="BP13" s="170">
        <v>0</v>
      </c>
      <c r="BQ13" s="170">
        <v>0</v>
      </c>
      <c r="BR13" s="170">
        <v>0</v>
      </c>
      <c r="BS13" s="172">
        <v>0</v>
      </c>
      <c r="BT13" s="172">
        <v>0</v>
      </c>
      <c r="BU13" s="172">
        <v>0</v>
      </c>
      <c r="BV13" s="172">
        <v>0</v>
      </c>
      <c r="BW13" s="172">
        <v>0</v>
      </c>
      <c r="BX13" s="172">
        <v>49205367</v>
      </c>
      <c r="BY13" s="172">
        <v>0</v>
      </c>
      <c r="BZ13" s="172">
        <v>0</v>
      </c>
      <c r="CA13" s="172">
        <f t="shared" si="5"/>
        <v>49205367</v>
      </c>
      <c r="CB13" s="172">
        <f t="shared" si="6"/>
        <v>66666</v>
      </c>
      <c r="CC13" s="494">
        <f t="shared" si="7"/>
        <v>0.99864698093541215</v>
      </c>
      <c r="CD13" s="279"/>
      <c r="CE13" s="279"/>
      <c r="CF13" s="172"/>
      <c r="CG13" s="172"/>
      <c r="CH13" s="172"/>
      <c r="CI13" s="172"/>
      <c r="CJ13" s="172"/>
      <c r="CK13" s="172"/>
      <c r="CL13" s="172"/>
      <c r="CM13" s="172"/>
      <c r="CN13" s="172"/>
      <c r="CO13" s="172"/>
      <c r="CP13" s="172"/>
      <c r="CQ13" s="172"/>
      <c r="CR13" s="172"/>
      <c r="CS13" s="172">
        <v>0</v>
      </c>
      <c r="CT13" s="172">
        <v>0</v>
      </c>
      <c r="CU13" s="192" t="e">
        <v>#DIV/0!</v>
      </c>
    </row>
    <row r="14" spans="1:99" s="500" customFormat="1" x14ac:dyDescent="0.25">
      <c r="A14" s="493">
        <v>104</v>
      </c>
      <c r="B14" s="67" t="s">
        <v>58</v>
      </c>
      <c r="C14" s="493">
        <v>1149</v>
      </c>
      <c r="D14" s="67" t="s">
        <v>60</v>
      </c>
      <c r="E14" s="493">
        <v>1</v>
      </c>
      <c r="F14" s="570"/>
      <c r="G14" s="570"/>
      <c r="H14" s="570"/>
      <c r="I14" s="570"/>
      <c r="J14" s="572"/>
      <c r="K14" s="572"/>
      <c r="L14" s="166" t="s">
        <v>348</v>
      </c>
      <c r="M14" s="166" t="s">
        <v>63</v>
      </c>
      <c r="N14" s="166" t="s">
        <v>349</v>
      </c>
      <c r="O14" s="166" t="s">
        <v>320</v>
      </c>
      <c r="P14" s="180">
        <v>41599</v>
      </c>
      <c r="Q14" s="180">
        <v>41610</v>
      </c>
      <c r="R14" s="179" t="s">
        <v>337</v>
      </c>
      <c r="S14" s="179"/>
      <c r="T14" s="166" t="s">
        <v>350</v>
      </c>
      <c r="U14" s="166" t="s">
        <v>351</v>
      </c>
      <c r="V14" s="179">
        <v>900508145</v>
      </c>
      <c r="W14" s="183"/>
      <c r="X14" s="166" t="s">
        <v>315</v>
      </c>
      <c r="Y14" s="179"/>
      <c r="Z14" s="174">
        <v>685</v>
      </c>
      <c r="AA14" s="175">
        <v>12000000</v>
      </c>
      <c r="AB14" s="174">
        <v>809</v>
      </c>
      <c r="AC14" s="175">
        <v>8500000</v>
      </c>
      <c r="AD14" s="175">
        <v>0</v>
      </c>
      <c r="AE14" s="175">
        <v>0</v>
      </c>
      <c r="AF14" s="175">
        <v>0</v>
      </c>
      <c r="AG14" s="175">
        <v>0</v>
      </c>
      <c r="AH14" s="175">
        <v>0</v>
      </c>
      <c r="AI14" s="175">
        <v>0</v>
      </c>
      <c r="AJ14" s="175">
        <v>0</v>
      </c>
      <c r="AK14" s="175">
        <v>0</v>
      </c>
      <c r="AL14" s="175">
        <v>0</v>
      </c>
      <c r="AM14" s="175">
        <v>0</v>
      </c>
      <c r="AN14" s="175">
        <v>0</v>
      </c>
      <c r="AO14" s="175">
        <v>0</v>
      </c>
      <c r="AP14" s="175">
        <f t="shared" si="8"/>
        <v>0</v>
      </c>
      <c r="AQ14" s="175">
        <f t="shared" si="9"/>
        <v>8500000</v>
      </c>
      <c r="AR14" s="176">
        <f t="shared" si="10"/>
        <v>0</v>
      </c>
      <c r="AS14" s="176"/>
      <c r="AT14" s="174">
        <v>65</v>
      </c>
      <c r="AU14" s="174">
        <v>72</v>
      </c>
      <c r="AV14" s="175">
        <v>8500000</v>
      </c>
      <c r="AW14" s="174">
        <v>0</v>
      </c>
      <c r="AX14" s="174">
        <v>0</v>
      </c>
      <c r="AY14" s="174">
        <v>0</v>
      </c>
      <c r="AZ14" s="174">
        <v>0</v>
      </c>
      <c r="BA14" s="174">
        <v>0</v>
      </c>
      <c r="BB14" s="174">
        <v>5666664</v>
      </c>
      <c r="BC14" s="174">
        <v>0</v>
      </c>
      <c r="BD14" s="174">
        <v>1416666</v>
      </c>
      <c r="BE14" s="174">
        <v>0</v>
      </c>
      <c r="BF14" s="174">
        <v>0</v>
      </c>
      <c r="BG14" s="174">
        <v>0</v>
      </c>
      <c r="BH14" s="174">
        <v>0</v>
      </c>
      <c r="BI14" s="175">
        <f t="shared" si="0"/>
        <v>7083330</v>
      </c>
      <c r="BJ14" s="175">
        <f t="shared" si="1"/>
        <v>1416670</v>
      </c>
      <c r="BK14" s="176">
        <f t="shared" si="11"/>
        <v>0.83333294117647061</v>
      </c>
      <c r="BL14" s="170">
        <v>16</v>
      </c>
      <c r="BM14" s="170">
        <v>10</v>
      </c>
      <c r="BN14" s="170">
        <v>1416670</v>
      </c>
      <c r="BO14" s="170">
        <v>0</v>
      </c>
      <c r="BP14" s="170">
        <v>0</v>
      </c>
      <c r="BQ14" s="170">
        <v>0</v>
      </c>
      <c r="BR14" s="170">
        <v>0</v>
      </c>
      <c r="BS14" s="172">
        <v>0</v>
      </c>
      <c r="BT14" s="172">
        <v>0</v>
      </c>
      <c r="BU14" s="172">
        <v>0</v>
      </c>
      <c r="BV14" s="172">
        <v>0</v>
      </c>
      <c r="BW14" s="172">
        <v>0</v>
      </c>
      <c r="BX14" s="172">
        <v>0</v>
      </c>
      <c r="BY14" s="172">
        <v>0</v>
      </c>
      <c r="BZ14" s="172">
        <v>1416670</v>
      </c>
      <c r="CA14" s="172">
        <f t="shared" si="5"/>
        <v>1416670</v>
      </c>
      <c r="CB14" s="172">
        <f t="shared" si="6"/>
        <v>0</v>
      </c>
      <c r="CC14" s="494">
        <f t="shared" si="7"/>
        <v>1</v>
      </c>
      <c r="CD14" s="279"/>
      <c r="CE14" s="279"/>
      <c r="CF14" s="172"/>
      <c r="CG14" s="172"/>
      <c r="CH14" s="172"/>
      <c r="CI14" s="172"/>
      <c r="CJ14" s="172"/>
      <c r="CK14" s="172"/>
      <c r="CL14" s="172"/>
      <c r="CM14" s="172"/>
      <c r="CN14" s="172"/>
      <c r="CO14" s="172"/>
      <c r="CP14" s="172"/>
      <c r="CQ14" s="172"/>
      <c r="CR14" s="172"/>
      <c r="CS14" s="172">
        <v>0</v>
      </c>
      <c r="CT14" s="172">
        <v>0</v>
      </c>
      <c r="CU14" s="192" t="e">
        <v>#DIV/0!</v>
      </c>
    </row>
    <row r="15" spans="1:99" s="68" customFormat="1" x14ac:dyDescent="0.25">
      <c r="A15" s="490">
        <v>105</v>
      </c>
      <c r="B15" s="63" t="s">
        <v>65</v>
      </c>
      <c r="C15" s="490">
        <v>1149</v>
      </c>
      <c r="D15" s="63" t="s">
        <v>60</v>
      </c>
      <c r="E15" s="490">
        <v>2</v>
      </c>
      <c r="F15" s="559" t="s">
        <v>53</v>
      </c>
      <c r="G15" s="559">
        <v>1200</v>
      </c>
      <c r="H15" s="559" t="s">
        <v>61</v>
      </c>
      <c r="I15" s="559" t="s">
        <v>66</v>
      </c>
      <c r="J15" s="560"/>
      <c r="K15" s="560"/>
      <c r="L15" s="166" t="s">
        <v>352</v>
      </c>
      <c r="M15" s="166" t="s">
        <v>63</v>
      </c>
      <c r="N15" s="166" t="s">
        <v>336</v>
      </c>
      <c r="O15" s="166" t="s">
        <v>325</v>
      </c>
      <c r="P15" s="180">
        <v>41467</v>
      </c>
      <c r="Q15" s="180">
        <v>41478</v>
      </c>
      <c r="R15" s="166" t="s">
        <v>337</v>
      </c>
      <c r="S15" s="166" t="s">
        <v>353</v>
      </c>
      <c r="T15" s="181" t="s">
        <v>339</v>
      </c>
      <c r="U15" s="166" t="s">
        <v>327</v>
      </c>
      <c r="V15" s="179" t="s">
        <v>340</v>
      </c>
      <c r="W15" s="166">
        <v>200</v>
      </c>
      <c r="X15" s="166" t="s">
        <v>315</v>
      </c>
      <c r="Y15" s="166" t="s">
        <v>354</v>
      </c>
      <c r="Z15" s="174">
        <v>616</v>
      </c>
      <c r="AA15" s="175">
        <v>90000000</v>
      </c>
      <c r="AB15" s="174">
        <v>603</v>
      </c>
      <c r="AC15" s="175">
        <v>90000000</v>
      </c>
      <c r="AD15" s="175">
        <v>0</v>
      </c>
      <c r="AE15" s="175">
        <v>0</v>
      </c>
      <c r="AF15" s="175">
        <v>0</v>
      </c>
      <c r="AG15" s="175">
        <v>0</v>
      </c>
      <c r="AH15" s="175">
        <v>0</v>
      </c>
      <c r="AI15" s="175">
        <v>0</v>
      </c>
      <c r="AJ15" s="175">
        <v>0</v>
      </c>
      <c r="AK15" s="175">
        <v>0</v>
      </c>
      <c r="AL15" s="175">
        <v>0</v>
      </c>
      <c r="AM15" s="175">
        <v>0</v>
      </c>
      <c r="AN15" s="175">
        <v>0</v>
      </c>
      <c r="AO15" s="175">
        <v>0</v>
      </c>
      <c r="AP15" s="175">
        <f t="shared" si="8"/>
        <v>0</v>
      </c>
      <c r="AQ15" s="175">
        <f t="shared" si="9"/>
        <v>90000000</v>
      </c>
      <c r="AR15" s="176">
        <f t="shared" si="10"/>
        <v>0</v>
      </c>
      <c r="AS15" s="176"/>
      <c r="AT15" s="174">
        <v>59</v>
      </c>
      <c r="AU15" s="174">
        <v>66</v>
      </c>
      <c r="AV15" s="175">
        <v>90000000</v>
      </c>
      <c r="AW15" s="174">
        <v>0</v>
      </c>
      <c r="AX15" s="174">
        <v>0</v>
      </c>
      <c r="AY15" s="174">
        <v>0</v>
      </c>
      <c r="AZ15" s="174">
        <v>0</v>
      </c>
      <c r="BA15" s="174">
        <v>0</v>
      </c>
      <c r="BB15" s="174">
        <v>0</v>
      </c>
      <c r="BC15" s="174">
        <v>0</v>
      </c>
      <c r="BD15" s="174">
        <v>0</v>
      </c>
      <c r="BE15" s="174">
        <v>0</v>
      </c>
      <c r="BF15" s="174">
        <v>0</v>
      </c>
      <c r="BG15" s="174">
        <v>0</v>
      </c>
      <c r="BH15" s="174">
        <v>90000000</v>
      </c>
      <c r="BI15" s="175">
        <f t="shared" si="0"/>
        <v>90000000</v>
      </c>
      <c r="BJ15" s="175">
        <f t="shared" si="1"/>
        <v>0</v>
      </c>
      <c r="BK15" s="176">
        <f t="shared" si="11"/>
        <v>1</v>
      </c>
      <c r="BL15" s="170"/>
      <c r="BM15" s="170"/>
      <c r="BN15" s="170"/>
      <c r="BO15" s="170"/>
      <c r="BP15" s="170"/>
      <c r="BQ15" s="170"/>
      <c r="BR15" s="170"/>
      <c r="BS15" s="172"/>
      <c r="BT15" s="172"/>
      <c r="BU15" s="172"/>
      <c r="BV15" s="172"/>
      <c r="BW15" s="172"/>
      <c r="BX15" s="172"/>
      <c r="BY15" s="172"/>
      <c r="BZ15" s="172"/>
      <c r="CA15" s="172">
        <f t="shared" si="5"/>
        <v>0</v>
      </c>
      <c r="CB15" s="172">
        <f t="shared" si="6"/>
        <v>0</v>
      </c>
      <c r="CC15" s="494" t="e">
        <f t="shared" si="7"/>
        <v>#DIV/0!</v>
      </c>
      <c r="CD15" s="192"/>
      <c r="CE15" s="192"/>
      <c r="CF15" s="172"/>
      <c r="CG15" s="172"/>
      <c r="CH15" s="172"/>
      <c r="CI15" s="172"/>
      <c r="CJ15" s="172"/>
      <c r="CK15" s="172"/>
      <c r="CL15" s="172"/>
      <c r="CM15" s="172"/>
      <c r="CN15" s="172"/>
      <c r="CO15" s="172"/>
      <c r="CP15" s="172"/>
      <c r="CQ15" s="172"/>
      <c r="CR15" s="172"/>
      <c r="CS15" s="172">
        <v>0</v>
      </c>
      <c r="CT15" s="172">
        <v>0</v>
      </c>
      <c r="CU15" s="192" t="e">
        <v>#DIV/0!</v>
      </c>
    </row>
    <row r="16" spans="1:99" s="68" customFormat="1" x14ac:dyDescent="0.25">
      <c r="A16" s="490">
        <v>105</v>
      </c>
      <c r="B16" s="63" t="s">
        <v>65</v>
      </c>
      <c r="C16" s="490">
        <v>1149</v>
      </c>
      <c r="D16" s="63" t="s">
        <v>60</v>
      </c>
      <c r="E16" s="490">
        <v>2</v>
      </c>
      <c r="F16" s="559"/>
      <c r="G16" s="559"/>
      <c r="H16" s="559"/>
      <c r="I16" s="559"/>
      <c r="J16" s="561"/>
      <c r="K16" s="561"/>
      <c r="L16" s="166" t="s">
        <v>355</v>
      </c>
      <c r="M16" s="166" t="s">
        <v>63</v>
      </c>
      <c r="N16" s="166" t="s">
        <v>329</v>
      </c>
      <c r="O16" s="166" t="s">
        <v>356</v>
      </c>
      <c r="P16" s="180">
        <v>41507</v>
      </c>
      <c r="Q16" s="180">
        <v>41509</v>
      </c>
      <c r="R16" s="182" t="s">
        <v>357</v>
      </c>
      <c r="S16" s="166" t="s">
        <v>358</v>
      </c>
      <c r="T16" s="181" t="s">
        <v>359</v>
      </c>
      <c r="U16" s="166" t="s">
        <v>360</v>
      </c>
      <c r="V16" s="179">
        <v>19225812</v>
      </c>
      <c r="W16" s="166" t="s">
        <v>361</v>
      </c>
      <c r="X16" s="166" t="s">
        <v>315</v>
      </c>
      <c r="Y16" s="166" t="s">
        <v>362</v>
      </c>
      <c r="Z16" s="174">
        <v>657</v>
      </c>
      <c r="AA16" s="175">
        <v>6950000</v>
      </c>
      <c r="AB16" s="174">
        <v>636</v>
      </c>
      <c r="AC16" s="175">
        <v>6950000</v>
      </c>
      <c r="AD16" s="175">
        <v>0</v>
      </c>
      <c r="AE16" s="175">
        <v>0</v>
      </c>
      <c r="AF16" s="175">
        <v>0</v>
      </c>
      <c r="AG16" s="175">
        <v>0</v>
      </c>
      <c r="AH16" s="175">
        <v>0</v>
      </c>
      <c r="AI16" s="175">
        <v>0</v>
      </c>
      <c r="AJ16" s="175">
        <v>0</v>
      </c>
      <c r="AK16" s="175">
        <v>0</v>
      </c>
      <c r="AL16" s="175">
        <v>0</v>
      </c>
      <c r="AM16" s="175">
        <v>0</v>
      </c>
      <c r="AN16" s="175">
        <v>0</v>
      </c>
      <c r="AO16" s="175">
        <v>0</v>
      </c>
      <c r="AP16" s="175">
        <f t="shared" si="8"/>
        <v>0</v>
      </c>
      <c r="AQ16" s="175">
        <f t="shared" si="9"/>
        <v>6950000</v>
      </c>
      <c r="AR16" s="176">
        <f t="shared" si="10"/>
        <v>0</v>
      </c>
      <c r="AS16" s="176"/>
      <c r="AT16" s="174">
        <v>61</v>
      </c>
      <c r="AU16" s="174">
        <v>68</v>
      </c>
      <c r="AV16" s="175">
        <v>6950000</v>
      </c>
      <c r="AW16" s="174">
        <v>0</v>
      </c>
      <c r="AX16" s="174">
        <v>0</v>
      </c>
      <c r="AY16" s="174">
        <v>3985714</v>
      </c>
      <c r="AZ16" s="174">
        <v>0</v>
      </c>
      <c r="BA16" s="174">
        <v>0</v>
      </c>
      <c r="BB16" s="174">
        <v>0</v>
      </c>
      <c r="BC16" s="174">
        <v>0</v>
      </c>
      <c r="BD16" s="174">
        <v>0</v>
      </c>
      <c r="BE16" s="174">
        <v>2780000</v>
      </c>
      <c r="BF16" s="174">
        <v>0</v>
      </c>
      <c r="BG16" s="174">
        <v>0</v>
      </c>
      <c r="BH16" s="174">
        <v>0</v>
      </c>
      <c r="BI16" s="175">
        <f t="shared" si="0"/>
        <v>6765714</v>
      </c>
      <c r="BJ16" s="175">
        <f t="shared" si="1"/>
        <v>184286</v>
      </c>
      <c r="BK16" s="176">
        <f t="shared" si="11"/>
        <v>0.97348402877697837</v>
      </c>
      <c r="BL16" s="170">
        <v>12</v>
      </c>
      <c r="BM16" s="170">
        <v>9</v>
      </c>
      <c r="BN16" s="170">
        <v>184286</v>
      </c>
      <c r="BO16" s="170">
        <v>0</v>
      </c>
      <c r="BP16" s="170">
        <v>0</v>
      </c>
      <c r="BQ16" s="170">
        <v>0</v>
      </c>
      <c r="BR16" s="170">
        <v>0</v>
      </c>
      <c r="BS16" s="172">
        <v>0</v>
      </c>
      <c r="BT16" s="172">
        <v>0</v>
      </c>
      <c r="BU16" s="172">
        <v>184286</v>
      </c>
      <c r="BV16" s="172">
        <v>0</v>
      </c>
      <c r="BW16" s="172">
        <v>0</v>
      </c>
      <c r="BX16" s="172">
        <v>0</v>
      </c>
      <c r="BY16" s="172">
        <v>0</v>
      </c>
      <c r="BZ16" s="172">
        <v>0</v>
      </c>
      <c r="CA16" s="172">
        <f t="shared" si="5"/>
        <v>184286</v>
      </c>
      <c r="CB16" s="172">
        <f t="shared" si="6"/>
        <v>0</v>
      </c>
      <c r="CC16" s="494">
        <f t="shared" si="7"/>
        <v>1</v>
      </c>
      <c r="CD16" s="192"/>
      <c r="CE16" s="192"/>
      <c r="CF16" s="172"/>
      <c r="CG16" s="172"/>
      <c r="CH16" s="172"/>
      <c r="CI16" s="172"/>
      <c r="CJ16" s="172"/>
      <c r="CK16" s="172"/>
      <c r="CL16" s="172"/>
      <c r="CM16" s="172"/>
      <c r="CN16" s="172"/>
      <c r="CO16" s="172"/>
      <c r="CP16" s="172"/>
      <c r="CQ16" s="172"/>
      <c r="CR16" s="172"/>
      <c r="CS16" s="172">
        <v>0</v>
      </c>
      <c r="CT16" s="172">
        <v>0</v>
      </c>
      <c r="CU16" s="192" t="e">
        <v>#DIV/0!</v>
      </c>
    </row>
    <row r="17" spans="1:99" s="68" customFormat="1" ht="15" x14ac:dyDescent="0.25">
      <c r="A17" s="490">
        <v>105</v>
      </c>
      <c r="B17" s="63" t="s">
        <v>65</v>
      </c>
      <c r="C17" s="490">
        <v>1149</v>
      </c>
      <c r="D17" s="63" t="s">
        <v>60</v>
      </c>
      <c r="E17" s="490">
        <v>2</v>
      </c>
      <c r="F17" s="559"/>
      <c r="G17" s="559"/>
      <c r="H17" s="559"/>
      <c r="I17" s="559"/>
      <c r="J17" s="561"/>
      <c r="K17" s="561"/>
      <c r="L17" s="166"/>
      <c r="M17" s="166"/>
      <c r="N17" s="166"/>
      <c r="O17" s="166"/>
      <c r="P17" s="180"/>
      <c r="Q17" s="183"/>
      <c r="R17" s="179"/>
      <c r="S17" s="179"/>
      <c r="T17" s="166"/>
      <c r="U17" s="166"/>
      <c r="V17" s="179"/>
      <c r="W17" s="179"/>
      <c r="X17" s="179"/>
      <c r="Y17" s="179"/>
      <c r="Z17" s="174"/>
      <c r="AA17" s="175"/>
      <c r="AB17" s="174"/>
      <c r="AC17" s="175"/>
      <c r="AD17" s="175"/>
      <c r="AE17" s="175"/>
      <c r="AF17" s="175"/>
      <c r="AG17" s="175"/>
      <c r="AH17" s="175"/>
      <c r="AI17" s="175"/>
      <c r="AJ17" s="175"/>
      <c r="AK17" s="175"/>
      <c r="AL17" s="175"/>
      <c r="AM17" s="175"/>
      <c r="AN17" s="175"/>
      <c r="AO17" s="175"/>
      <c r="AP17" s="175"/>
      <c r="AQ17" s="175"/>
      <c r="AR17" s="176"/>
      <c r="AS17" s="176"/>
      <c r="AT17" s="174"/>
      <c r="AU17" s="174"/>
      <c r="AV17" s="175"/>
      <c r="AW17" s="184"/>
      <c r="AX17" s="174"/>
      <c r="AY17" s="174"/>
      <c r="AZ17" s="174"/>
      <c r="BA17" s="174"/>
      <c r="BB17" s="174"/>
      <c r="BC17" s="174"/>
      <c r="BD17" s="174"/>
      <c r="BE17" s="174"/>
      <c r="BF17" s="174"/>
      <c r="BG17" s="174"/>
      <c r="BH17" s="174"/>
      <c r="BI17" s="175">
        <f t="shared" si="0"/>
        <v>0</v>
      </c>
      <c r="BJ17" s="175">
        <f t="shared" si="1"/>
        <v>0</v>
      </c>
      <c r="BK17" s="176"/>
      <c r="BL17" s="170"/>
      <c r="BM17" s="170"/>
      <c r="BN17" s="170"/>
      <c r="BO17" s="170"/>
      <c r="BP17" s="170"/>
      <c r="BQ17" s="170"/>
      <c r="BR17" s="170"/>
      <c r="BS17" s="172"/>
      <c r="BT17" s="172"/>
      <c r="BU17" s="172"/>
      <c r="BV17" s="172"/>
      <c r="BW17" s="172"/>
      <c r="BX17" s="172"/>
      <c r="BY17" s="172"/>
      <c r="BZ17" s="172"/>
      <c r="CA17" s="172">
        <f t="shared" si="5"/>
        <v>0</v>
      </c>
      <c r="CB17" s="172">
        <f t="shared" si="6"/>
        <v>0</v>
      </c>
      <c r="CC17" s="494" t="e">
        <f t="shared" si="7"/>
        <v>#DIV/0!</v>
      </c>
      <c r="CD17" s="192"/>
      <c r="CE17" s="192"/>
      <c r="CF17" s="172"/>
      <c r="CG17" s="172"/>
      <c r="CH17" s="172"/>
      <c r="CI17" s="172"/>
      <c r="CJ17" s="172"/>
      <c r="CK17" s="172"/>
      <c r="CL17" s="172"/>
      <c r="CM17" s="172"/>
      <c r="CN17" s="172"/>
      <c r="CO17" s="172"/>
      <c r="CP17" s="172"/>
      <c r="CQ17" s="172"/>
      <c r="CR17" s="172"/>
      <c r="CS17" s="172">
        <v>0</v>
      </c>
      <c r="CT17" s="172">
        <v>0</v>
      </c>
      <c r="CU17" s="192" t="e">
        <v>#DIV/0!</v>
      </c>
    </row>
    <row r="18" spans="1:99" s="68" customFormat="1" x14ac:dyDescent="0.25">
      <c r="A18" s="490">
        <v>106</v>
      </c>
      <c r="B18" s="63" t="s">
        <v>67</v>
      </c>
      <c r="C18" s="490">
        <v>1149</v>
      </c>
      <c r="D18" s="63" t="s">
        <v>60</v>
      </c>
      <c r="E18" s="490">
        <v>3</v>
      </c>
      <c r="F18" s="559" t="s">
        <v>53</v>
      </c>
      <c r="G18" s="559">
        <v>320</v>
      </c>
      <c r="H18" s="559" t="s">
        <v>61</v>
      </c>
      <c r="I18" s="559" t="s">
        <v>69</v>
      </c>
      <c r="J18" s="560"/>
      <c r="K18" s="560"/>
      <c r="L18" s="166" t="s">
        <v>363</v>
      </c>
      <c r="M18" s="166" t="s">
        <v>63</v>
      </c>
      <c r="N18" s="166" t="s">
        <v>336</v>
      </c>
      <c r="O18" s="166" t="s">
        <v>325</v>
      </c>
      <c r="P18" s="180">
        <v>41467</v>
      </c>
      <c r="Q18" s="180">
        <v>41474</v>
      </c>
      <c r="R18" s="166" t="s">
        <v>310</v>
      </c>
      <c r="S18" s="166" t="s">
        <v>364</v>
      </c>
      <c r="T18" s="166" t="s">
        <v>365</v>
      </c>
      <c r="U18" s="166" t="s">
        <v>327</v>
      </c>
      <c r="V18" s="179" t="s">
        <v>340</v>
      </c>
      <c r="W18" s="166">
        <v>66</v>
      </c>
      <c r="X18" s="166" t="s">
        <v>315</v>
      </c>
      <c r="Y18" s="166" t="s">
        <v>366</v>
      </c>
      <c r="Z18" s="174">
        <v>617</v>
      </c>
      <c r="AA18" s="175">
        <v>103000000</v>
      </c>
      <c r="AB18" s="174">
        <v>604</v>
      </c>
      <c r="AC18" s="175">
        <v>102600000</v>
      </c>
      <c r="AD18" s="175">
        <v>0</v>
      </c>
      <c r="AE18" s="175">
        <v>0</v>
      </c>
      <c r="AF18" s="175">
        <v>0</v>
      </c>
      <c r="AG18" s="175">
        <v>0</v>
      </c>
      <c r="AH18" s="175">
        <v>0</v>
      </c>
      <c r="AI18" s="175">
        <v>0</v>
      </c>
      <c r="AJ18" s="175">
        <v>0</v>
      </c>
      <c r="AK18" s="175">
        <v>0</v>
      </c>
      <c r="AL18" s="175">
        <v>0</v>
      </c>
      <c r="AM18" s="175">
        <v>0</v>
      </c>
      <c r="AN18" s="175">
        <v>0</v>
      </c>
      <c r="AO18" s="175">
        <v>0</v>
      </c>
      <c r="AP18" s="175">
        <f>SUM(AD18:AO18)</f>
        <v>0</v>
      </c>
      <c r="AQ18" s="175">
        <f>+AC18-AP18</f>
        <v>102600000</v>
      </c>
      <c r="AR18" s="176">
        <f>AP18/AC18</f>
        <v>0</v>
      </c>
      <c r="AS18" s="176"/>
      <c r="AT18" s="174">
        <v>60</v>
      </c>
      <c r="AU18" s="174">
        <v>67</v>
      </c>
      <c r="AV18" s="175">
        <v>102600000</v>
      </c>
      <c r="AW18" s="174">
        <v>0</v>
      </c>
      <c r="AX18" s="174">
        <v>9676113</v>
      </c>
      <c r="AY18" s="174">
        <v>0</v>
      </c>
      <c r="AZ18" s="174">
        <v>17870601</v>
      </c>
      <c r="BA18" s="174">
        <v>0</v>
      </c>
      <c r="BB18" s="174">
        <v>0</v>
      </c>
      <c r="BC18" s="174">
        <v>0</v>
      </c>
      <c r="BD18" s="174">
        <v>0</v>
      </c>
      <c r="BE18" s="174">
        <v>0</v>
      </c>
      <c r="BF18" s="174">
        <v>0</v>
      </c>
      <c r="BG18" s="174">
        <v>0</v>
      </c>
      <c r="BH18" s="174">
        <v>75053286</v>
      </c>
      <c r="BI18" s="175">
        <f t="shared" si="0"/>
        <v>102600000</v>
      </c>
      <c r="BJ18" s="175">
        <f t="shared" si="1"/>
        <v>0</v>
      </c>
      <c r="BK18" s="176">
        <f>+BI18/AV18</f>
        <v>1</v>
      </c>
      <c r="BL18" s="170"/>
      <c r="BM18" s="170"/>
      <c r="BN18" s="170"/>
      <c r="BO18" s="170"/>
      <c r="BP18" s="170"/>
      <c r="BQ18" s="170"/>
      <c r="BR18" s="170"/>
      <c r="BS18" s="172"/>
      <c r="BT18" s="172"/>
      <c r="BU18" s="172"/>
      <c r="BV18" s="172"/>
      <c r="BW18" s="172"/>
      <c r="BX18" s="172"/>
      <c r="BY18" s="172"/>
      <c r="BZ18" s="172"/>
      <c r="CA18" s="172">
        <f t="shared" si="5"/>
        <v>0</v>
      </c>
      <c r="CB18" s="172">
        <f t="shared" si="6"/>
        <v>0</v>
      </c>
      <c r="CC18" s="494" t="e">
        <f t="shared" si="7"/>
        <v>#DIV/0!</v>
      </c>
      <c r="CD18" s="192"/>
      <c r="CE18" s="192"/>
      <c r="CF18" s="172"/>
      <c r="CG18" s="172"/>
      <c r="CH18" s="172"/>
      <c r="CI18" s="172"/>
      <c r="CJ18" s="172"/>
      <c r="CK18" s="172"/>
      <c r="CL18" s="172"/>
      <c r="CM18" s="172"/>
      <c r="CN18" s="172"/>
      <c r="CO18" s="172"/>
      <c r="CP18" s="172"/>
      <c r="CQ18" s="172"/>
      <c r="CR18" s="172"/>
      <c r="CS18" s="172">
        <v>0</v>
      </c>
      <c r="CT18" s="172">
        <v>0</v>
      </c>
      <c r="CU18" s="192" t="e">
        <v>#DIV/0!</v>
      </c>
    </row>
    <row r="19" spans="1:99" s="68" customFormat="1" x14ac:dyDescent="0.25">
      <c r="A19" s="490">
        <v>106</v>
      </c>
      <c r="B19" s="63" t="s">
        <v>67</v>
      </c>
      <c r="C19" s="490">
        <v>1149</v>
      </c>
      <c r="D19" s="63" t="s">
        <v>60</v>
      </c>
      <c r="E19" s="490">
        <v>3</v>
      </c>
      <c r="F19" s="559"/>
      <c r="G19" s="559"/>
      <c r="H19" s="559"/>
      <c r="I19" s="559"/>
      <c r="J19" s="561"/>
      <c r="K19" s="561"/>
      <c r="L19" s="166" t="s">
        <v>367</v>
      </c>
      <c r="M19" s="166" t="s">
        <v>63</v>
      </c>
      <c r="N19" s="166" t="s">
        <v>336</v>
      </c>
      <c r="O19" s="166" t="s">
        <v>320</v>
      </c>
      <c r="P19" s="183"/>
      <c r="Q19" s="183"/>
      <c r="R19" s="183"/>
      <c r="S19" s="166">
        <v>111</v>
      </c>
      <c r="T19" s="183"/>
      <c r="U19" s="166" t="s">
        <v>368</v>
      </c>
      <c r="V19" s="183"/>
      <c r="W19" s="183"/>
      <c r="X19" s="183"/>
      <c r="Y19" s="166"/>
      <c r="Z19" s="174">
        <v>831</v>
      </c>
      <c r="AA19" s="175">
        <v>2181818</v>
      </c>
      <c r="AB19" s="174">
        <v>823</v>
      </c>
      <c r="AC19" s="175">
        <v>2181818</v>
      </c>
      <c r="AD19" s="175">
        <v>0</v>
      </c>
      <c r="AE19" s="175">
        <v>0</v>
      </c>
      <c r="AF19" s="175">
        <v>0</v>
      </c>
      <c r="AG19" s="175">
        <v>0</v>
      </c>
      <c r="AH19" s="175">
        <v>0</v>
      </c>
      <c r="AI19" s="175">
        <v>0</v>
      </c>
      <c r="AJ19" s="175">
        <v>0</v>
      </c>
      <c r="AK19" s="175">
        <v>0</v>
      </c>
      <c r="AL19" s="175">
        <v>0</v>
      </c>
      <c r="AM19" s="175">
        <v>0</v>
      </c>
      <c r="AN19" s="175">
        <v>0</v>
      </c>
      <c r="AO19" s="175">
        <v>0</v>
      </c>
      <c r="AP19" s="175">
        <f>SUM(AD19:AO19)</f>
        <v>0</v>
      </c>
      <c r="AQ19" s="175">
        <f>+AC19-AP19</f>
        <v>2181818</v>
      </c>
      <c r="AR19" s="176">
        <f>AP19/AC19</f>
        <v>0</v>
      </c>
      <c r="AS19" s="176"/>
      <c r="AT19" s="174">
        <v>66</v>
      </c>
      <c r="AU19" s="174">
        <v>73</v>
      </c>
      <c r="AV19" s="175">
        <v>2181818</v>
      </c>
      <c r="AW19" s="174">
        <v>0</v>
      </c>
      <c r="AX19" s="174">
        <v>1090909</v>
      </c>
      <c r="AY19" s="174">
        <v>0</v>
      </c>
      <c r="AZ19" s="174">
        <v>0</v>
      </c>
      <c r="BA19" s="174">
        <v>0</v>
      </c>
      <c r="BB19" s="174">
        <v>0</v>
      </c>
      <c r="BC19" s="174">
        <v>0</v>
      </c>
      <c r="BD19" s="174">
        <v>0</v>
      </c>
      <c r="BE19" s="174">
        <v>0</v>
      </c>
      <c r="BF19" s="174">
        <v>0</v>
      </c>
      <c r="BG19" s="174">
        <v>0</v>
      </c>
      <c r="BH19" s="174">
        <v>0</v>
      </c>
      <c r="BI19" s="175">
        <f t="shared" si="0"/>
        <v>1090909</v>
      </c>
      <c r="BJ19" s="175">
        <f t="shared" si="1"/>
        <v>1090909</v>
      </c>
      <c r="BK19" s="176">
        <f>+BI19/AV19</f>
        <v>0.5</v>
      </c>
      <c r="BL19" s="170">
        <v>17</v>
      </c>
      <c r="BM19" s="170">
        <v>11</v>
      </c>
      <c r="BN19" s="170">
        <v>1090909</v>
      </c>
      <c r="BO19" s="170">
        <v>0</v>
      </c>
      <c r="BP19" s="170">
        <v>0</v>
      </c>
      <c r="BQ19" s="170">
        <v>1090909</v>
      </c>
      <c r="BR19" s="170">
        <v>0</v>
      </c>
      <c r="BS19" s="172">
        <v>0</v>
      </c>
      <c r="BT19" s="172">
        <v>0</v>
      </c>
      <c r="BU19" s="172">
        <v>0</v>
      </c>
      <c r="BV19" s="172">
        <v>0</v>
      </c>
      <c r="BW19" s="172">
        <v>0</v>
      </c>
      <c r="BX19" s="172">
        <v>0</v>
      </c>
      <c r="BY19" s="172">
        <v>0</v>
      </c>
      <c r="BZ19" s="172">
        <v>0</v>
      </c>
      <c r="CA19" s="172">
        <f t="shared" si="5"/>
        <v>1090909</v>
      </c>
      <c r="CB19" s="172">
        <f t="shared" si="6"/>
        <v>0</v>
      </c>
      <c r="CC19" s="494">
        <f t="shared" si="7"/>
        <v>1</v>
      </c>
      <c r="CD19" s="192"/>
      <c r="CE19" s="192"/>
      <c r="CF19" s="172"/>
      <c r="CG19" s="172"/>
      <c r="CH19" s="172"/>
      <c r="CI19" s="172"/>
      <c r="CJ19" s="172"/>
      <c r="CK19" s="172"/>
      <c r="CL19" s="172"/>
      <c r="CM19" s="172"/>
      <c r="CN19" s="172"/>
      <c r="CO19" s="172"/>
      <c r="CP19" s="172"/>
      <c r="CQ19" s="172"/>
      <c r="CR19" s="172"/>
      <c r="CS19" s="172">
        <v>0</v>
      </c>
      <c r="CT19" s="172">
        <v>0</v>
      </c>
      <c r="CU19" s="192" t="e">
        <v>#DIV/0!</v>
      </c>
    </row>
    <row r="20" spans="1:99" s="68" customFormat="1" x14ac:dyDescent="0.25">
      <c r="A20" s="490">
        <v>106</v>
      </c>
      <c r="B20" s="63" t="s">
        <v>67</v>
      </c>
      <c r="C20" s="490">
        <v>1149</v>
      </c>
      <c r="D20" s="63" t="s">
        <v>60</v>
      </c>
      <c r="E20" s="490">
        <v>3</v>
      </c>
      <c r="F20" s="559"/>
      <c r="G20" s="559"/>
      <c r="H20" s="559"/>
      <c r="I20" s="559"/>
      <c r="J20" s="561"/>
      <c r="K20" s="561"/>
      <c r="L20" s="166"/>
      <c r="M20" s="166"/>
      <c r="N20" s="166"/>
      <c r="O20" s="166"/>
      <c r="P20" s="180"/>
      <c r="Q20" s="183"/>
      <c r="R20" s="166"/>
      <c r="S20" s="166"/>
      <c r="T20" s="166"/>
      <c r="U20" s="166"/>
      <c r="V20" s="179"/>
      <c r="W20" s="166"/>
      <c r="X20" s="179"/>
      <c r="Y20" s="166"/>
      <c r="Z20" s="174"/>
      <c r="AA20" s="175"/>
      <c r="AB20" s="174"/>
      <c r="AC20" s="175"/>
      <c r="AD20" s="175"/>
      <c r="AE20" s="175"/>
      <c r="AF20" s="175"/>
      <c r="AG20" s="175"/>
      <c r="AH20" s="175"/>
      <c r="AI20" s="175"/>
      <c r="AJ20" s="175"/>
      <c r="AK20" s="175"/>
      <c r="AL20" s="175"/>
      <c r="AM20" s="175"/>
      <c r="AN20" s="175"/>
      <c r="AO20" s="175"/>
      <c r="AP20" s="175"/>
      <c r="AQ20" s="175"/>
      <c r="AR20" s="176"/>
      <c r="AS20" s="176"/>
      <c r="AT20" s="174"/>
      <c r="AU20" s="174"/>
      <c r="AV20" s="175"/>
      <c r="AW20" s="174"/>
      <c r="AX20" s="174"/>
      <c r="AY20" s="174"/>
      <c r="AZ20" s="174"/>
      <c r="BA20" s="174"/>
      <c r="BB20" s="174"/>
      <c r="BC20" s="174"/>
      <c r="BD20" s="174"/>
      <c r="BE20" s="174"/>
      <c r="BF20" s="174"/>
      <c r="BG20" s="174"/>
      <c r="BH20" s="174"/>
      <c r="BI20" s="175">
        <f t="shared" si="0"/>
        <v>0</v>
      </c>
      <c r="BJ20" s="175">
        <f t="shared" si="1"/>
        <v>0</v>
      </c>
      <c r="BK20" s="176"/>
      <c r="BL20" s="170"/>
      <c r="BM20" s="170"/>
      <c r="BN20" s="170"/>
      <c r="BO20" s="170"/>
      <c r="BP20" s="170"/>
      <c r="BQ20" s="170"/>
      <c r="BR20" s="170"/>
      <c r="BS20" s="172"/>
      <c r="BT20" s="172"/>
      <c r="BU20" s="172"/>
      <c r="BV20" s="172"/>
      <c r="BW20" s="172"/>
      <c r="BX20" s="172"/>
      <c r="BY20" s="172"/>
      <c r="BZ20" s="172"/>
      <c r="CA20" s="172">
        <f t="shared" si="5"/>
        <v>0</v>
      </c>
      <c r="CB20" s="172">
        <f t="shared" si="6"/>
        <v>0</v>
      </c>
      <c r="CC20" s="494" t="e">
        <f t="shared" si="7"/>
        <v>#DIV/0!</v>
      </c>
      <c r="CD20" s="192"/>
      <c r="CE20" s="192"/>
      <c r="CF20" s="172"/>
      <c r="CG20" s="172"/>
      <c r="CH20" s="172"/>
      <c r="CI20" s="172"/>
      <c r="CJ20" s="172"/>
      <c r="CK20" s="172"/>
      <c r="CL20" s="172"/>
      <c r="CM20" s="172"/>
      <c r="CN20" s="172"/>
      <c r="CO20" s="172"/>
      <c r="CP20" s="172"/>
      <c r="CQ20" s="172"/>
      <c r="CR20" s="172"/>
      <c r="CS20" s="172">
        <v>0</v>
      </c>
      <c r="CT20" s="172">
        <v>0</v>
      </c>
      <c r="CU20" s="192" t="e">
        <v>#DIV/0!</v>
      </c>
    </row>
    <row r="21" spans="1:99" s="68" customFormat="1" ht="13.5" customHeight="1" x14ac:dyDescent="0.25">
      <c r="A21" s="490">
        <v>107</v>
      </c>
      <c r="B21" s="63" t="s">
        <v>71</v>
      </c>
      <c r="C21" s="490">
        <v>1150</v>
      </c>
      <c r="D21" s="63" t="s">
        <v>73</v>
      </c>
      <c r="E21" s="490">
        <v>1</v>
      </c>
      <c r="F21" s="584" t="s">
        <v>53</v>
      </c>
      <c r="G21" s="584">
        <v>400</v>
      </c>
      <c r="H21" s="584" t="s">
        <v>74</v>
      </c>
      <c r="I21" s="584" t="s">
        <v>75</v>
      </c>
      <c r="J21" s="586"/>
      <c r="K21" s="586"/>
      <c r="L21" s="166" t="s">
        <v>369</v>
      </c>
      <c r="M21" s="166" t="s">
        <v>76</v>
      </c>
      <c r="N21" s="166" t="s">
        <v>329</v>
      </c>
      <c r="O21" s="166" t="s">
        <v>320</v>
      </c>
      <c r="P21" s="180">
        <v>41635</v>
      </c>
      <c r="Q21" s="185"/>
      <c r="R21" s="166" t="s">
        <v>321</v>
      </c>
      <c r="S21" s="166" t="s">
        <v>370</v>
      </c>
      <c r="T21" s="166" t="s">
        <v>371</v>
      </c>
      <c r="U21" s="166" t="s">
        <v>372</v>
      </c>
      <c r="V21" s="166">
        <v>17904681</v>
      </c>
      <c r="W21" s="185"/>
      <c r="X21" s="166" t="s">
        <v>315</v>
      </c>
      <c r="Y21" s="166"/>
      <c r="Z21" s="174">
        <v>857</v>
      </c>
      <c r="AA21" s="175">
        <v>16000000</v>
      </c>
      <c r="AB21" s="174">
        <v>892</v>
      </c>
      <c r="AC21" s="175">
        <v>10000000</v>
      </c>
      <c r="AD21" s="175">
        <v>0</v>
      </c>
      <c r="AE21" s="175">
        <v>0</v>
      </c>
      <c r="AF21" s="175">
        <v>0</v>
      </c>
      <c r="AG21" s="175">
        <v>0</v>
      </c>
      <c r="AH21" s="175">
        <v>0</v>
      </c>
      <c r="AI21" s="175">
        <v>0</v>
      </c>
      <c r="AJ21" s="175">
        <v>0</v>
      </c>
      <c r="AK21" s="175">
        <v>0</v>
      </c>
      <c r="AL21" s="175">
        <v>0</v>
      </c>
      <c r="AM21" s="175">
        <v>0</v>
      </c>
      <c r="AN21" s="175">
        <v>0</v>
      </c>
      <c r="AO21" s="175">
        <v>0</v>
      </c>
      <c r="AP21" s="175">
        <f>SUM(AD21:AO21)</f>
        <v>0</v>
      </c>
      <c r="AQ21" s="175">
        <f>+AC21-AP21</f>
        <v>10000000</v>
      </c>
      <c r="AR21" s="176">
        <f>AP21/AC21</f>
        <v>0</v>
      </c>
      <c r="AS21" s="176"/>
      <c r="AT21" s="174">
        <v>74</v>
      </c>
      <c r="AU21" s="174">
        <v>81</v>
      </c>
      <c r="AV21" s="175">
        <v>10000000</v>
      </c>
      <c r="AW21" s="174">
        <v>0</v>
      </c>
      <c r="AX21" s="174">
        <v>1900000</v>
      </c>
      <c r="AY21" s="174">
        <v>0</v>
      </c>
      <c r="AZ21" s="174">
        <v>1250000</v>
      </c>
      <c r="BA21" s="174">
        <v>1250000</v>
      </c>
      <c r="BB21" s="174">
        <v>2500000</v>
      </c>
      <c r="BC21" s="174">
        <v>0</v>
      </c>
      <c r="BD21" s="174">
        <v>1250000</v>
      </c>
      <c r="BE21" s="174">
        <v>0</v>
      </c>
      <c r="BF21" s="174">
        <v>1250000</v>
      </c>
      <c r="BG21" s="174">
        <v>0</v>
      </c>
      <c r="BH21" s="174">
        <v>600000</v>
      </c>
      <c r="BI21" s="175">
        <f t="shared" si="0"/>
        <v>10000000</v>
      </c>
      <c r="BJ21" s="175">
        <f t="shared" si="1"/>
        <v>0</v>
      </c>
      <c r="BK21" s="176">
        <f>+BI21/AV21</f>
        <v>1</v>
      </c>
      <c r="BL21" s="170"/>
      <c r="BM21" s="170"/>
      <c r="BN21" s="170"/>
      <c r="BO21" s="170"/>
      <c r="BP21" s="170"/>
      <c r="BQ21" s="170"/>
      <c r="BR21" s="170"/>
      <c r="BS21" s="172"/>
      <c r="BT21" s="172"/>
      <c r="BU21" s="172"/>
      <c r="BV21" s="172"/>
      <c r="BW21" s="172"/>
      <c r="BX21" s="172"/>
      <c r="BY21" s="172"/>
      <c r="BZ21" s="172"/>
      <c r="CA21" s="172">
        <f t="shared" si="5"/>
        <v>0</v>
      </c>
      <c r="CB21" s="172">
        <f t="shared" si="6"/>
        <v>0</v>
      </c>
      <c r="CC21" s="494" t="e">
        <f t="shared" si="7"/>
        <v>#DIV/0!</v>
      </c>
      <c r="CD21" s="192"/>
      <c r="CE21" s="192"/>
      <c r="CF21" s="172"/>
      <c r="CG21" s="172"/>
      <c r="CH21" s="172"/>
      <c r="CI21" s="172"/>
      <c r="CJ21" s="172"/>
      <c r="CK21" s="172"/>
      <c r="CL21" s="172"/>
      <c r="CM21" s="172"/>
      <c r="CN21" s="172"/>
      <c r="CO21" s="172"/>
      <c r="CP21" s="172"/>
      <c r="CQ21" s="172"/>
      <c r="CR21" s="172"/>
      <c r="CS21" s="172">
        <v>0</v>
      </c>
      <c r="CT21" s="172">
        <v>0</v>
      </c>
      <c r="CU21" s="192" t="e">
        <v>#DIV/0!</v>
      </c>
    </row>
    <row r="22" spans="1:99" s="68" customFormat="1" x14ac:dyDescent="0.25">
      <c r="A22" s="490">
        <v>107</v>
      </c>
      <c r="B22" s="63" t="s">
        <v>71</v>
      </c>
      <c r="C22" s="490">
        <v>1150</v>
      </c>
      <c r="D22" s="63" t="s">
        <v>73</v>
      </c>
      <c r="E22" s="490">
        <v>1</v>
      </c>
      <c r="F22" s="585"/>
      <c r="G22" s="585"/>
      <c r="H22" s="585"/>
      <c r="I22" s="585"/>
      <c r="J22" s="587"/>
      <c r="K22" s="587"/>
      <c r="L22" s="166" t="s">
        <v>373</v>
      </c>
      <c r="M22" s="166" t="s">
        <v>76</v>
      </c>
      <c r="N22" s="166" t="s">
        <v>329</v>
      </c>
      <c r="O22" s="166" t="s">
        <v>356</v>
      </c>
      <c r="P22" s="180">
        <v>41634</v>
      </c>
      <c r="Q22" s="185"/>
      <c r="R22" s="166" t="s">
        <v>321</v>
      </c>
      <c r="S22" s="166" t="s">
        <v>374</v>
      </c>
      <c r="T22" s="166" t="s">
        <v>375</v>
      </c>
      <c r="U22" s="166" t="s">
        <v>376</v>
      </c>
      <c r="V22" s="166">
        <v>900413743</v>
      </c>
      <c r="W22" s="185"/>
      <c r="X22" s="166" t="s">
        <v>315</v>
      </c>
      <c r="Y22" s="166"/>
      <c r="Z22" s="174">
        <v>803</v>
      </c>
      <c r="AA22" s="175">
        <v>184705000</v>
      </c>
      <c r="AB22" s="174">
        <v>880</v>
      </c>
      <c r="AC22" s="175">
        <v>184630000</v>
      </c>
      <c r="AD22" s="175">
        <v>0</v>
      </c>
      <c r="AE22" s="175">
        <v>0</v>
      </c>
      <c r="AF22" s="175">
        <v>0</v>
      </c>
      <c r="AG22" s="175">
        <v>0</v>
      </c>
      <c r="AH22" s="175">
        <v>0</v>
      </c>
      <c r="AI22" s="175">
        <v>0</v>
      </c>
      <c r="AJ22" s="175">
        <v>0</v>
      </c>
      <c r="AK22" s="175">
        <v>0</v>
      </c>
      <c r="AL22" s="175">
        <v>0</v>
      </c>
      <c r="AM22" s="175">
        <v>0</v>
      </c>
      <c r="AN22" s="175">
        <v>0</v>
      </c>
      <c r="AO22" s="175">
        <v>0</v>
      </c>
      <c r="AP22" s="175">
        <f>SUM(AD22:AO22)</f>
        <v>0</v>
      </c>
      <c r="AQ22" s="175">
        <f>+AC22-AP22</f>
        <v>184630000</v>
      </c>
      <c r="AR22" s="176">
        <f>AP22/AC22</f>
        <v>0</v>
      </c>
      <c r="AS22" s="176"/>
      <c r="AT22" s="174">
        <v>72</v>
      </c>
      <c r="AU22" s="174">
        <v>79</v>
      </c>
      <c r="AV22" s="175">
        <v>184630000</v>
      </c>
      <c r="AW22" s="174">
        <v>0</v>
      </c>
      <c r="AX22" s="174">
        <v>0</v>
      </c>
      <c r="AY22" s="174">
        <v>0</v>
      </c>
      <c r="AZ22" s="174">
        <v>5033741</v>
      </c>
      <c r="BA22" s="174">
        <v>21688803</v>
      </c>
      <c r="BB22" s="174">
        <v>17104702</v>
      </c>
      <c r="BC22" s="174">
        <v>0</v>
      </c>
      <c r="BD22" s="174">
        <v>38385399</v>
      </c>
      <c r="BE22" s="174">
        <v>0</v>
      </c>
      <c r="BF22" s="174">
        <v>40070778</v>
      </c>
      <c r="BG22" s="174">
        <v>24023207</v>
      </c>
      <c r="BH22" s="174">
        <v>0</v>
      </c>
      <c r="BI22" s="175">
        <f t="shared" si="0"/>
        <v>146306630</v>
      </c>
      <c r="BJ22" s="175">
        <f t="shared" si="1"/>
        <v>38323370</v>
      </c>
      <c r="BK22" s="176">
        <f>+BI22/AV22</f>
        <v>0.79243151167199266</v>
      </c>
      <c r="BL22" s="170">
        <v>22</v>
      </c>
      <c r="BM22" s="170">
        <v>16</v>
      </c>
      <c r="BN22" s="170">
        <v>38323370</v>
      </c>
      <c r="BO22" s="170">
        <v>0</v>
      </c>
      <c r="BP22" s="170">
        <v>0</v>
      </c>
      <c r="BQ22" s="170">
        <v>0</v>
      </c>
      <c r="BR22" s="170">
        <v>0</v>
      </c>
      <c r="BS22" s="172"/>
      <c r="BT22" s="172"/>
      <c r="BU22" s="172"/>
      <c r="BV22" s="172"/>
      <c r="BW22" s="172"/>
      <c r="BX22" s="172"/>
      <c r="BY22" s="172"/>
      <c r="BZ22" s="172"/>
      <c r="CA22" s="172">
        <f t="shared" si="5"/>
        <v>0</v>
      </c>
      <c r="CB22" s="172">
        <f t="shared" si="6"/>
        <v>38323370</v>
      </c>
      <c r="CC22" s="494">
        <f t="shared" si="7"/>
        <v>0</v>
      </c>
      <c r="CD22" s="192"/>
      <c r="CE22" s="192"/>
      <c r="CF22" s="172"/>
      <c r="CG22" s="172"/>
      <c r="CH22" s="172"/>
      <c r="CI22" s="172"/>
      <c r="CJ22" s="172"/>
      <c r="CK22" s="172"/>
      <c r="CL22" s="172"/>
      <c r="CM22" s="172"/>
      <c r="CN22" s="172"/>
      <c r="CO22" s="172"/>
      <c r="CP22" s="172"/>
      <c r="CQ22" s="172"/>
      <c r="CR22" s="172"/>
      <c r="CS22" s="172">
        <v>0</v>
      </c>
      <c r="CT22" s="172">
        <v>0</v>
      </c>
      <c r="CU22" s="192" t="e">
        <v>#DIV/0!</v>
      </c>
    </row>
    <row r="23" spans="1:99" s="68" customFormat="1" x14ac:dyDescent="0.25">
      <c r="A23" s="490">
        <v>107</v>
      </c>
      <c r="B23" s="63" t="s">
        <v>71</v>
      </c>
      <c r="C23" s="490">
        <v>1150</v>
      </c>
      <c r="D23" s="63" t="s">
        <v>73</v>
      </c>
      <c r="E23" s="490">
        <v>1</v>
      </c>
      <c r="F23" s="585"/>
      <c r="G23" s="585"/>
      <c r="H23" s="585"/>
      <c r="I23" s="585"/>
      <c r="J23" s="587"/>
      <c r="K23" s="587"/>
      <c r="L23" s="166"/>
      <c r="M23" s="166"/>
      <c r="N23" s="185"/>
      <c r="O23" s="166"/>
      <c r="P23" s="185"/>
      <c r="Q23" s="185"/>
      <c r="R23" s="185"/>
      <c r="S23" s="166"/>
      <c r="T23" s="185"/>
      <c r="U23" s="166"/>
      <c r="V23" s="185"/>
      <c r="W23" s="185"/>
      <c r="X23" s="185"/>
      <c r="Y23" s="166"/>
      <c r="Z23" s="174"/>
      <c r="AA23" s="175"/>
      <c r="AB23" s="174"/>
      <c r="AC23" s="175"/>
      <c r="AD23" s="175"/>
      <c r="AE23" s="175"/>
      <c r="AF23" s="175"/>
      <c r="AG23" s="175"/>
      <c r="AH23" s="175"/>
      <c r="AI23" s="175"/>
      <c r="AJ23" s="175"/>
      <c r="AK23" s="175"/>
      <c r="AL23" s="175"/>
      <c r="AM23" s="175"/>
      <c r="AN23" s="175"/>
      <c r="AO23" s="175"/>
      <c r="AP23" s="175"/>
      <c r="AQ23" s="175"/>
      <c r="AR23" s="176"/>
      <c r="AS23" s="176"/>
      <c r="AT23" s="174"/>
      <c r="AU23" s="174"/>
      <c r="AV23" s="175"/>
      <c r="AW23" s="174"/>
      <c r="AX23" s="174"/>
      <c r="AY23" s="174"/>
      <c r="AZ23" s="174"/>
      <c r="BA23" s="174"/>
      <c r="BB23" s="174"/>
      <c r="BC23" s="174"/>
      <c r="BD23" s="174"/>
      <c r="BE23" s="174"/>
      <c r="BF23" s="174"/>
      <c r="BG23" s="174"/>
      <c r="BH23" s="174"/>
      <c r="BI23" s="175">
        <f t="shared" si="0"/>
        <v>0</v>
      </c>
      <c r="BJ23" s="175">
        <f t="shared" si="1"/>
        <v>0</v>
      </c>
      <c r="BK23" s="176"/>
      <c r="BL23" s="170"/>
      <c r="BM23" s="170"/>
      <c r="BN23" s="170"/>
      <c r="BO23" s="170"/>
      <c r="BP23" s="170"/>
      <c r="BQ23" s="170"/>
      <c r="BR23" s="170"/>
      <c r="BS23" s="172"/>
      <c r="BT23" s="172"/>
      <c r="BU23" s="172"/>
      <c r="BV23" s="172"/>
      <c r="BW23" s="172"/>
      <c r="BX23" s="172"/>
      <c r="BY23" s="172"/>
      <c r="BZ23" s="172"/>
      <c r="CA23" s="172">
        <f t="shared" si="5"/>
        <v>0</v>
      </c>
      <c r="CB23" s="172">
        <f t="shared" si="6"/>
        <v>0</v>
      </c>
      <c r="CC23" s="494" t="e">
        <f t="shared" si="7"/>
        <v>#DIV/0!</v>
      </c>
      <c r="CD23" s="192"/>
      <c r="CE23" s="192"/>
      <c r="CF23" s="172"/>
      <c r="CG23" s="172"/>
      <c r="CH23" s="172"/>
      <c r="CI23" s="172"/>
      <c r="CJ23" s="172"/>
      <c r="CK23" s="172"/>
      <c r="CL23" s="172"/>
      <c r="CM23" s="172"/>
      <c r="CN23" s="172"/>
      <c r="CO23" s="172"/>
      <c r="CP23" s="172"/>
      <c r="CQ23" s="172"/>
      <c r="CR23" s="172"/>
      <c r="CS23" s="172">
        <v>0</v>
      </c>
      <c r="CT23" s="172">
        <v>0</v>
      </c>
      <c r="CU23" s="192" t="e">
        <v>#DIV/0!</v>
      </c>
    </row>
    <row r="24" spans="1:99" s="68" customFormat="1" x14ac:dyDescent="0.25">
      <c r="A24" s="491">
        <v>108</v>
      </c>
      <c r="B24" s="65" t="s">
        <v>78</v>
      </c>
      <c r="C24" s="491">
        <v>1150</v>
      </c>
      <c r="D24" s="65" t="s">
        <v>73</v>
      </c>
      <c r="E24" s="491">
        <v>2</v>
      </c>
      <c r="F24" s="559" t="s">
        <v>80</v>
      </c>
      <c r="G24" s="559">
        <v>1000</v>
      </c>
      <c r="H24" s="559" t="s">
        <v>81</v>
      </c>
      <c r="I24" s="559" t="s">
        <v>82</v>
      </c>
      <c r="J24" s="588"/>
      <c r="K24" s="588"/>
      <c r="L24" s="166" t="s">
        <v>377</v>
      </c>
      <c r="M24" s="166" t="s">
        <v>76</v>
      </c>
      <c r="N24" s="166" t="s">
        <v>329</v>
      </c>
      <c r="O24" s="166" t="s">
        <v>356</v>
      </c>
      <c r="P24" s="180">
        <v>41572</v>
      </c>
      <c r="Q24" s="180">
        <v>41607</v>
      </c>
      <c r="R24" s="166" t="s">
        <v>378</v>
      </c>
      <c r="S24" s="166" t="s">
        <v>379</v>
      </c>
      <c r="T24" s="166" t="s">
        <v>380</v>
      </c>
      <c r="U24" s="166" t="s">
        <v>381</v>
      </c>
      <c r="V24" s="166" t="s">
        <v>382</v>
      </c>
      <c r="W24" s="166">
        <v>600</v>
      </c>
      <c r="X24" s="166" t="s">
        <v>315</v>
      </c>
      <c r="Y24" s="166"/>
      <c r="Z24" s="174">
        <v>684</v>
      </c>
      <c r="AA24" s="175">
        <v>66505250</v>
      </c>
      <c r="AB24" s="174">
        <v>758</v>
      </c>
      <c r="AC24" s="175">
        <v>64820800</v>
      </c>
      <c r="AD24" s="175">
        <v>0</v>
      </c>
      <c r="AE24" s="175">
        <v>0</v>
      </c>
      <c r="AF24" s="175">
        <v>0</v>
      </c>
      <c r="AG24" s="175">
        <v>0</v>
      </c>
      <c r="AH24" s="175">
        <v>0</v>
      </c>
      <c r="AI24" s="175">
        <v>0</v>
      </c>
      <c r="AJ24" s="175">
        <v>0</v>
      </c>
      <c r="AK24" s="175">
        <v>0</v>
      </c>
      <c r="AL24" s="175">
        <v>0</v>
      </c>
      <c r="AM24" s="175">
        <v>0</v>
      </c>
      <c r="AN24" s="175">
        <v>0</v>
      </c>
      <c r="AO24" s="175">
        <v>0</v>
      </c>
      <c r="AP24" s="175">
        <f t="shared" ref="AP24:AP31" si="12">SUM(AD24:AO24)</f>
        <v>0</v>
      </c>
      <c r="AQ24" s="175">
        <f t="shared" ref="AQ24:AQ31" si="13">+AC24-AP24</f>
        <v>64820800</v>
      </c>
      <c r="AR24" s="176">
        <f t="shared" ref="AR24:AR31" si="14">AP24/AC24</f>
        <v>0</v>
      </c>
      <c r="AS24" s="176"/>
      <c r="AT24" s="174">
        <v>67</v>
      </c>
      <c r="AU24" s="174">
        <v>74</v>
      </c>
      <c r="AV24" s="175">
        <v>64820800</v>
      </c>
      <c r="AW24" s="174">
        <v>0</v>
      </c>
      <c r="AX24" s="174">
        <v>0</v>
      </c>
      <c r="AY24" s="174">
        <v>0</v>
      </c>
      <c r="AZ24" s="174">
        <v>4000000</v>
      </c>
      <c r="BA24" s="174">
        <v>0</v>
      </c>
      <c r="BB24" s="174">
        <v>0</v>
      </c>
      <c r="BC24" s="174">
        <v>0</v>
      </c>
      <c r="BD24" s="174">
        <v>0</v>
      </c>
      <c r="BE24" s="174">
        <v>0</v>
      </c>
      <c r="BF24" s="174">
        <v>0</v>
      </c>
      <c r="BG24" s="174">
        <v>0</v>
      </c>
      <c r="BH24" s="174">
        <v>0</v>
      </c>
      <c r="BI24" s="175">
        <f t="shared" si="0"/>
        <v>4000000</v>
      </c>
      <c r="BJ24" s="175">
        <f t="shared" si="1"/>
        <v>60820800</v>
      </c>
      <c r="BK24" s="176">
        <f>+BI24/AV24</f>
        <v>6.1708587367017995E-2</v>
      </c>
      <c r="BL24" s="170">
        <v>18</v>
      </c>
      <c r="BM24" s="170">
        <v>12</v>
      </c>
      <c r="BN24" s="170">
        <v>60820800</v>
      </c>
      <c r="BO24" s="170">
        <v>0</v>
      </c>
      <c r="BP24" s="170">
        <v>0</v>
      </c>
      <c r="BQ24" s="170">
        <v>0</v>
      </c>
      <c r="BR24" s="170">
        <v>0</v>
      </c>
      <c r="BS24" s="172">
        <v>0</v>
      </c>
      <c r="BT24" s="172">
        <v>60820800</v>
      </c>
      <c r="BU24" s="172">
        <v>0</v>
      </c>
      <c r="BV24" s="172">
        <v>0</v>
      </c>
      <c r="BW24" s="172">
        <v>0</v>
      </c>
      <c r="BX24" s="172">
        <v>0</v>
      </c>
      <c r="BY24" s="172">
        <v>0</v>
      </c>
      <c r="BZ24" s="172">
        <v>0</v>
      </c>
      <c r="CA24" s="172">
        <f t="shared" si="5"/>
        <v>60820800</v>
      </c>
      <c r="CB24" s="172">
        <f t="shared" si="6"/>
        <v>0</v>
      </c>
      <c r="CC24" s="494">
        <f t="shared" si="7"/>
        <v>1</v>
      </c>
      <c r="CD24" s="192"/>
      <c r="CE24" s="192"/>
      <c r="CF24" s="172"/>
      <c r="CG24" s="172"/>
      <c r="CH24" s="172"/>
      <c r="CI24" s="172"/>
      <c r="CJ24" s="172"/>
      <c r="CK24" s="172"/>
      <c r="CL24" s="172"/>
      <c r="CM24" s="172"/>
      <c r="CN24" s="172"/>
      <c r="CO24" s="172"/>
      <c r="CP24" s="172"/>
      <c r="CQ24" s="172"/>
      <c r="CR24" s="172"/>
      <c r="CS24" s="172">
        <v>0</v>
      </c>
      <c r="CT24" s="172">
        <v>0</v>
      </c>
      <c r="CU24" s="192" t="e">
        <v>#DIV/0!</v>
      </c>
    </row>
    <row r="25" spans="1:99" s="68" customFormat="1" x14ac:dyDescent="0.25">
      <c r="A25" s="491">
        <v>108</v>
      </c>
      <c r="B25" s="65" t="s">
        <v>78</v>
      </c>
      <c r="C25" s="491">
        <v>1150</v>
      </c>
      <c r="D25" s="65" t="s">
        <v>73</v>
      </c>
      <c r="E25" s="491">
        <v>2</v>
      </c>
      <c r="F25" s="559"/>
      <c r="G25" s="559"/>
      <c r="H25" s="559"/>
      <c r="I25" s="559"/>
      <c r="J25" s="589"/>
      <c r="K25" s="589"/>
      <c r="L25" s="166" t="s">
        <v>383</v>
      </c>
      <c r="M25" s="166" t="s">
        <v>76</v>
      </c>
      <c r="N25" s="166" t="s">
        <v>329</v>
      </c>
      <c r="O25" s="166" t="s">
        <v>356</v>
      </c>
      <c r="P25" s="180">
        <v>41611</v>
      </c>
      <c r="Q25" s="185"/>
      <c r="R25" s="166" t="s">
        <v>378</v>
      </c>
      <c r="S25" s="166">
        <v>132</v>
      </c>
      <c r="T25" s="166" t="s">
        <v>384</v>
      </c>
      <c r="U25" s="166" t="s">
        <v>385</v>
      </c>
      <c r="V25" s="179">
        <v>900133924</v>
      </c>
      <c r="W25" s="185"/>
      <c r="X25" s="166" t="s">
        <v>386</v>
      </c>
      <c r="Y25" s="166"/>
      <c r="Z25" s="174">
        <v>833</v>
      </c>
      <c r="AA25" s="175">
        <v>14903607</v>
      </c>
      <c r="AB25" s="174">
        <v>832</v>
      </c>
      <c r="AC25" s="175">
        <v>11780000</v>
      </c>
      <c r="AD25" s="175">
        <v>0</v>
      </c>
      <c r="AE25" s="175">
        <v>0</v>
      </c>
      <c r="AF25" s="175">
        <v>0</v>
      </c>
      <c r="AG25" s="175">
        <v>0</v>
      </c>
      <c r="AH25" s="175">
        <v>0</v>
      </c>
      <c r="AI25" s="175">
        <v>0</v>
      </c>
      <c r="AJ25" s="175">
        <v>0</v>
      </c>
      <c r="AK25" s="175">
        <v>0</v>
      </c>
      <c r="AL25" s="175">
        <v>0</v>
      </c>
      <c r="AM25" s="175">
        <v>0</v>
      </c>
      <c r="AN25" s="175">
        <v>0</v>
      </c>
      <c r="AO25" s="175">
        <v>0</v>
      </c>
      <c r="AP25" s="175">
        <f t="shared" si="12"/>
        <v>0</v>
      </c>
      <c r="AQ25" s="175">
        <f t="shared" si="13"/>
        <v>11780000</v>
      </c>
      <c r="AR25" s="176">
        <f t="shared" si="14"/>
        <v>0</v>
      </c>
      <c r="AS25" s="176"/>
      <c r="AT25" s="174">
        <v>71</v>
      </c>
      <c r="AU25" s="174">
        <v>78</v>
      </c>
      <c r="AV25" s="175">
        <v>11780000</v>
      </c>
      <c r="AW25" s="174">
        <v>0</v>
      </c>
      <c r="AX25" s="174">
        <v>0</v>
      </c>
      <c r="AY25" s="174">
        <v>0</v>
      </c>
      <c r="AZ25" s="174">
        <v>0</v>
      </c>
      <c r="BA25" s="174">
        <v>0</v>
      </c>
      <c r="BB25" s="174">
        <v>11780000</v>
      </c>
      <c r="BC25" s="174">
        <v>0</v>
      </c>
      <c r="BD25" s="174">
        <v>0</v>
      </c>
      <c r="BE25" s="174">
        <v>0</v>
      </c>
      <c r="BF25" s="174">
        <v>0</v>
      </c>
      <c r="BG25" s="174">
        <v>0</v>
      </c>
      <c r="BH25" s="174">
        <v>0</v>
      </c>
      <c r="BI25" s="175">
        <f t="shared" si="0"/>
        <v>11780000</v>
      </c>
      <c r="BJ25" s="175">
        <f t="shared" si="1"/>
        <v>0</v>
      </c>
      <c r="BK25" s="176">
        <f>+BI25/AV25</f>
        <v>1</v>
      </c>
      <c r="BL25" s="170"/>
      <c r="BM25" s="170"/>
      <c r="BN25" s="170"/>
      <c r="BO25" s="170"/>
      <c r="BP25" s="170"/>
      <c r="BQ25" s="170"/>
      <c r="BR25" s="170"/>
      <c r="BS25" s="172"/>
      <c r="BT25" s="172"/>
      <c r="BU25" s="172"/>
      <c r="BV25" s="172"/>
      <c r="BW25" s="172"/>
      <c r="BX25" s="172"/>
      <c r="BY25" s="172"/>
      <c r="BZ25" s="172"/>
      <c r="CA25" s="172">
        <f t="shared" si="5"/>
        <v>0</v>
      </c>
      <c r="CB25" s="172">
        <f t="shared" si="6"/>
        <v>0</v>
      </c>
      <c r="CC25" s="494" t="e">
        <f t="shared" si="7"/>
        <v>#DIV/0!</v>
      </c>
      <c r="CD25" s="192"/>
      <c r="CE25" s="192"/>
      <c r="CF25" s="172"/>
      <c r="CG25" s="172"/>
      <c r="CH25" s="172"/>
      <c r="CI25" s="172"/>
      <c r="CJ25" s="172"/>
      <c r="CK25" s="172"/>
      <c r="CL25" s="172"/>
      <c r="CM25" s="172"/>
      <c r="CN25" s="172"/>
      <c r="CO25" s="172"/>
      <c r="CP25" s="172"/>
      <c r="CQ25" s="172"/>
      <c r="CR25" s="172"/>
      <c r="CS25" s="172">
        <v>0</v>
      </c>
      <c r="CT25" s="172">
        <v>0</v>
      </c>
      <c r="CU25" s="192" t="e">
        <v>#DIV/0!</v>
      </c>
    </row>
    <row r="26" spans="1:99" s="68" customFormat="1" x14ac:dyDescent="0.25">
      <c r="A26" s="491">
        <v>108</v>
      </c>
      <c r="B26" s="65" t="s">
        <v>78</v>
      </c>
      <c r="C26" s="491">
        <v>1150</v>
      </c>
      <c r="D26" s="65" t="s">
        <v>73</v>
      </c>
      <c r="E26" s="491">
        <v>2</v>
      </c>
      <c r="F26" s="559"/>
      <c r="G26" s="559"/>
      <c r="H26" s="559"/>
      <c r="I26" s="559"/>
      <c r="J26" s="589"/>
      <c r="K26" s="589"/>
      <c r="L26" s="166" t="s">
        <v>387</v>
      </c>
      <c r="M26" s="166" t="s">
        <v>76</v>
      </c>
      <c r="N26" s="166" t="s">
        <v>329</v>
      </c>
      <c r="O26" s="166" t="s">
        <v>320</v>
      </c>
      <c r="P26" s="180">
        <v>41635</v>
      </c>
      <c r="Q26" s="185"/>
      <c r="R26" s="166" t="s">
        <v>378</v>
      </c>
      <c r="S26" s="166">
        <v>160</v>
      </c>
      <c r="T26" s="166" t="s">
        <v>388</v>
      </c>
      <c r="U26" s="166" t="s">
        <v>389</v>
      </c>
      <c r="V26" s="166">
        <v>71389072</v>
      </c>
      <c r="W26" s="185"/>
      <c r="X26" s="166" t="s">
        <v>386</v>
      </c>
      <c r="Y26" s="166"/>
      <c r="Z26" s="174">
        <v>858</v>
      </c>
      <c r="AA26" s="175">
        <v>4000000</v>
      </c>
      <c r="AB26" s="174">
        <v>884</v>
      </c>
      <c r="AC26" s="175">
        <v>3980000</v>
      </c>
      <c r="AD26" s="175">
        <v>0</v>
      </c>
      <c r="AE26" s="175">
        <v>0</v>
      </c>
      <c r="AF26" s="175">
        <v>0</v>
      </c>
      <c r="AG26" s="175">
        <v>0</v>
      </c>
      <c r="AH26" s="175">
        <v>0</v>
      </c>
      <c r="AI26" s="175">
        <v>0</v>
      </c>
      <c r="AJ26" s="175">
        <v>0</v>
      </c>
      <c r="AK26" s="175">
        <v>0</v>
      </c>
      <c r="AL26" s="175">
        <v>0</v>
      </c>
      <c r="AM26" s="175">
        <v>0</v>
      </c>
      <c r="AN26" s="175">
        <v>0</v>
      </c>
      <c r="AO26" s="175">
        <v>0</v>
      </c>
      <c r="AP26" s="175">
        <f t="shared" si="12"/>
        <v>0</v>
      </c>
      <c r="AQ26" s="175">
        <f t="shared" si="13"/>
        <v>3980000</v>
      </c>
      <c r="AR26" s="176">
        <f t="shared" si="14"/>
        <v>0</v>
      </c>
      <c r="AS26" s="176"/>
      <c r="AT26" s="174">
        <v>73</v>
      </c>
      <c r="AU26" s="174">
        <v>80</v>
      </c>
      <c r="AV26" s="175">
        <v>3980000</v>
      </c>
      <c r="AW26" s="174">
        <v>0</v>
      </c>
      <c r="AX26" s="174">
        <v>0</v>
      </c>
      <c r="AY26" s="174">
        <v>0</v>
      </c>
      <c r="AZ26" s="174">
        <v>0</v>
      </c>
      <c r="BA26" s="174">
        <v>0</v>
      </c>
      <c r="BB26" s="174">
        <v>3980000</v>
      </c>
      <c r="BC26" s="174">
        <v>0</v>
      </c>
      <c r="BD26" s="174">
        <v>0</v>
      </c>
      <c r="BE26" s="174">
        <v>0</v>
      </c>
      <c r="BF26" s="174">
        <v>0</v>
      </c>
      <c r="BG26" s="174">
        <v>0</v>
      </c>
      <c r="BH26" s="174">
        <v>0</v>
      </c>
      <c r="BI26" s="175">
        <f t="shared" si="0"/>
        <v>3980000</v>
      </c>
      <c r="BJ26" s="175">
        <f t="shared" si="1"/>
        <v>0</v>
      </c>
      <c r="BK26" s="176">
        <f>+BI26/AV26</f>
        <v>1</v>
      </c>
      <c r="BL26" s="170"/>
      <c r="BM26" s="170"/>
      <c r="BN26" s="170"/>
      <c r="BO26" s="170"/>
      <c r="BP26" s="170"/>
      <c r="BQ26" s="170"/>
      <c r="BR26" s="170"/>
      <c r="BS26" s="172"/>
      <c r="BT26" s="172"/>
      <c r="BU26" s="172"/>
      <c r="BV26" s="172"/>
      <c r="BW26" s="172"/>
      <c r="BX26" s="172"/>
      <c r="BY26" s="172"/>
      <c r="BZ26" s="172"/>
      <c r="CA26" s="172">
        <f t="shared" si="5"/>
        <v>0</v>
      </c>
      <c r="CB26" s="172">
        <f t="shared" si="6"/>
        <v>0</v>
      </c>
      <c r="CC26" s="494" t="e">
        <f t="shared" si="7"/>
        <v>#DIV/0!</v>
      </c>
      <c r="CD26" s="192"/>
      <c r="CE26" s="192"/>
      <c r="CF26" s="172"/>
      <c r="CG26" s="172"/>
      <c r="CH26" s="172"/>
      <c r="CI26" s="172"/>
      <c r="CJ26" s="172"/>
      <c r="CK26" s="172"/>
      <c r="CL26" s="172"/>
      <c r="CM26" s="172"/>
      <c r="CN26" s="172"/>
      <c r="CO26" s="172"/>
      <c r="CP26" s="172"/>
      <c r="CQ26" s="172"/>
      <c r="CR26" s="172"/>
      <c r="CS26" s="172">
        <v>0</v>
      </c>
      <c r="CT26" s="172">
        <v>0</v>
      </c>
      <c r="CU26" s="192" t="e">
        <v>#DIV/0!</v>
      </c>
    </row>
    <row r="27" spans="1:99" s="68" customFormat="1" x14ac:dyDescent="0.25">
      <c r="A27" s="491">
        <v>108</v>
      </c>
      <c r="B27" s="65" t="s">
        <v>78</v>
      </c>
      <c r="C27" s="491">
        <v>1150</v>
      </c>
      <c r="D27" s="65" t="s">
        <v>73</v>
      </c>
      <c r="E27" s="491">
        <v>2</v>
      </c>
      <c r="F27" s="559"/>
      <c r="G27" s="559"/>
      <c r="H27" s="559"/>
      <c r="I27" s="559"/>
      <c r="J27" s="589"/>
      <c r="K27" s="589"/>
      <c r="L27" s="166" t="s">
        <v>390</v>
      </c>
      <c r="M27" s="166" t="s">
        <v>76</v>
      </c>
      <c r="N27" s="166" t="s">
        <v>391</v>
      </c>
      <c r="O27" s="166" t="s">
        <v>320</v>
      </c>
      <c r="P27" s="180">
        <v>41592</v>
      </c>
      <c r="Q27" s="180">
        <v>41607</v>
      </c>
      <c r="R27" s="166" t="s">
        <v>378</v>
      </c>
      <c r="S27" s="166">
        <v>116</v>
      </c>
      <c r="T27" s="166" t="s">
        <v>392</v>
      </c>
      <c r="U27" s="166" t="s">
        <v>393</v>
      </c>
      <c r="V27" s="166">
        <v>11809715</v>
      </c>
      <c r="W27" s="185"/>
      <c r="X27" s="166" t="s">
        <v>315</v>
      </c>
      <c r="Y27" s="166"/>
      <c r="Z27" s="174">
        <v>785</v>
      </c>
      <c r="AA27" s="175">
        <v>4000000</v>
      </c>
      <c r="AB27" s="174">
        <v>804</v>
      </c>
      <c r="AC27" s="175">
        <v>3850000</v>
      </c>
      <c r="AD27" s="175">
        <v>0</v>
      </c>
      <c r="AE27" s="175">
        <v>0</v>
      </c>
      <c r="AF27" s="175">
        <v>0</v>
      </c>
      <c r="AG27" s="175">
        <v>0</v>
      </c>
      <c r="AH27" s="175">
        <v>0</v>
      </c>
      <c r="AI27" s="175">
        <v>0</v>
      </c>
      <c r="AJ27" s="175">
        <v>0</v>
      </c>
      <c r="AK27" s="175">
        <v>0</v>
      </c>
      <c r="AL27" s="175">
        <v>0</v>
      </c>
      <c r="AM27" s="175">
        <v>0</v>
      </c>
      <c r="AN27" s="175">
        <v>0</v>
      </c>
      <c r="AO27" s="175">
        <v>0</v>
      </c>
      <c r="AP27" s="175">
        <f t="shared" si="12"/>
        <v>0</v>
      </c>
      <c r="AQ27" s="175">
        <f t="shared" si="13"/>
        <v>3850000</v>
      </c>
      <c r="AR27" s="176">
        <f t="shared" si="14"/>
        <v>0</v>
      </c>
      <c r="AS27" s="176"/>
      <c r="AT27" s="174">
        <v>69</v>
      </c>
      <c r="AU27" s="174">
        <v>76</v>
      </c>
      <c r="AV27" s="175">
        <v>3850000</v>
      </c>
      <c r="AW27" s="174">
        <v>0</v>
      </c>
      <c r="AX27" s="174">
        <v>0</v>
      </c>
      <c r="AY27" s="174">
        <v>0</v>
      </c>
      <c r="AZ27" s="174">
        <v>2566666</v>
      </c>
      <c r="BA27" s="174">
        <v>0</v>
      </c>
      <c r="BB27" s="174">
        <v>0</v>
      </c>
      <c r="BC27" s="174">
        <v>0</v>
      </c>
      <c r="BD27" s="174">
        <v>0</v>
      </c>
      <c r="BE27" s="174">
        <v>0</v>
      </c>
      <c r="BF27" s="174">
        <v>0</v>
      </c>
      <c r="BG27" s="174">
        <v>0</v>
      </c>
      <c r="BH27" s="174">
        <v>0</v>
      </c>
      <c r="BI27" s="175">
        <f t="shared" si="0"/>
        <v>2566666</v>
      </c>
      <c r="BJ27" s="175">
        <f t="shared" si="1"/>
        <v>1283334</v>
      </c>
      <c r="BK27" s="176">
        <f>+BI27/AV27</f>
        <v>0.66666649350649354</v>
      </c>
      <c r="BL27" s="170">
        <v>20</v>
      </c>
      <c r="BM27" s="170">
        <v>14</v>
      </c>
      <c r="BN27" s="170">
        <v>1283334</v>
      </c>
      <c r="BO27" s="170">
        <v>0</v>
      </c>
      <c r="BP27" s="170">
        <v>0</v>
      </c>
      <c r="BQ27" s="170">
        <v>0</v>
      </c>
      <c r="BR27" s="170">
        <v>0</v>
      </c>
      <c r="BS27" s="172">
        <v>0</v>
      </c>
      <c r="BT27" s="172">
        <v>0</v>
      </c>
      <c r="BU27" s="172">
        <v>0</v>
      </c>
      <c r="BV27" s="172">
        <v>0</v>
      </c>
      <c r="BW27" s="172">
        <v>0</v>
      </c>
      <c r="BX27" s="172">
        <v>1283334</v>
      </c>
      <c r="BY27" s="172">
        <v>0</v>
      </c>
      <c r="BZ27" s="172">
        <v>0</v>
      </c>
      <c r="CA27" s="172">
        <f t="shared" si="5"/>
        <v>1283334</v>
      </c>
      <c r="CB27" s="172">
        <f t="shared" si="6"/>
        <v>0</v>
      </c>
      <c r="CC27" s="494">
        <f t="shared" si="7"/>
        <v>1</v>
      </c>
      <c r="CD27" s="192"/>
      <c r="CE27" s="192"/>
      <c r="CF27" s="172"/>
      <c r="CG27" s="172"/>
      <c r="CH27" s="172"/>
      <c r="CI27" s="172"/>
      <c r="CJ27" s="172"/>
      <c r="CK27" s="172"/>
      <c r="CL27" s="172"/>
      <c r="CM27" s="172"/>
      <c r="CN27" s="172"/>
      <c r="CO27" s="172"/>
      <c r="CP27" s="172"/>
      <c r="CQ27" s="172"/>
      <c r="CR27" s="172"/>
      <c r="CS27" s="172">
        <v>0</v>
      </c>
      <c r="CT27" s="172">
        <v>0</v>
      </c>
      <c r="CU27" s="192" t="e">
        <v>#DIV/0!</v>
      </c>
    </row>
    <row r="28" spans="1:99" s="68" customFormat="1" x14ac:dyDescent="0.25">
      <c r="A28" s="491">
        <v>108</v>
      </c>
      <c r="B28" s="65" t="s">
        <v>78</v>
      </c>
      <c r="C28" s="491">
        <v>1150</v>
      </c>
      <c r="D28" s="65" t="s">
        <v>73</v>
      </c>
      <c r="E28" s="491">
        <v>2</v>
      </c>
      <c r="F28" s="559"/>
      <c r="G28" s="559"/>
      <c r="H28" s="559"/>
      <c r="I28" s="559"/>
      <c r="J28" s="589"/>
      <c r="K28" s="589"/>
      <c r="L28" s="166" t="s">
        <v>394</v>
      </c>
      <c r="M28" s="166" t="s">
        <v>76</v>
      </c>
      <c r="N28" s="166" t="s">
        <v>349</v>
      </c>
      <c r="O28" s="166" t="s">
        <v>309</v>
      </c>
      <c r="P28" s="180">
        <v>41583</v>
      </c>
      <c r="Q28" s="180">
        <v>41585</v>
      </c>
      <c r="R28" s="166" t="s">
        <v>395</v>
      </c>
      <c r="S28" s="179" t="s">
        <v>396</v>
      </c>
      <c r="T28" s="166" t="s">
        <v>397</v>
      </c>
      <c r="U28" s="166" t="s">
        <v>398</v>
      </c>
      <c r="V28" s="179">
        <v>860049903</v>
      </c>
      <c r="W28" s="185"/>
      <c r="X28" s="185"/>
      <c r="Y28" s="166"/>
      <c r="Z28" s="174">
        <v>765</v>
      </c>
      <c r="AA28" s="175">
        <v>16486875</v>
      </c>
      <c r="AB28" s="174">
        <v>769</v>
      </c>
      <c r="AC28" s="175">
        <v>16485300</v>
      </c>
      <c r="AD28" s="175">
        <v>0</v>
      </c>
      <c r="AE28" s="175">
        <v>0</v>
      </c>
      <c r="AF28" s="175">
        <v>0</v>
      </c>
      <c r="AG28" s="175">
        <v>0</v>
      </c>
      <c r="AH28" s="175">
        <v>0</v>
      </c>
      <c r="AI28" s="175">
        <v>0</v>
      </c>
      <c r="AJ28" s="175">
        <v>0</v>
      </c>
      <c r="AK28" s="175">
        <v>0</v>
      </c>
      <c r="AL28" s="175">
        <v>0</v>
      </c>
      <c r="AM28" s="175">
        <v>0</v>
      </c>
      <c r="AN28" s="175">
        <v>0</v>
      </c>
      <c r="AO28" s="175">
        <v>16485300</v>
      </c>
      <c r="AP28" s="175">
        <f t="shared" si="12"/>
        <v>16485300</v>
      </c>
      <c r="AQ28" s="175">
        <f t="shared" si="13"/>
        <v>0</v>
      </c>
      <c r="AR28" s="176">
        <f t="shared" si="14"/>
        <v>1</v>
      </c>
      <c r="AS28" s="176"/>
      <c r="AT28" s="174"/>
      <c r="AU28" s="174"/>
      <c r="AV28" s="175"/>
      <c r="AW28" s="174"/>
      <c r="AX28" s="174"/>
      <c r="AY28" s="174"/>
      <c r="AZ28" s="174"/>
      <c r="BA28" s="174">
        <v>0</v>
      </c>
      <c r="BB28" s="174">
        <v>0</v>
      </c>
      <c r="BC28" s="174">
        <v>0</v>
      </c>
      <c r="BD28" s="174">
        <v>0</v>
      </c>
      <c r="BE28" s="174">
        <v>0</v>
      </c>
      <c r="BF28" s="174">
        <v>0</v>
      </c>
      <c r="BG28" s="174">
        <v>0</v>
      </c>
      <c r="BH28" s="174">
        <v>0</v>
      </c>
      <c r="BI28" s="175">
        <f t="shared" si="0"/>
        <v>0</v>
      </c>
      <c r="BJ28" s="175">
        <f t="shared" si="1"/>
        <v>0</v>
      </c>
      <c r="BK28" s="176"/>
      <c r="BL28" s="170"/>
      <c r="BM28" s="170"/>
      <c r="BN28" s="170"/>
      <c r="BO28" s="170"/>
      <c r="BP28" s="170"/>
      <c r="BQ28" s="170"/>
      <c r="BR28" s="170"/>
      <c r="BS28" s="172"/>
      <c r="BT28" s="172"/>
      <c r="BU28" s="172"/>
      <c r="BV28" s="172"/>
      <c r="BW28" s="172"/>
      <c r="BX28" s="172"/>
      <c r="BY28" s="172"/>
      <c r="BZ28" s="172"/>
      <c r="CA28" s="172">
        <f t="shared" si="5"/>
        <v>0</v>
      </c>
      <c r="CB28" s="172">
        <f t="shared" si="6"/>
        <v>0</v>
      </c>
      <c r="CC28" s="494" t="e">
        <f t="shared" si="7"/>
        <v>#DIV/0!</v>
      </c>
      <c r="CD28" s="192"/>
      <c r="CE28" s="192"/>
      <c r="CF28" s="172"/>
      <c r="CG28" s="172"/>
      <c r="CH28" s="172"/>
      <c r="CI28" s="172"/>
      <c r="CJ28" s="172"/>
      <c r="CK28" s="172"/>
      <c r="CL28" s="172"/>
      <c r="CM28" s="172"/>
      <c r="CN28" s="172"/>
      <c r="CO28" s="172"/>
      <c r="CP28" s="172"/>
      <c r="CQ28" s="172"/>
      <c r="CR28" s="172"/>
      <c r="CS28" s="172">
        <v>0</v>
      </c>
      <c r="CT28" s="172">
        <v>0</v>
      </c>
      <c r="CU28" s="192" t="e">
        <v>#DIV/0!</v>
      </c>
    </row>
    <row r="29" spans="1:99" s="68" customFormat="1" x14ac:dyDescent="0.25">
      <c r="A29" s="491">
        <v>108</v>
      </c>
      <c r="B29" s="65" t="s">
        <v>78</v>
      </c>
      <c r="C29" s="491">
        <v>1150</v>
      </c>
      <c r="D29" s="65" t="s">
        <v>73</v>
      </c>
      <c r="E29" s="491">
        <v>2</v>
      </c>
      <c r="F29" s="559"/>
      <c r="G29" s="559"/>
      <c r="H29" s="559"/>
      <c r="I29" s="559"/>
      <c r="J29" s="589"/>
      <c r="K29" s="589"/>
      <c r="L29" s="166" t="s">
        <v>399</v>
      </c>
      <c r="M29" s="166" t="s">
        <v>76</v>
      </c>
      <c r="N29" s="179" t="s">
        <v>319</v>
      </c>
      <c r="O29" s="166" t="s">
        <v>400</v>
      </c>
      <c r="P29" s="180">
        <v>41554</v>
      </c>
      <c r="Q29" s="180">
        <v>41563</v>
      </c>
      <c r="R29" s="166" t="s">
        <v>378</v>
      </c>
      <c r="S29" s="166" t="s">
        <v>401</v>
      </c>
      <c r="T29" s="166" t="s">
        <v>402</v>
      </c>
      <c r="U29" s="166" t="s">
        <v>403</v>
      </c>
      <c r="V29" s="166" t="s">
        <v>404</v>
      </c>
      <c r="W29" s="166">
        <v>1110</v>
      </c>
      <c r="X29" s="166" t="s">
        <v>315</v>
      </c>
      <c r="Y29" s="166"/>
      <c r="Z29" s="174">
        <v>680</v>
      </c>
      <c r="AA29" s="175">
        <v>30173000</v>
      </c>
      <c r="AB29" s="174">
        <v>725</v>
      </c>
      <c r="AC29" s="175">
        <v>30173000</v>
      </c>
      <c r="AD29" s="175">
        <v>0</v>
      </c>
      <c r="AE29" s="175">
        <v>0</v>
      </c>
      <c r="AF29" s="175">
        <v>0</v>
      </c>
      <c r="AG29" s="175">
        <v>0</v>
      </c>
      <c r="AH29" s="175">
        <v>0</v>
      </c>
      <c r="AI29" s="175">
        <v>0</v>
      </c>
      <c r="AJ29" s="175">
        <v>0</v>
      </c>
      <c r="AK29" s="175">
        <v>0</v>
      </c>
      <c r="AL29" s="175">
        <v>0</v>
      </c>
      <c r="AM29" s="175">
        <v>0</v>
      </c>
      <c r="AN29" s="175">
        <v>0</v>
      </c>
      <c r="AO29" s="175">
        <v>30173000</v>
      </c>
      <c r="AP29" s="175">
        <f t="shared" si="12"/>
        <v>30173000</v>
      </c>
      <c r="AQ29" s="175">
        <f t="shared" si="13"/>
        <v>0</v>
      </c>
      <c r="AR29" s="176">
        <f t="shared" si="14"/>
        <v>1</v>
      </c>
      <c r="AS29" s="176"/>
      <c r="AT29" s="174"/>
      <c r="AU29" s="174"/>
      <c r="AV29" s="175"/>
      <c r="AW29" s="174"/>
      <c r="AX29" s="174"/>
      <c r="AY29" s="174"/>
      <c r="AZ29" s="174"/>
      <c r="BA29" s="174">
        <v>0</v>
      </c>
      <c r="BB29" s="174">
        <v>0</v>
      </c>
      <c r="BC29" s="174">
        <v>0</v>
      </c>
      <c r="BD29" s="174">
        <v>0</v>
      </c>
      <c r="BE29" s="174">
        <v>0</v>
      </c>
      <c r="BF29" s="174">
        <v>0</v>
      </c>
      <c r="BG29" s="174">
        <v>0</v>
      </c>
      <c r="BH29" s="174">
        <v>0</v>
      </c>
      <c r="BI29" s="175">
        <f t="shared" si="0"/>
        <v>0</v>
      </c>
      <c r="BJ29" s="175">
        <f t="shared" si="1"/>
        <v>0</v>
      </c>
      <c r="BK29" s="176"/>
      <c r="BL29" s="170"/>
      <c r="BM29" s="170"/>
      <c r="BN29" s="170"/>
      <c r="BO29" s="170"/>
      <c r="BP29" s="170"/>
      <c r="BQ29" s="170"/>
      <c r="BR29" s="170"/>
      <c r="BS29" s="172"/>
      <c r="BT29" s="172"/>
      <c r="BU29" s="172"/>
      <c r="BV29" s="172"/>
      <c r="BW29" s="172"/>
      <c r="BX29" s="172"/>
      <c r="BY29" s="172"/>
      <c r="BZ29" s="172"/>
      <c r="CA29" s="172">
        <f t="shared" si="5"/>
        <v>0</v>
      </c>
      <c r="CB29" s="172">
        <f t="shared" si="6"/>
        <v>0</v>
      </c>
      <c r="CC29" s="494" t="e">
        <f t="shared" si="7"/>
        <v>#DIV/0!</v>
      </c>
      <c r="CD29" s="192"/>
      <c r="CE29" s="192"/>
      <c r="CF29" s="172"/>
      <c r="CG29" s="172"/>
      <c r="CH29" s="172"/>
      <c r="CI29" s="172"/>
      <c r="CJ29" s="172"/>
      <c r="CK29" s="172"/>
      <c r="CL29" s="172"/>
      <c r="CM29" s="172"/>
      <c r="CN29" s="172"/>
      <c r="CO29" s="172"/>
      <c r="CP29" s="172"/>
      <c r="CQ29" s="172"/>
      <c r="CR29" s="172"/>
      <c r="CS29" s="172">
        <v>0</v>
      </c>
      <c r="CT29" s="172">
        <v>0</v>
      </c>
      <c r="CU29" s="192" t="e">
        <v>#DIV/0!</v>
      </c>
    </row>
    <row r="30" spans="1:99" s="68" customFormat="1" x14ac:dyDescent="0.25">
      <c r="A30" s="491">
        <v>108</v>
      </c>
      <c r="B30" s="65" t="s">
        <v>78</v>
      </c>
      <c r="C30" s="491">
        <v>1150</v>
      </c>
      <c r="D30" s="65" t="s">
        <v>73</v>
      </c>
      <c r="E30" s="491">
        <v>2</v>
      </c>
      <c r="F30" s="559"/>
      <c r="G30" s="559"/>
      <c r="H30" s="559"/>
      <c r="I30" s="559"/>
      <c r="J30" s="589"/>
      <c r="K30" s="589"/>
      <c r="L30" s="166" t="s">
        <v>405</v>
      </c>
      <c r="M30" s="166" t="s">
        <v>76</v>
      </c>
      <c r="N30" s="179" t="s">
        <v>349</v>
      </c>
      <c r="O30" s="166" t="s">
        <v>320</v>
      </c>
      <c r="P30" s="180">
        <v>41604</v>
      </c>
      <c r="Q30" s="180">
        <v>41605</v>
      </c>
      <c r="R30" s="166" t="s">
        <v>378</v>
      </c>
      <c r="S30" s="166">
        <v>123</v>
      </c>
      <c r="T30" s="166" t="s">
        <v>406</v>
      </c>
      <c r="U30" s="166" t="s">
        <v>407</v>
      </c>
      <c r="V30" s="166">
        <v>79582064</v>
      </c>
      <c r="W30" s="185"/>
      <c r="X30" s="185"/>
      <c r="Y30" s="166"/>
      <c r="Z30" s="174">
        <v>784</v>
      </c>
      <c r="AA30" s="175">
        <v>4000000</v>
      </c>
      <c r="AB30" s="174">
        <v>824</v>
      </c>
      <c r="AC30" s="175">
        <v>3000000</v>
      </c>
      <c r="AD30" s="175">
        <v>0</v>
      </c>
      <c r="AE30" s="175">
        <v>0</v>
      </c>
      <c r="AF30" s="175">
        <v>0</v>
      </c>
      <c r="AG30" s="175">
        <v>0</v>
      </c>
      <c r="AH30" s="175">
        <v>0</v>
      </c>
      <c r="AI30" s="175">
        <v>0</v>
      </c>
      <c r="AJ30" s="175">
        <v>0</v>
      </c>
      <c r="AK30" s="175">
        <v>0</v>
      </c>
      <c r="AL30" s="175">
        <v>0</v>
      </c>
      <c r="AM30" s="175">
        <v>0</v>
      </c>
      <c r="AN30" s="175">
        <v>0</v>
      </c>
      <c r="AO30" s="175">
        <v>0</v>
      </c>
      <c r="AP30" s="175">
        <f t="shared" si="12"/>
        <v>0</v>
      </c>
      <c r="AQ30" s="175">
        <f t="shared" si="13"/>
        <v>3000000</v>
      </c>
      <c r="AR30" s="176">
        <f t="shared" si="14"/>
        <v>0</v>
      </c>
      <c r="AS30" s="176"/>
      <c r="AT30" s="174">
        <v>70</v>
      </c>
      <c r="AU30" s="174">
        <v>77</v>
      </c>
      <c r="AV30" s="175">
        <v>3000000</v>
      </c>
      <c r="AW30" s="174">
        <v>0</v>
      </c>
      <c r="AX30" s="174">
        <v>0</v>
      </c>
      <c r="AY30" s="174">
        <v>0</v>
      </c>
      <c r="AZ30" s="174">
        <v>0</v>
      </c>
      <c r="BA30" s="174">
        <v>0</v>
      </c>
      <c r="BB30" s="174">
        <v>0</v>
      </c>
      <c r="BC30" s="174">
        <v>0</v>
      </c>
      <c r="BD30" s="174">
        <v>0</v>
      </c>
      <c r="BE30" s="174">
        <v>0</v>
      </c>
      <c r="BF30" s="174">
        <v>1500000</v>
      </c>
      <c r="BG30" s="174">
        <v>0</v>
      </c>
      <c r="BH30" s="174">
        <v>0</v>
      </c>
      <c r="BI30" s="175">
        <f t="shared" si="0"/>
        <v>1500000</v>
      </c>
      <c r="BJ30" s="175">
        <f t="shared" si="1"/>
        <v>1500000</v>
      </c>
      <c r="BK30" s="176">
        <f>+BI30/AV30</f>
        <v>0.5</v>
      </c>
      <c r="BL30" s="170">
        <v>21</v>
      </c>
      <c r="BM30" s="170">
        <v>15</v>
      </c>
      <c r="BN30" s="170">
        <v>1500000</v>
      </c>
      <c r="BO30" s="170">
        <v>0</v>
      </c>
      <c r="BP30" s="170">
        <v>0</v>
      </c>
      <c r="BQ30" s="170">
        <v>0</v>
      </c>
      <c r="BR30" s="170">
        <v>0</v>
      </c>
      <c r="BS30" s="172">
        <v>1500000</v>
      </c>
      <c r="BT30" s="172">
        <v>0</v>
      </c>
      <c r="BU30" s="172">
        <v>0</v>
      </c>
      <c r="BV30" s="172">
        <v>0</v>
      </c>
      <c r="BW30" s="172">
        <v>0</v>
      </c>
      <c r="BX30" s="172">
        <v>0</v>
      </c>
      <c r="BY30" s="172">
        <v>0</v>
      </c>
      <c r="BZ30" s="172">
        <v>0</v>
      </c>
      <c r="CA30" s="172">
        <f t="shared" si="5"/>
        <v>1500000</v>
      </c>
      <c r="CB30" s="172">
        <f t="shared" si="6"/>
        <v>0</v>
      </c>
      <c r="CC30" s="494">
        <f t="shared" si="7"/>
        <v>1</v>
      </c>
      <c r="CD30" s="192"/>
      <c r="CE30" s="192"/>
      <c r="CF30" s="172"/>
      <c r="CG30" s="172"/>
      <c r="CH30" s="172"/>
      <c r="CI30" s="172"/>
      <c r="CJ30" s="172"/>
      <c r="CK30" s="172"/>
      <c r="CL30" s="172"/>
      <c r="CM30" s="172"/>
      <c r="CN30" s="172"/>
      <c r="CO30" s="172"/>
      <c r="CP30" s="172"/>
      <c r="CQ30" s="172"/>
      <c r="CR30" s="172"/>
      <c r="CS30" s="172">
        <v>0</v>
      </c>
      <c r="CT30" s="172">
        <v>0</v>
      </c>
      <c r="CU30" s="192" t="e">
        <v>#DIV/0!</v>
      </c>
    </row>
    <row r="31" spans="1:99" s="68" customFormat="1" x14ac:dyDescent="0.25">
      <c r="A31" s="491">
        <v>108</v>
      </c>
      <c r="B31" s="65" t="s">
        <v>78</v>
      </c>
      <c r="C31" s="491">
        <v>1150</v>
      </c>
      <c r="D31" s="65" t="s">
        <v>73</v>
      </c>
      <c r="E31" s="491">
        <v>2</v>
      </c>
      <c r="F31" s="559"/>
      <c r="G31" s="559"/>
      <c r="H31" s="559"/>
      <c r="I31" s="559"/>
      <c r="J31" s="589"/>
      <c r="K31" s="589"/>
      <c r="L31" s="166" t="s">
        <v>408</v>
      </c>
      <c r="M31" s="166" t="s">
        <v>76</v>
      </c>
      <c r="N31" s="166" t="s">
        <v>409</v>
      </c>
      <c r="O31" s="166" t="s">
        <v>356</v>
      </c>
      <c r="P31" s="180">
        <v>41583</v>
      </c>
      <c r="Q31" s="180">
        <v>41605</v>
      </c>
      <c r="R31" s="166" t="s">
        <v>378</v>
      </c>
      <c r="S31" s="166">
        <v>93</v>
      </c>
      <c r="T31" s="166" t="s">
        <v>410</v>
      </c>
      <c r="U31" s="166" t="s">
        <v>411</v>
      </c>
      <c r="V31" s="179">
        <v>900670184</v>
      </c>
      <c r="W31" s="185"/>
      <c r="X31" s="185"/>
      <c r="Y31" s="166"/>
      <c r="Z31" s="174">
        <v>687</v>
      </c>
      <c r="AA31" s="175">
        <v>71869066</v>
      </c>
      <c r="AB31" s="174">
        <v>774</v>
      </c>
      <c r="AC31" s="175">
        <v>64418000</v>
      </c>
      <c r="AD31" s="175">
        <v>0</v>
      </c>
      <c r="AE31" s="175">
        <v>0</v>
      </c>
      <c r="AF31" s="175">
        <v>0</v>
      </c>
      <c r="AG31" s="175">
        <v>0</v>
      </c>
      <c r="AH31" s="175">
        <v>0</v>
      </c>
      <c r="AI31" s="175">
        <v>0</v>
      </c>
      <c r="AJ31" s="175">
        <v>0</v>
      </c>
      <c r="AK31" s="175">
        <v>0</v>
      </c>
      <c r="AL31" s="175">
        <v>0</v>
      </c>
      <c r="AM31" s="175">
        <v>0</v>
      </c>
      <c r="AN31" s="175">
        <v>0</v>
      </c>
      <c r="AO31" s="175">
        <v>0</v>
      </c>
      <c r="AP31" s="175">
        <f t="shared" si="12"/>
        <v>0</v>
      </c>
      <c r="AQ31" s="175">
        <f t="shared" si="13"/>
        <v>64418000</v>
      </c>
      <c r="AR31" s="176">
        <f t="shared" si="14"/>
        <v>0</v>
      </c>
      <c r="AS31" s="176"/>
      <c r="AT31" s="174">
        <v>68</v>
      </c>
      <c r="AU31" s="174">
        <v>75</v>
      </c>
      <c r="AV31" s="175">
        <v>64418000</v>
      </c>
      <c r="AW31" s="174">
        <v>0</v>
      </c>
      <c r="AX31" s="174">
        <v>0</v>
      </c>
      <c r="AY31" s="174">
        <v>0</v>
      </c>
      <c r="AZ31" s="174">
        <v>0</v>
      </c>
      <c r="BA31" s="174">
        <v>13824000</v>
      </c>
      <c r="BB31" s="174">
        <v>17470000</v>
      </c>
      <c r="BC31" s="174">
        <v>0</v>
      </c>
      <c r="BD31" s="174">
        <v>0</v>
      </c>
      <c r="BE31" s="174">
        <v>0</v>
      </c>
      <c r="BF31" s="174">
        <v>0</v>
      </c>
      <c r="BG31" s="174">
        <v>7538000</v>
      </c>
      <c r="BH31" s="174">
        <v>0</v>
      </c>
      <c r="BI31" s="175">
        <f t="shared" si="0"/>
        <v>38832000</v>
      </c>
      <c r="BJ31" s="175">
        <f t="shared" si="1"/>
        <v>25586000</v>
      </c>
      <c r="BK31" s="176">
        <f>+BI31/AV31</f>
        <v>0.60281287838802822</v>
      </c>
      <c r="BL31" s="170">
        <v>19</v>
      </c>
      <c r="BM31" s="170">
        <v>13</v>
      </c>
      <c r="BN31" s="170">
        <v>25586000</v>
      </c>
      <c r="BO31" s="170">
        <v>0</v>
      </c>
      <c r="BP31" s="170">
        <v>0</v>
      </c>
      <c r="BQ31" s="170">
        <v>0</v>
      </c>
      <c r="BR31" s="170">
        <v>0</v>
      </c>
      <c r="BS31" s="172">
        <v>25586000</v>
      </c>
      <c r="BT31" s="172">
        <v>0</v>
      </c>
      <c r="BU31" s="172">
        <v>0</v>
      </c>
      <c r="BV31" s="172">
        <v>0</v>
      </c>
      <c r="BW31" s="172">
        <v>0</v>
      </c>
      <c r="BX31" s="172">
        <v>0</v>
      </c>
      <c r="BY31" s="172">
        <v>0</v>
      </c>
      <c r="BZ31" s="172">
        <v>0</v>
      </c>
      <c r="CA31" s="172">
        <f t="shared" si="5"/>
        <v>25586000</v>
      </c>
      <c r="CB31" s="172">
        <f t="shared" si="6"/>
        <v>0</v>
      </c>
      <c r="CC31" s="494">
        <f t="shared" si="7"/>
        <v>1</v>
      </c>
      <c r="CD31" s="192"/>
      <c r="CE31" s="192"/>
      <c r="CF31" s="172"/>
      <c r="CG31" s="172"/>
      <c r="CH31" s="172"/>
      <c r="CI31" s="172"/>
      <c r="CJ31" s="172"/>
      <c r="CK31" s="172"/>
      <c r="CL31" s="172"/>
      <c r="CM31" s="172"/>
      <c r="CN31" s="172"/>
      <c r="CO31" s="172"/>
      <c r="CP31" s="172"/>
      <c r="CQ31" s="172"/>
      <c r="CR31" s="172"/>
      <c r="CS31" s="172">
        <v>0</v>
      </c>
      <c r="CT31" s="172">
        <v>0</v>
      </c>
      <c r="CU31" s="192" t="e">
        <v>#DIV/0!</v>
      </c>
    </row>
    <row r="32" spans="1:99" s="68" customFormat="1" x14ac:dyDescent="0.25">
      <c r="A32" s="490">
        <v>109</v>
      </c>
      <c r="B32" s="63" t="s">
        <v>84</v>
      </c>
      <c r="C32" s="490">
        <v>1150</v>
      </c>
      <c r="D32" s="63" t="s">
        <v>73</v>
      </c>
      <c r="E32" s="490">
        <v>3</v>
      </c>
      <c r="F32" s="559" t="s">
        <v>45</v>
      </c>
      <c r="G32" s="559">
        <v>8</v>
      </c>
      <c r="H32" s="559" t="s">
        <v>86</v>
      </c>
      <c r="I32" s="559" t="s">
        <v>87</v>
      </c>
      <c r="J32" s="560"/>
      <c r="K32" s="560"/>
      <c r="L32" s="166"/>
      <c r="M32" s="166"/>
      <c r="N32" s="185"/>
      <c r="O32" s="166"/>
      <c r="P32" s="185"/>
      <c r="Q32" s="185"/>
      <c r="R32" s="185"/>
      <c r="S32" s="166"/>
      <c r="T32" s="185"/>
      <c r="U32" s="166"/>
      <c r="V32" s="185"/>
      <c r="W32" s="185"/>
      <c r="X32" s="185"/>
      <c r="Y32" s="166"/>
      <c r="Z32" s="174"/>
      <c r="AA32" s="175"/>
      <c r="AB32" s="174"/>
      <c r="AC32" s="175"/>
      <c r="AD32" s="175"/>
      <c r="AE32" s="175"/>
      <c r="AF32" s="175"/>
      <c r="AG32" s="175"/>
      <c r="AH32" s="175"/>
      <c r="AI32" s="175"/>
      <c r="AJ32" s="175"/>
      <c r="AK32" s="175"/>
      <c r="AL32" s="175"/>
      <c r="AM32" s="175"/>
      <c r="AN32" s="175"/>
      <c r="AO32" s="175"/>
      <c r="AP32" s="175"/>
      <c r="AQ32" s="175"/>
      <c r="AR32" s="176"/>
      <c r="AS32" s="176"/>
      <c r="AT32" s="174"/>
      <c r="AU32" s="174"/>
      <c r="AV32" s="175"/>
      <c r="AW32" s="174"/>
      <c r="AX32" s="174"/>
      <c r="AY32" s="174"/>
      <c r="AZ32" s="174"/>
      <c r="BA32" s="174"/>
      <c r="BB32" s="174"/>
      <c r="BC32" s="174"/>
      <c r="BD32" s="174"/>
      <c r="BE32" s="174"/>
      <c r="BF32" s="174"/>
      <c r="BG32" s="174"/>
      <c r="BH32" s="174"/>
      <c r="BI32" s="175">
        <f t="shared" si="0"/>
        <v>0</v>
      </c>
      <c r="BJ32" s="175">
        <f t="shared" si="1"/>
        <v>0</v>
      </c>
      <c r="BK32" s="176"/>
      <c r="BL32" s="170"/>
      <c r="BM32" s="170"/>
      <c r="BN32" s="170"/>
      <c r="BO32" s="170"/>
      <c r="BP32" s="170"/>
      <c r="BQ32" s="170"/>
      <c r="BR32" s="170"/>
      <c r="BS32" s="172"/>
      <c r="BT32" s="172"/>
      <c r="BU32" s="172"/>
      <c r="BV32" s="172"/>
      <c r="BW32" s="172"/>
      <c r="BX32" s="172"/>
      <c r="BY32" s="172"/>
      <c r="BZ32" s="172"/>
      <c r="CA32" s="172">
        <f t="shared" si="5"/>
        <v>0</v>
      </c>
      <c r="CB32" s="172">
        <f t="shared" si="6"/>
        <v>0</v>
      </c>
      <c r="CC32" s="494" t="e">
        <f t="shared" si="7"/>
        <v>#DIV/0!</v>
      </c>
      <c r="CD32" s="192"/>
      <c r="CE32" s="192"/>
      <c r="CF32" s="172"/>
      <c r="CG32" s="172"/>
      <c r="CH32" s="172"/>
      <c r="CI32" s="172"/>
      <c r="CJ32" s="172"/>
      <c r="CK32" s="172"/>
      <c r="CL32" s="172"/>
      <c r="CM32" s="172"/>
      <c r="CN32" s="172"/>
      <c r="CO32" s="172"/>
      <c r="CP32" s="172"/>
      <c r="CQ32" s="172"/>
      <c r="CR32" s="172"/>
      <c r="CS32" s="172">
        <v>0</v>
      </c>
      <c r="CT32" s="172">
        <v>0</v>
      </c>
      <c r="CU32" s="192" t="e">
        <v>#DIV/0!</v>
      </c>
    </row>
    <row r="33" spans="1:99" s="68" customFormat="1" x14ac:dyDescent="0.25">
      <c r="A33" s="490">
        <v>109</v>
      </c>
      <c r="B33" s="63" t="s">
        <v>84</v>
      </c>
      <c r="C33" s="490">
        <v>1150</v>
      </c>
      <c r="D33" s="63" t="s">
        <v>73</v>
      </c>
      <c r="E33" s="490">
        <v>3</v>
      </c>
      <c r="F33" s="559"/>
      <c r="G33" s="559"/>
      <c r="H33" s="559"/>
      <c r="I33" s="559"/>
      <c r="J33" s="561"/>
      <c r="K33" s="561"/>
      <c r="L33" s="166"/>
      <c r="M33" s="166"/>
      <c r="N33" s="166"/>
      <c r="O33" s="166"/>
      <c r="P33" s="180"/>
      <c r="Q33" s="180"/>
      <c r="R33" s="166"/>
      <c r="S33" s="166"/>
      <c r="T33" s="166"/>
      <c r="U33" s="166"/>
      <c r="V33" s="166"/>
      <c r="W33" s="166"/>
      <c r="X33" s="166"/>
      <c r="Y33" s="166"/>
      <c r="Z33" s="174"/>
      <c r="AA33" s="175"/>
      <c r="AB33" s="174"/>
      <c r="AC33" s="175"/>
      <c r="AD33" s="175"/>
      <c r="AE33" s="175"/>
      <c r="AF33" s="175"/>
      <c r="AG33" s="175"/>
      <c r="AH33" s="175"/>
      <c r="AI33" s="175"/>
      <c r="AJ33" s="175"/>
      <c r="AK33" s="175"/>
      <c r="AL33" s="175"/>
      <c r="AM33" s="175"/>
      <c r="AN33" s="175"/>
      <c r="AO33" s="175"/>
      <c r="AP33" s="175"/>
      <c r="AQ33" s="175"/>
      <c r="AR33" s="176"/>
      <c r="AS33" s="176"/>
      <c r="AT33" s="174"/>
      <c r="AU33" s="174"/>
      <c r="AV33" s="175"/>
      <c r="AW33" s="174"/>
      <c r="AX33" s="174"/>
      <c r="AY33" s="174"/>
      <c r="AZ33" s="174"/>
      <c r="BA33" s="174"/>
      <c r="BB33" s="174"/>
      <c r="BC33" s="174"/>
      <c r="BD33" s="174"/>
      <c r="BE33" s="174"/>
      <c r="BF33" s="174"/>
      <c r="BG33" s="174"/>
      <c r="BH33" s="174"/>
      <c r="BI33" s="175">
        <f t="shared" si="0"/>
        <v>0</v>
      </c>
      <c r="BJ33" s="175">
        <f t="shared" si="1"/>
        <v>0</v>
      </c>
      <c r="BK33" s="176"/>
      <c r="BL33" s="170"/>
      <c r="BM33" s="170"/>
      <c r="BN33" s="170"/>
      <c r="BO33" s="170"/>
      <c r="BP33" s="170"/>
      <c r="BQ33" s="170"/>
      <c r="BR33" s="170"/>
      <c r="BS33" s="172"/>
      <c r="BT33" s="172"/>
      <c r="BU33" s="172"/>
      <c r="BV33" s="172"/>
      <c r="BW33" s="172"/>
      <c r="BX33" s="172"/>
      <c r="BY33" s="172"/>
      <c r="BZ33" s="172"/>
      <c r="CA33" s="172">
        <f t="shared" si="5"/>
        <v>0</v>
      </c>
      <c r="CB33" s="172">
        <f t="shared" si="6"/>
        <v>0</v>
      </c>
      <c r="CC33" s="494" t="e">
        <f t="shared" si="7"/>
        <v>#DIV/0!</v>
      </c>
      <c r="CD33" s="192"/>
      <c r="CE33" s="192"/>
      <c r="CF33" s="172"/>
      <c r="CG33" s="172"/>
      <c r="CH33" s="172"/>
      <c r="CI33" s="172"/>
      <c r="CJ33" s="172"/>
      <c r="CK33" s="172"/>
      <c r="CL33" s="172"/>
      <c r="CM33" s="172"/>
      <c r="CN33" s="172"/>
      <c r="CO33" s="172"/>
      <c r="CP33" s="172"/>
      <c r="CQ33" s="172"/>
      <c r="CR33" s="172"/>
      <c r="CS33" s="172">
        <v>0</v>
      </c>
      <c r="CT33" s="172">
        <v>0</v>
      </c>
      <c r="CU33" s="192" t="e">
        <v>#DIV/0!</v>
      </c>
    </row>
    <row r="34" spans="1:99" s="68" customFormat="1" x14ac:dyDescent="0.25">
      <c r="A34" s="490">
        <v>109</v>
      </c>
      <c r="B34" s="63" t="s">
        <v>84</v>
      </c>
      <c r="C34" s="490">
        <v>1150</v>
      </c>
      <c r="D34" s="63" t="s">
        <v>73</v>
      </c>
      <c r="E34" s="490">
        <v>3</v>
      </c>
      <c r="F34" s="559"/>
      <c r="G34" s="559"/>
      <c r="H34" s="559"/>
      <c r="I34" s="559"/>
      <c r="J34" s="561"/>
      <c r="K34" s="561"/>
      <c r="L34" s="166"/>
      <c r="M34" s="166"/>
      <c r="N34" s="166"/>
      <c r="O34" s="166"/>
      <c r="P34" s="180"/>
      <c r="Q34" s="180"/>
      <c r="R34" s="166"/>
      <c r="S34" s="166"/>
      <c r="T34" s="166"/>
      <c r="U34" s="166"/>
      <c r="V34" s="166"/>
      <c r="W34" s="166"/>
      <c r="X34" s="166"/>
      <c r="Y34" s="166"/>
      <c r="Z34" s="174"/>
      <c r="AA34" s="175"/>
      <c r="AB34" s="174"/>
      <c r="AC34" s="175"/>
      <c r="AD34" s="175"/>
      <c r="AE34" s="175"/>
      <c r="AF34" s="175"/>
      <c r="AG34" s="175"/>
      <c r="AH34" s="175"/>
      <c r="AI34" s="175"/>
      <c r="AJ34" s="175"/>
      <c r="AK34" s="175"/>
      <c r="AL34" s="175"/>
      <c r="AM34" s="175"/>
      <c r="AN34" s="175"/>
      <c r="AO34" s="175"/>
      <c r="AP34" s="175"/>
      <c r="AQ34" s="175"/>
      <c r="AR34" s="176"/>
      <c r="AS34" s="176"/>
      <c r="AT34" s="174"/>
      <c r="AU34" s="174"/>
      <c r="AV34" s="175"/>
      <c r="AW34" s="174"/>
      <c r="AX34" s="174"/>
      <c r="AY34" s="174"/>
      <c r="AZ34" s="174"/>
      <c r="BA34" s="174"/>
      <c r="BB34" s="174"/>
      <c r="BC34" s="174"/>
      <c r="BD34" s="174"/>
      <c r="BE34" s="174"/>
      <c r="BF34" s="174"/>
      <c r="BG34" s="174"/>
      <c r="BH34" s="174"/>
      <c r="BI34" s="175">
        <f t="shared" si="0"/>
        <v>0</v>
      </c>
      <c r="BJ34" s="175">
        <f t="shared" si="1"/>
        <v>0</v>
      </c>
      <c r="BK34" s="176"/>
      <c r="BL34" s="170"/>
      <c r="BM34" s="170"/>
      <c r="BN34" s="170"/>
      <c r="BO34" s="170"/>
      <c r="BP34" s="170"/>
      <c r="BQ34" s="170"/>
      <c r="BR34" s="170"/>
      <c r="BS34" s="172"/>
      <c r="BT34" s="172"/>
      <c r="BU34" s="172"/>
      <c r="BV34" s="172"/>
      <c r="BW34" s="172"/>
      <c r="BX34" s="172"/>
      <c r="BY34" s="172"/>
      <c r="BZ34" s="172"/>
      <c r="CA34" s="172">
        <f t="shared" si="5"/>
        <v>0</v>
      </c>
      <c r="CB34" s="172">
        <f t="shared" si="6"/>
        <v>0</v>
      </c>
      <c r="CC34" s="494" t="e">
        <f t="shared" si="7"/>
        <v>#DIV/0!</v>
      </c>
      <c r="CD34" s="192"/>
      <c r="CE34" s="192"/>
      <c r="CF34" s="172"/>
      <c r="CG34" s="172"/>
      <c r="CH34" s="172"/>
      <c r="CI34" s="172"/>
      <c r="CJ34" s="172"/>
      <c r="CK34" s="172"/>
      <c r="CL34" s="172"/>
      <c r="CM34" s="172"/>
      <c r="CN34" s="172"/>
      <c r="CO34" s="172"/>
      <c r="CP34" s="172"/>
      <c r="CQ34" s="172"/>
      <c r="CR34" s="172"/>
      <c r="CS34" s="172">
        <v>0</v>
      </c>
      <c r="CT34" s="172">
        <v>0</v>
      </c>
      <c r="CU34" s="192" t="e">
        <v>#DIV/0!</v>
      </c>
    </row>
    <row r="35" spans="1:99" s="68" customFormat="1" x14ac:dyDescent="0.25">
      <c r="A35" s="490">
        <v>110</v>
      </c>
      <c r="B35" s="63" t="s">
        <v>89</v>
      </c>
      <c r="C35" s="490">
        <v>1150</v>
      </c>
      <c r="D35" s="63" t="s">
        <v>73</v>
      </c>
      <c r="E35" s="490">
        <v>4</v>
      </c>
      <c r="F35" s="559" t="s">
        <v>53</v>
      </c>
      <c r="G35" s="559">
        <v>3000</v>
      </c>
      <c r="H35" s="559" t="s">
        <v>61</v>
      </c>
      <c r="I35" s="559" t="s">
        <v>92</v>
      </c>
      <c r="J35" s="560"/>
      <c r="K35" s="560"/>
      <c r="L35" s="166" t="s">
        <v>412</v>
      </c>
      <c r="M35" s="166" t="s">
        <v>76</v>
      </c>
      <c r="N35" s="166" t="s">
        <v>329</v>
      </c>
      <c r="O35" s="166" t="s">
        <v>356</v>
      </c>
      <c r="P35" s="180">
        <v>41479</v>
      </c>
      <c r="Q35" s="180">
        <v>41481</v>
      </c>
      <c r="R35" s="166" t="s">
        <v>395</v>
      </c>
      <c r="S35" s="166" t="s">
        <v>413</v>
      </c>
      <c r="T35" s="166" t="s">
        <v>414</v>
      </c>
      <c r="U35" s="166" t="s">
        <v>415</v>
      </c>
      <c r="V35" s="166">
        <v>900320309</v>
      </c>
      <c r="W35" s="166">
        <v>570</v>
      </c>
      <c r="X35" s="166" t="s">
        <v>416</v>
      </c>
      <c r="Y35" s="166"/>
      <c r="Z35" s="174">
        <v>618</v>
      </c>
      <c r="AA35" s="175">
        <v>16492025</v>
      </c>
      <c r="AB35" s="174">
        <v>618</v>
      </c>
      <c r="AC35" s="175">
        <v>16464000</v>
      </c>
      <c r="AD35" s="175">
        <v>0</v>
      </c>
      <c r="AE35" s="175">
        <v>0</v>
      </c>
      <c r="AF35" s="175">
        <v>0</v>
      </c>
      <c r="AG35" s="175">
        <v>0</v>
      </c>
      <c r="AH35" s="175">
        <v>0</v>
      </c>
      <c r="AI35" s="175">
        <v>0</v>
      </c>
      <c r="AJ35" s="175">
        <v>0</v>
      </c>
      <c r="AK35" s="175">
        <v>0</v>
      </c>
      <c r="AL35" s="175">
        <v>0</v>
      </c>
      <c r="AM35" s="175">
        <v>0</v>
      </c>
      <c r="AN35" s="175">
        <v>16464000</v>
      </c>
      <c r="AO35" s="175">
        <v>0</v>
      </c>
      <c r="AP35" s="175">
        <f>SUM(AD35:AO35)</f>
        <v>16464000</v>
      </c>
      <c r="AQ35" s="175">
        <f>+AC35-AP35</f>
        <v>0</v>
      </c>
      <c r="AR35" s="176">
        <f>AP35/AC35</f>
        <v>1</v>
      </c>
      <c r="AS35" s="176"/>
      <c r="AT35" s="174"/>
      <c r="AU35" s="174"/>
      <c r="AV35" s="175"/>
      <c r="AW35" s="174"/>
      <c r="AX35" s="174"/>
      <c r="AY35" s="174"/>
      <c r="AZ35" s="174"/>
      <c r="BA35" s="174">
        <v>0</v>
      </c>
      <c r="BB35" s="174">
        <v>0</v>
      </c>
      <c r="BC35" s="174">
        <v>0</v>
      </c>
      <c r="BD35" s="174">
        <v>0</v>
      </c>
      <c r="BE35" s="174">
        <v>0</v>
      </c>
      <c r="BF35" s="174">
        <v>0</v>
      </c>
      <c r="BG35" s="174">
        <v>0</v>
      </c>
      <c r="BH35" s="174">
        <v>0</v>
      </c>
      <c r="BI35" s="175">
        <f t="shared" ref="BI35:BI66" si="15">SUM(AW35:BH35)</f>
        <v>0</v>
      </c>
      <c r="BJ35" s="175">
        <f t="shared" ref="BJ35:BJ66" si="16">+AV35-BI35</f>
        <v>0</v>
      </c>
      <c r="BK35" s="176"/>
      <c r="BL35" s="170"/>
      <c r="BM35" s="170"/>
      <c r="BN35" s="170"/>
      <c r="BO35" s="170"/>
      <c r="BP35" s="170"/>
      <c r="BQ35" s="170"/>
      <c r="BR35" s="170"/>
      <c r="BS35" s="172"/>
      <c r="BT35" s="172"/>
      <c r="BU35" s="172"/>
      <c r="BV35" s="172"/>
      <c r="BW35" s="172"/>
      <c r="BX35" s="172"/>
      <c r="BY35" s="172"/>
      <c r="BZ35" s="172"/>
      <c r="CA35" s="172">
        <f t="shared" si="5"/>
        <v>0</v>
      </c>
      <c r="CB35" s="172">
        <f t="shared" si="6"/>
        <v>0</v>
      </c>
      <c r="CC35" s="494" t="e">
        <f t="shared" si="7"/>
        <v>#DIV/0!</v>
      </c>
      <c r="CD35" s="192"/>
      <c r="CE35" s="192"/>
      <c r="CF35" s="172"/>
      <c r="CG35" s="172"/>
      <c r="CH35" s="172"/>
      <c r="CI35" s="172"/>
      <c r="CJ35" s="172"/>
      <c r="CK35" s="172"/>
      <c r="CL35" s="172"/>
      <c r="CM35" s="172"/>
      <c r="CN35" s="172"/>
      <c r="CO35" s="172"/>
      <c r="CP35" s="172"/>
      <c r="CQ35" s="172"/>
      <c r="CR35" s="172"/>
      <c r="CS35" s="172">
        <v>0</v>
      </c>
      <c r="CT35" s="172">
        <v>0</v>
      </c>
      <c r="CU35" s="192" t="e">
        <v>#DIV/0!</v>
      </c>
    </row>
    <row r="36" spans="1:99" s="68" customFormat="1" x14ac:dyDescent="0.25">
      <c r="A36" s="490">
        <v>110</v>
      </c>
      <c r="B36" s="63" t="s">
        <v>89</v>
      </c>
      <c r="C36" s="490">
        <v>1150</v>
      </c>
      <c r="D36" s="63" t="s">
        <v>73</v>
      </c>
      <c r="E36" s="490">
        <v>4</v>
      </c>
      <c r="F36" s="559"/>
      <c r="G36" s="559"/>
      <c r="H36" s="559"/>
      <c r="I36" s="559"/>
      <c r="J36" s="561"/>
      <c r="K36" s="561"/>
      <c r="L36" s="166"/>
      <c r="M36" s="166"/>
      <c r="N36" s="185"/>
      <c r="O36" s="166"/>
      <c r="P36" s="185"/>
      <c r="Q36" s="185"/>
      <c r="R36" s="185"/>
      <c r="S36" s="166"/>
      <c r="T36" s="185"/>
      <c r="U36" s="166"/>
      <c r="V36" s="185"/>
      <c r="W36" s="185"/>
      <c r="X36" s="185"/>
      <c r="Y36" s="166"/>
      <c r="Z36" s="174"/>
      <c r="AA36" s="175"/>
      <c r="AB36" s="174"/>
      <c r="AC36" s="175"/>
      <c r="AD36" s="175"/>
      <c r="AE36" s="175"/>
      <c r="AF36" s="175"/>
      <c r="AG36" s="175"/>
      <c r="AH36" s="175"/>
      <c r="AI36" s="175"/>
      <c r="AJ36" s="175"/>
      <c r="AK36" s="175"/>
      <c r="AL36" s="175"/>
      <c r="AM36" s="175"/>
      <c r="AN36" s="175"/>
      <c r="AO36" s="175"/>
      <c r="AP36" s="175"/>
      <c r="AQ36" s="175"/>
      <c r="AR36" s="176"/>
      <c r="AS36" s="176"/>
      <c r="AT36" s="174"/>
      <c r="AU36" s="174"/>
      <c r="AV36" s="175"/>
      <c r="AW36" s="174"/>
      <c r="AX36" s="174"/>
      <c r="AY36" s="174"/>
      <c r="AZ36" s="174"/>
      <c r="BA36" s="174"/>
      <c r="BB36" s="174"/>
      <c r="BC36" s="174"/>
      <c r="BD36" s="174"/>
      <c r="BE36" s="174"/>
      <c r="BF36" s="174"/>
      <c r="BG36" s="174"/>
      <c r="BH36" s="174"/>
      <c r="BI36" s="175">
        <f t="shared" si="15"/>
        <v>0</v>
      </c>
      <c r="BJ36" s="175">
        <f t="shared" si="16"/>
        <v>0</v>
      </c>
      <c r="BK36" s="176"/>
      <c r="BL36" s="170"/>
      <c r="BM36" s="170"/>
      <c r="BN36" s="170"/>
      <c r="BO36" s="170"/>
      <c r="BP36" s="170"/>
      <c r="BQ36" s="170"/>
      <c r="BR36" s="170"/>
      <c r="BS36" s="172"/>
      <c r="BT36" s="172"/>
      <c r="BU36" s="172"/>
      <c r="BV36" s="172"/>
      <c r="BW36" s="172"/>
      <c r="BX36" s="172"/>
      <c r="BY36" s="172"/>
      <c r="BZ36" s="172"/>
      <c r="CA36" s="172">
        <f t="shared" si="5"/>
        <v>0</v>
      </c>
      <c r="CB36" s="172">
        <f t="shared" si="6"/>
        <v>0</v>
      </c>
      <c r="CC36" s="494" t="e">
        <f t="shared" si="7"/>
        <v>#DIV/0!</v>
      </c>
      <c r="CD36" s="192"/>
      <c r="CE36" s="192"/>
      <c r="CF36" s="172"/>
      <c r="CG36" s="172"/>
      <c r="CH36" s="172"/>
      <c r="CI36" s="172"/>
      <c r="CJ36" s="172"/>
      <c r="CK36" s="172"/>
      <c r="CL36" s="172"/>
      <c r="CM36" s="172"/>
      <c r="CN36" s="172"/>
      <c r="CO36" s="172"/>
      <c r="CP36" s="172"/>
      <c r="CQ36" s="172"/>
      <c r="CR36" s="172"/>
      <c r="CS36" s="172">
        <v>0</v>
      </c>
      <c r="CT36" s="172">
        <v>0</v>
      </c>
      <c r="CU36" s="192" t="e">
        <v>#DIV/0!</v>
      </c>
    </row>
    <row r="37" spans="1:99" s="68" customFormat="1" x14ac:dyDescent="0.25">
      <c r="A37" s="490">
        <v>110</v>
      </c>
      <c r="B37" s="63" t="s">
        <v>89</v>
      </c>
      <c r="C37" s="490">
        <v>1150</v>
      </c>
      <c r="D37" s="63" t="s">
        <v>73</v>
      </c>
      <c r="E37" s="490">
        <v>4</v>
      </c>
      <c r="F37" s="559"/>
      <c r="G37" s="559"/>
      <c r="H37" s="559"/>
      <c r="I37" s="559"/>
      <c r="J37" s="561"/>
      <c r="K37" s="561"/>
      <c r="L37" s="166"/>
      <c r="M37" s="166"/>
      <c r="N37" s="185"/>
      <c r="O37" s="166"/>
      <c r="P37" s="185"/>
      <c r="Q37" s="185"/>
      <c r="R37" s="185"/>
      <c r="S37" s="166"/>
      <c r="T37" s="185"/>
      <c r="U37" s="166"/>
      <c r="V37" s="185"/>
      <c r="W37" s="185"/>
      <c r="X37" s="185"/>
      <c r="Y37" s="166"/>
      <c r="Z37" s="174"/>
      <c r="AA37" s="175"/>
      <c r="AB37" s="174"/>
      <c r="AC37" s="175"/>
      <c r="AD37" s="175"/>
      <c r="AE37" s="175"/>
      <c r="AF37" s="175"/>
      <c r="AG37" s="175"/>
      <c r="AH37" s="175"/>
      <c r="AI37" s="175"/>
      <c r="AJ37" s="175"/>
      <c r="AK37" s="175"/>
      <c r="AL37" s="175"/>
      <c r="AM37" s="175"/>
      <c r="AN37" s="175"/>
      <c r="AO37" s="175"/>
      <c r="AP37" s="175"/>
      <c r="AQ37" s="175"/>
      <c r="AR37" s="176"/>
      <c r="AS37" s="176"/>
      <c r="AT37" s="174"/>
      <c r="AU37" s="174"/>
      <c r="AV37" s="175"/>
      <c r="AW37" s="174"/>
      <c r="AX37" s="174"/>
      <c r="AY37" s="174"/>
      <c r="AZ37" s="174"/>
      <c r="BA37" s="174"/>
      <c r="BB37" s="174"/>
      <c r="BC37" s="174"/>
      <c r="BD37" s="174"/>
      <c r="BE37" s="174"/>
      <c r="BF37" s="174"/>
      <c r="BG37" s="174"/>
      <c r="BH37" s="174"/>
      <c r="BI37" s="175">
        <f t="shared" si="15"/>
        <v>0</v>
      </c>
      <c r="BJ37" s="175">
        <f t="shared" si="16"/>
        <v>0</v>
      </c>
      <c r="BK37" s="176"/>
      <c r="BL37" s="170"/>
      <c r="BM37" s="170"/>
      <c r="BN37" s="170"/>
      <c r="BO37" s="170"/>
      <c r="BP37" s="170"/>
      <c r="BQ37" s="170"/>
      <c r="BR37" s="170"/>
      <c r="BS37" s="172"/>
      <c r="BT37" s="172"/>
      <c r="BU37" s="172"/>
      <c r="BV37" s="172"/>
      <c r="BW37" s="172"/>
      <c r="BX37" s="172"/>
      <c r="BY37" s="172"/>
      <c r="BZ37" s="172"/>
      <c r="CA37" s="172">
        <f t="shared" si="5"/>
        <v>0</v>
      </c>
      <c r="CB37" s="172">
        <f t="shared" si="6"/>
        <v>0</v>
      </c>
      <c r="CC37" s="494" t="e">
        <f t="shared" si="7"/>
        <v>#DIV/0!</v>
      </c>
      <c r="CD37" s="192"/>
      <c r="CE37" s="192"/>
      <c r="CF37" s="172"/>
      <c r="CG37" s="172"/>
      <c r="CH37" s="172"/>
      <c r="CI37" s="172"/>
      <c r="CJ37" s="172"/>
      <c r="CK37" s="172"/>
      <c r="CL37" s="172"/>
      <c r="CM37" s="172"/>
      <c r="CN37" s="172"/>
      <c r="CO37" s="172"/>
      <c r="CP37" s="172"/>
      <c r="CQ37" s="172"/>
      <c r="CR37" s="172"/>
      <c r="CS37" s="172">
        <v>0</v>
      </c>
      <c r="CT37" s="172">
        <v>0</v>
      </c>
      <c r="CU37" s="192" t="e">
        <v>#DIV/0!</v>
      </c>
    </row>
    <row r="38" spans="1:99" s="68" customFormat="1" x14ac:dyDescent="0.25">
      <c r="A38" s="490">
        <v>111</v>
      </c>
      <c r="B38" s="63" t="s">
        <v>94</v>
      </c>
      <c r="C38" s="490">
        <v>1164</v>
      </c>
      <c r="D38" s="63" t="s">
        <v>96</v>
      </c>
      <c r="E38" s="490">
        <v>1</v>
      </c>
      <c r="F38" s="559" t="s">
        <v>53</v>
      </c>
      <c r="G38" s="559">
        <v>200</v>
      </c>
      <c r="H38" s="559" t="s">
        <v>97</v>
      </c>
      <c r="I38" s="559" t="s">
        <v>98</v>
      </c>
      <c r="J38" s="560"/>
      <c r="K38" s="560"/>
      <c r="L38" s="166"/>
      <c r="M38" s="166"/>
      <c r="N38" s="166"/>
      <c r="O38" s="166"/>
      <c r="P38" s="180"/>
      <c r="Q38" s="180"/>
      <c r="R38" s="166"/>
      <c r="S38" s="166"/>
      <c r="T38" s="166"/>
      <c r="U38" s="166"/>
      <c r="V38" s="166"/>
      <c r="W38" s="166"/>
      <c r="X38" s="166"/>
      <c r="Y38" s="166"/>
      <c r="Z38" s="174"/>
      <c r="AA38" s="175"/>
      <c r="AB38" s="174"/>
      <c r="AC38" s="175"/>
      <c r="AD38" s="175"/>
      <c r="AE38" s="175"/>
      <c r="AF38" s="175"/>
      <c r="AG38" s="175"/>
      <c r="AH38" s="175"/>
      <c r="AI38" s="175"/>
      <c r="AJ38" s="175"/>
      <c r="AK38" s="175"/>
      <c r="AL38" s="175"/>
      <c r="AM38" s="175"/>
      <c r="AN38" s="175"/>
      <c r="AO38" s="175"/>
      <c r="AP38" s="175"/>
      <c r="AQ38" s="175"/>
      <c r="AR38" s="176"/>
      <c r="AS38" s="176"/>
      <c r="AT38" s="174"/>
      <c r="AU38" s="174"/>
      <c r="AV38" s="175"/>
      <c r="AW38" s="174"/>
      <c r="AX38" s="174"/>
      <c r="AY38" s="174"/>
      <c r="AZ38" s="174"/>
      <c r="BA38" s="174"/>
      <c r="BB38" s="174"/>
      <c r="BC38" s="174"/>
      <c r="BD38" s="174"/>
      <c r="BE38" s="174"/>
      <c r="BF38" s="174"/>
      <c r="BG38" s="174"/>
      <c r="BH38" s="174"/>
      <c r="BI38" s="175">
        <f t="shared" si="15"/>
        <v>0</v>
      </c>
      <c r="BJ38" s="175">
        <f t="shared" si="16"/>
        <v>0</v>
      </c>
      <c r="BK38" s="176"/>
      <c r="BL38" s="170"/>
      <c r="BM38" s="170"/>
      <c r="BN38" s="170"/>
      <c r="BO38" s="170"/>
      <c r="BP38" s="170"/>
      <c r="BQ38" s="170"/>
      <c r="BR38" s="170"/>
      <c r="BS38" s="172"/>
      <c r="BT38" s="172"/>
      <c r="BU38" s="172"/>
      <c r="BV38" s="172"/>
      <c r="BW38" s="172"/>
      <c r="BX38" s="172"/>
      <c r="BY38" s="172"/>
      <c r="BZ38" s="172"/>
      <c r="CA38" s="172">
        <f t="shared" si="5"/>
        <v>0</v>
      </c>
      <c r="CB38" s="172">
        <f t="shared" si="6"/>
        <v>0</v>
      </c>
      <c r="CC38" s="494" t="e">
        <f t="shared" si="7"/>
        <v>#DIV/0!</v>
      </c>
      <c r="CD38" s="192"/>
      <c r="CE38" s="192"/>
      <c r="CF38" s="172"/>
      <c r="CG38" s="172"/>
      <c r="CH38" s="172"/>
      <c r="CI38" s="172"/>
      <c r="CJ38" s="172"/>
      <c r="CK38" s="172"/>
      <c r="CL38" s="172"/>
      <c r="CM38" s="172"/>
      <c r="CN38" s="172"/>
      <c r="CO38" s="172"/>
      <c r="CP38" s="172"/>
      <c r="CQ38" s="172"/>
      <c r="CR38" s="172"/>
      <c r="CS38" s="172">
        <v>0</v>
      </c>
      <c r="CT38" s="172">
        <v>0</v>
      </c>
      <c r="CU38" s="192" t="e">
        <v>#DIV/0!</v>
      </c>
    </row>
    <row r="39" spans="1:99" s="68" customFormat="1" x14ac:dyDescent="0.25">
      <c r="A39" s="490">
        <v>111</v>
      </c>
      <c r="B39" s="63" t="s">
        <v>94</v>
      </c>
      <c r="C39" s="490">
        <v>1164</v>
      </c>
      <c r="D39" s="63" t="s">
        <v>96</v>
      </c>
      <c r="E39" s="490">
        <v>1</v>
      </c>
      <c r="F39" s="559"/>
      <c r="G39" s="559"/>
      <c r="H39" s="559"/>
      <c r="I39" s="559"/>
      <c r="J39" s="561"/>
      <c r="K39" s="561"/>
      <c r="L39" s="166"/>
      <c r="M39" s="166"/>
      <c r="N39" s="166"/>
      <c r="O39" s="166"/>
      <c r="P39" s="180"/>
      <c r="Q39" s="180"/>
      <c r="R39" s="166"/>
      <c r="S39" s="166"/>
      <c r="T39" s="166"/>
      <c r="U39" s="166"/>
      <c r="V39" s="166"/>
      <c r="W39" s="166"/>
      <c r="X39" s="166"/>
      <c r="Y39" s="166"/>
      <c r="Z39" s="174"/>
      <c r="AA39" s="175"/>
      <c r="AB39" s="174"/>
      <c r="AC39" s="175"/>
      <c r="AD39" s="175"/>
      <c r="AE39" s="175"/>
      <c r="AF39" s="175"/>
      <c r="AG39" s="175"/>
      <c r="AH39" s="175"/>
      <c r="AI39" s="175"/>
      <c r="AJ39" s="175"/>
      <c r="AK39" s="175"/>
      <c r="AL39" s="175"/>
      <c r="AM39" s="175"/>
      <c r="AN39" s="175"/>
      <c r="AO39" s="175"/>
      <c r="AP39" s="175"/>
      <c r="AQ39" s="175"/>
      <c r="AR39" s="176"/>
      <c r="AS39" s="176"/>
      <c r="AT39" s="174"/>
      <c r="AU39" s="174"/>
      <c r="AV39" s="175"/>
      <c r="AW39" s="174"/>
      <c r="AX39" s="174"/>
      <c r="AY39" s="174"/>
      <c r="AZ39" s="174"/>
      <c r="BA39" s="174"/>
      <c r="BB39" s="174"/>
      <c r="BC39" s="174"/>
      <c r="BD39" s="174"/>
      <c r="BE39" s="174"/>
      <c r="BF39" s="174"/>
      <c r="BG39" s="174"/>
      <c r="BH39" s="174"/>
      <c r="BI39" s="175">
        <f t="shared" si="15"/>
        <v>0</v>
      </c>
      <c r="BJ39" s="175">
        <f t="shared" si="16"/>
        <v>0</v>
      </c>
      <c r="BK39" s="176"/>
      <c r="BL39" s="170"/>
      <c r="BM39" s="170"/>
      <c r="BN39" s="170"/>
      <c r="BO39" s="170"/>
      <c r="BP39" s="170"/>
      <c r="BQ39" s="170"/>
      <c r="BR39" s="170"/>
      <c r="BS39" s="172"/>
      <c r="BT39" s="172"/>
      <c r="BU39" s="172"/>
      <c r="BV39" s="172"/>
      <c r="BW39" s="172"/>
      <c r="BX39" s="172"/>
      <c r="BY39" s="172"/>
      <c r="BZ39" s="172"/>
      <c r="CA39" s="172">
        <f t="shared" si="5"/>
        <v>0</v>
      </c>
      <c r="CB39" s="172">
        <f t="shared" si="6"/>
        <v>0</v>
      </c>
      <c r="CC39" s="494" t="e">
        <f t="shared" si="7"/>
        <v>#DIV/0!</v>
      </c>
      <c r="CD39" s="192"/>
      <c r="CE39" s="192"/>
      <c r="CF39" s="172"/>
      <c r="CG39" s="172"/>
      <c r="CH39" s="172"/>
      <c r="CI39" s="172"/>
      <c r="CJ39" s="172"/>
      <c r="CK39" s="172"/>
      <c r="CL39" s="172"/>
      <c r="CM39" s="172"/>
      <c r="CN39" s="172"/>
      <c r="CO39" s="172"/>
      <c r="CP39" s="172"/>
      <c r="CQ39" s="172"/>
      <c r="CR39" s="172"/>
      <c r="CS39" s="172">
        <v>0</v>
      </c>
      <c r="CT39" s="172">
        <v>0</v>
      </c>
      <c r="CU39" s="192" t="e">
        <v>#DIV/0!</v>
      </c>
    </row>
    <row r="40" spans="1:99" s="68" customFormat="1" x14ac:dyDescent="0.25">
      <c r="A40" s="490">
        <v>111</v>
      </c>
      <c r="B40" s="63" t="s">
        <v>94</v>
      </c>
      <c r="C40" s="490">
        <v>1164</v>
      </c>
      <c r="D40" s="63" t="s">
        <v>96</v>
      </c>
      <c r="E40" s="490">
        <v>1</v>
      </c>
      <c r="F40" s="559"/>
      <c r="G40" s="559"/>
      <c r="H40" s="559"/>
      <c r="I40" s="559"/>
      <c r="J40" s="561"/>
      <c r="K40" s="561"/>
      <c r="L40" s="166"/>
      <c r="M40" s="166"/>
      <c r="N40" s="166"/>
      <c r="O40" s="166"/>
      <c r="P40" s="180"/>
      <c r="Q40" s="180"/>
      <c r="R40" s="166"/>
      <c r="S40" s="166"/>
      <c r="T40" s="166"/>
      <c r="U40" s="166"/>
      <c r="V40" s="166"/>
      <c r="W40" s="166"/>
      <c r="X40" s="166"/>
      <c r="Y40" s="166"/>
      <c r="Z40" s="174"/>
      <c r="AA40" s="175"/>
      <c r="AB40" s="174"/>
      <c r="AC40" s="175"/>
      <c r="AD40" s="175"/>
      <c r="AE40" s="175"/>
      <c r="AF40" s="175"/>
      <c r="AG40" s="175"/>
      <c r="AH40" s="175"/>
      <c r="AI40" s="175"/>
      <c r="AJ40" s="175"/>
      <c r="AK40" s="175"/>
      <c r="AL40" s="175"/>
      <c r="AM40" s="175"/>
      <c r="AN40" s="175"/>
      <c r="AO40" s="175"/>
      <c r="AP40" s="175"/>
      <c r="AQ40" s="175"/>
      <c r="AR40" s="176"/>
      <c r="AS40" s="176"/>
      <c r="AT40" s="174"/>
      <c r="AU40" s="174"/>
      <c r="AV40" s="175"/>
      <c r="AW40" s="174"/>
      <c r="AX40" s="174"/>
      <c r="AY40" s="174"/>
      <c r="AZ40" s="174"/>
      <c r="BA40" s="174"/>
      <c r="BB40" s="174"/>
      <c r="BC40" s="174"/>
      <c r="BD40" s="174"/>
      <c r="BE40" s="174"/>
      <c r="BF40" s="174"/>
      <c r="BG40" s="174"/>
      <c r="BH40" s="174"/>
      <c r="BI40" s="175">
        <f t="shared" si="15"/>
        <v>0</v>
      </c>
      <c r="BJ40" s="175">
        <f t="shared" si="16"/>
        <v>0</v>
      </c>
      <c r="BK40" s="176"/>
      <c r="BL40" s="170"/>
      <c r="BM40" s="170"/>
      <c r="BN40" s="170"/>
      <c r="BO40" s="170"/>
      <c r="BP40" s="170"/>
      <c r="BQ40" s="170"/>
      <c r="BR40" s="170"/>
      <c r="BS40" s="172"/>
      <c r="BT40" s="172"/>
      <c r="BU40" s="172"/>
      <c r="BV40" s="172"/>
      <c r="BW40" s="172"/>
      <c r="BX40" s="172"/>
      <c r="BY40" s="172"/>
      <c r="BZ40" s="172"/>
      <c r="CA40" s="172">
        <f t="shared" si="5"/>
        <v>0</v>
      </c>
      <c r="CB40" s="172">
        <f t="shared" si="6"/>
        <v>0</v>
      </c>
      <c r="CC40" s="494" t="e">
        <f t="shared" si="7"/>
        <v>#DIV/0!</v>
      </c>
      <c r="CD40" s="192"/>
      <c r="CE40" s="192"/>
      <c r="CF40" s="172"/>
      <c r="CG40" s="172"/>
      <c r="CH40" s="172"/>
      <c r="CI40" s="172"/>
      <c r="CJ40" s="172"/>
      <c r="CK40" s="172"/>
      <c r="CL40" s="172"/>
      <c r="CM40" s="172"/>
      <c r="CN40" s="172"/>
      <c r="CO40" s="172"/>
      <c r="CP40" s="172"/>
      <c r="CQ40" s="172"/>
      <c r="CR40" s="172"/>
      <c r="CS40" s="172">
        <v>0</v>
      </c>
      <c r="CT40" s="172">
        <v>0</v>
      </c>
      <c r="CU40" s="192" t="e">
        <v>#DIV/0!</v>
      </c>
    </row>
    <row r="41" spans="1:99" s="68" customFormat="1" ht="13.5" customHeight="1" x14ac:dyDescent="0.25">
      <c r="A41" s="491">
        <v>112</v>
      </c>
      <c r="B41" s="65" t="s">
        <v>102</v>
      </c>
      <c r="C41" s="491">
        <v>1157</v>
      </c>
      <c r="D41" s="65" t="s">
        <v>104</v>
      </c>
      <c r="E41" s="491">
        <v>1</v>
      </c>
      <c r="F41" s="584" t="s">
        <v>105</v>
      </c>
      <c r="G41" s="584">
        <v>900</v>
      </c>
      <c r="H41" s="584" t="s">
        <v>106</v>
      </c>
      <c r="I41" s="584" t="s">
        <v>107</v>
      </c>
      <c r="J41" s="586"/>
      <c r="K41" s="586"/>
      <c r="L41" s="166" t="s">
        <v>417</v>
      </c>
      <c r="M41" s="166" t="s">
        <v>48</v>
      </c>
      <c r="N41" s="179" t="s">
        <v>1919</v>
      </c>
      <c r="O41" s="166" t="s">
        <v>400</v>
      </c>
      <c r="P41" s="180">
        <v>40898</v>
      </c>
      <c r="Q41" s="180">
        <v>41283</v>
      </c>
      <c r="R41" s="166">
        <v>12</v>
      </c>
      <c r="S41" s="186">
        <v>4002</v>
      </c>
      <c r="T41" s="166" t="s">
        <v>418</v>
      </c>
      <c r="U41" s="166" t="s">
        <v>419</v>
      </c>
      <c r="V41" s="166" t="s">
        <v>420</v>
      </c>
      <c r="W41" s="166">
        <v>900</v>
      </c>
      <c r="X41" s="166" t="s">
        <v>315</v>
      </c>
      <c r="Y41" s="166"/>
      <c r="Z41" s="174">
        <v>4</v>
      </c>
      <c r="AA41" s="175">
        <v>940500000</v>
      </c>
      <c r="AB41" s="174">
        <v>4</v>
      </c>
      <c r="AC41" s="175">
        <v>940500000</v>
      </c>
      <c r="AD41" s="175">
        <v>84075000</v>
      </c>
      <c r="AE41" s="175">
        <v>83790000</v>
      </c>
      <c r="AF41" s="175">
        <v>83790000</v>
      </c>
      <c r="AG41" s="175">
        <v>83505000</v>
      </c>
      <c r="AH41" s="175">
        <v>83315000</v>
      </c>
      <c r="AI41" s="175">
        <v>85120000</v>
      </c>
      <c r="AJ41" s="175">
        <v>84835000</v>
      </c>
      <c r="AK41" s="175">
        <v>85120000</v>
      </c>
      <c r="AL41" s="175">
        <v>85500000</v>
      </c>
      <c r="AM41" s="175">
        <v>85310000</v>
      </c>
      <c r="AN41" s="175">
        <v>85310000</v>
      </c>
      <c r="AO41" s="175">
        <v>10830000</v>
      </c>
      <c r="AP41" s="175">
        <f t="shared" ref="AP41:AP64" si="17">SUM(AD41:AO41)</f>
        <v>940500000</v>
      </c>
      <c r="AQ41" s="175">
        <f t="shared" ref="AQ41:AQ64" si="18">+AC41-AP41</f>
        <v>0</v>
      </c>
      <c r="AR41" s="176">
        <f t="shared" ref="AR41:AR64" si="19">AP41/AC41</f>
        <v>1</v>
      </c>
      <c r="AS41" s="176"/>
      <c r="AT41" s="174"/>
      <c r="AU41" s="174"/>
      <c r="AV41" s="175"/>
      <c r="AW41" s="174"/>
      <c r="AX41" s="174"/>
      <c r="AY41" s="174"/>
      <c r="AZ41" s="174"/>
      <c r="BA41" s="174">
        <v>0</v>
      </c>
      <c r="BB41" s="174">
        <v>0</v>
      </c>
      <c r="BC41" s="174">
        <v>0</v>
      </c>
      <c r="BD41" s="174">
        <v>0</v>
      </c>
      <c r="BE41" s="174">
        <v>0</v>
      </c>
      <c r="BF41" s="174">
        <v>0</v>
      </c>
      <c r="BG41" s="174">
        <v>0</v>
      </c>
      <c r="BH41" s="174">
        <v>0</v>
      </c>
      <c r="BI41" s="175">
        <f t="shared" si="15"/>
        <v>0</v>
      </c>
      <c r="BJ41" s="175">
        <f t="shared" si="16"/>
        <v>0</v>
      </c>
      <c r="BK41" s="176"/>
      <c r="BL41" s="170"/>
      <c r="BM41" s="170"/>
      <c r="BN41" s="170"/>
      <c r="BO41" s="170"/>
      <c r="BP41" s="170"/>
      <c r="BQ41" s="170"/>
      <c r="BR41" s="170"/>
      <c r="BS41" s="172"/>
      <c r="BT41" s="172"/>
      <c r="BU41" s="172"/>
      <c r="BV41" s="172"/>
      <c r="BW41" s="172"/>
      <c r="BX41" s="172"/>
      <c r="BY41" s="172"/>
      <c r="BZ41" s="172"/>
      <c r="CA41" s="172">
        <f t="shared" si="5"/>
        <v>0</v>
      </c>
      <c r="CB41" s="172">
        <f t="shared" si="6"/>
        <v>0</v>
      </c>
      <c r="CC41" s="494" t="e">
        <f t="shared" si="7"/>
        <v>#DIV/0!</v>
      </c>
      <c r="CD41" s="192"/>
      <c r="CE41" s="192"/>
      <c r="CF41" s="172"/>
      <c r="CG41" s="172"/>
      <c r="CH41" s="172"/>
      <c r="CI41" s="172"/>
      <c r="CJ41" s="172"/>
      <c r="CK41" s="172"/>
      <c r="CL41" s="172"/>
      <c r="CM41" s="172"/>
      <c r="CN41" s="172"/>
      <c r="CO41" s="172"/>
      <c r="CP41" s="172"/>
      <c r="CQ41" s="172"/>
      <c r="CR41" s="172"/>
      <c r="CS41" s="172">
        <v>0</v>
      </c>
      <c r="CT41" s="172">
        <v>0</v>
      </c>
      <c r="CU41" s="192" t="e">
        <v>#DIV/0!</v>
      </c>
    </row>
    <row r="42" spans="1:99" s="68" customFormat="1" x14ac:dyDescent="0.25">
      <c r="A42" s="491">
        <v>112</v>
      </c>
      <c r="B42" s="65" t="s">
        <v>102</v>
      </c>
      <c r="C42" s="491">
        <v>1157</v>
      </c>
      <c r="D42" s="65" t="s">
        <v>104</v>
      </c>
      <c r="E42" s="491">
        <v>1</v>
      </c>
      <c r="F42" s="585"/>
      <c r="G42" s="585"/>
      <c r="H42" s="585"/>
      <c r="I42" s="585"/>
      <c r="J42" s="587"/>
      <c r="K42" s="587"/>
      <c r="L42" s="166" t="s">
        <v>421</v>
      </c>
      <c r="M42" s="166" t="s">
        <v>48</v>
      </c>
      <c r="N42" s="179" t="s">
        <v>1919</v>
      </c>
      <c r="O42" s="166" t="s">
        <v>400</v>
      </c>
      <c r="P42" s="180">
        <v>40898</v>
      </c>
      <c r="Q42" s="180">
        <v>41283</v>
      </c>
      <c r="R42" s="166">
        <v>12</v>
      </c>
      <c r="S42" s="186">
        <v>4002</v>
      </c>
      <c r="T42" s="166" t="s">
        <v>418</v>
      </c>
      <c r="U42" s="166" t="s">
        <v>419</v>
      </c>
      <c r="V42" s="166" t="s">
        <v>420</v>
      </c>
      <c r="W42" s="166">
        <v>900</v>
      </c>
      <c r="X42" s="166" t="s">
        <v>315</v>
      </c>
      <c r="Y42" s="166"/>
      <c r="Z42" s="174">
        <v>5</v>
      </c>
      <c r="AA42" s="175">
        <v>19700000</v>
      </c>
      <c r="AB42" s="174">
        <v>5</v>
      </c>
      <c r="AC42" s="175">
        <v>19700000</v>
      </c>
      <c r="AD42" s="175">
        <v>0</v>
      </c>
      <c r="AE42" s="175">
        <v>0</v>
      </c>
      <c r="AF42" s="175">
        <v>0</v>
      </c>
      <c r="AG42" s="175">
        <v>0</v>
      </c>
      <c r="AH42" s="175">
        <v>0</v>
      </c>
      <c r="AI42" s="175">
        <v>0</v>
      </c>
      <c r="AJ42" s="175">
        <v>0</v>
      </c>
      <c r="AK42" s="175">
        <v>1336081</v>
      </c>
      <c r="AL42" s="175">
        <v>0</v>
      </c>
      <c r="AM42" s="175">
        <v>0</v>
      </c>
      <c r="AN42" s="175">
        <v>0</v>
      </c>
      <c r="AO42" s="175">
        <v>0</v>
      </c>
      <c r="AP42" s="175">
        <f t="shared" si="17"/>
        <v>1336081</v>
      </c>
      <c r="AQ42" s="175">
        <f t="shared" si="18"/>
        <v>18363919</v>
      </c>
      <c r="AR42" s="176">
        <f t="shared" si="19"/>
        <v>6.7821370558375629E-2</v>
      </c>
      <c r="AS42" s="176"/>
      <c r="AT42" s="174">
        <v>75</v>
      </c>
      <c r="AU42" s="174">
        <v>82</v>
      </c>
      <c r="AV42" s="175">
        <v>18363919</v>
      </c>
      <c r="AW42" s="174">
        <v>0</v>
      </c>
      <c r="AX42" s="174">
        <v>0</v>
      </c>
      <c r="AY42" s="174">
        <v>2334696</v>
      </c>
      <c r="AZ42" s="174">
        <v>1238330</v>
      </c>
      <c r="BA42" s="174">
        <v>0</v>
      </c>
      <c r="BB42" s="174">
        <v>1267538</v>
      </c>
      <c r="BC42" s="174">
        <v>0</v>
      </c>
      <c r="BD42" s="174">
        <v>0</v>
      </c>
      <c r="BE42" s="174">
        <v>0</v>
      </c>
      <c r="BF42" s="174">
        <v>0</v>
      </c>
      <c r="BG42" s="174">
        <v>0</v>
      </c>
      <c r="BH42" s="174">
        <v>0</v>
      </c>
      <c r="BI42" s="175">
        <f t="shared" si="15"/>
        <v>4840564</v>
      </c>
      <c r="BJ42" s="175">
        <f t="shared" si="16"/>
        <v>13523355</v>
      </c>
      <c r="BK42" s="176">
        <f>+BI42/AV42</f>
        <v>0.26359101235417126</v>
      </c>
      <c r="BL42" s="170">
        <v>23</v>
      </c>
      <c r="BM42" s="170">
        <v>385</v>
      </c>
      <c r="BN42" s="170">
        <v>13523355</v>
      </c>
      <c r="BO42" s="170">
        <v>0</v>
      </c>
      <c r="BP42" s="170">
        <v>0</v>
      </c>
      <c r="BQ42" s="170">
        <v>0</v>
      </c>
      <c r="BR42" s="170">
        <v>0</v>
      </c>
      <c r="BS42" s="172"/>
      <c r="BT42" s="172"/>
      <c r="BU42" s="172"/>
      <c r="BV42" s="172"/>
      <c r="BW42" s="172"/>
      <c r="BX42" s="172"/>
      <c r="BY42" s="172"/>
      <c r="BZ42" s="172"/>
      <c r="CA42" s="172">
        <f t="shared" si="5"/>
        <v>0</v>
      </c>
      <c r="CB42" s="172">
        <f t="shared" si="6"/>
        <v>13523355</v>
      </c>
      <c r="CC42" s="494">
        <f t="shared" si="7"/>
        <v>0</v>
      </c>
      <c r="CD42" s="192"/>
      <c r="CE42" s="192"/>
      <c r="CF42" s="172"/>
      <c r="CG42" s="172"/>
      <c r="CH42" s="172"/>
      <c r="CI42" s="172"/>
      <c r="CJ42" s="172"/>
      <c r="CK42" s="172"/>
      <c r="CL42" s="172"/>
      <c r="CM42" s="172"/>
      <c r="CN42" s="172"/>
      <c r="CO42" s="172"/>
      <c r="CP42" s="172"/>
      <c r="CQ42" s="172"/>
      <c r="CR42" s="172"/>
      <c r="CS42" s="172">
        <v>0</v>
      </c>
      <c r="CT42" s="172">
        <v>0</v>
      </c>
      <c r="CU42" s="192" t="e">
        <v>#DIV/0!</v>
      </c>
    </row>
    <row r="43" spans="1:99" s="68" customFormat="1" ht="13.5" customHeight="1" x14ac:dyDescent="0.25">
      <c r="A43" s="491">
        <v>112</v>
      </c>
      <c r="B43" s="65" t="s">
        <v>102</v>
      </c>
      <c r="C43" s="491">
        <v>1157</v>
      </c>
      <c r="D43" s="65" t="s">
        <v>104</v>
      </c>
      <c r="E43" s="491">
        <v>1</v>
      </c>
      <c r="F43" s="585"/>
      <c r="G43" s="585">
        <v>900</v>
      </c>
      <c r="H43" s="585"/>
      <c r="I43" s="585" t="s">
        <v>107</v>
      </c>
      <c r="J43" s="587"/>
      <c r="K43" s="587"/>
      <c r="L43" s="166" t="s">
        <v>422</v>
      </c>
      <c r="M43" s="166" t="s">
        <v>48</v>
      </c>
      <c r="N43" s="166" t="s">
        <v>329</v>
      </c>
      <c r="O43" s="166" t="s">
        <v>356</v>
      </c>
      <c r="P43" s="180">
        <v>41351</v>
      </c>
      <c r="Q43" s="180">
        <v>41366</v>
      </c>
      <c r="R43" s="166">
        <v>11</v>
      </c>
      <c r="S43" s="186">
        <v>10</v>
      </c>
      <c r="T43" s="166" t="s">
        <v>423</v>
      </c>
      <c r="U43" s="166" t="s">
        <v>424</v>
      </c>
      <c r="V43" s="166" t="s">
        <v>425</v>
      </c>
      <c r="W43" s="166">
        <v>900</v>
      </c>
      <c r="X43" s="166" t="s">
        <v>315</v>
      </c>
      <c r="Y43" s="166" t="s">
        <v>426</v>
      </c>
      <c r="Z43" s="174">
        <v>9</v>
      </c>
      <c r="AA43" s="175">
        <v>22000000</v>
      </c>
      <c r="AB43" s="174">
        <v>358</v>
      </c>
      <c r="AC43" s="175">
        <v>18700000</v>
      </c>
      <c r="AD43" s="175">
        <v>0</v>
      </c>
      <c r="AE43" s="175">
        <v>0</v>
      </c>
      <c r="AF43" s="175">
        <v>0</v>
      </c>
      <c r="AG43" s="175">
        <v>0</v>
      </c>
      <c r="AH43" s="175">
        <v>0</v>
      </c>
      <c r="AI43" s="175">
        <v>0</v>
      </c>
      <c r="AJ43" s="175">
        <v>0</v>
      </c>
      <c r="AK43" s="175">
        <v>0</v>
      </c>
      <c r="AL43" s="175">
        <v>0</v>
      </c>
      <c r="AM43" s="175">
        <v>0</v>
      </c>
      <c r="AN43" s="175">
        <v>0</v>
      </c>
      <c r="AO43" s="175">
        <v>5900000</v>
      </c>
      <c r="AP43" s="175">
        <f t="shared" si="17"/>
        <v>5900000</v>
      </c>
      <c r="AQ43" s="175">
        <f t="shared" si="18"/>
        <v>12800000</v>
      </c>
      <c r="AR43" s="176">
        <f t="shared" si="19"/>
        <v>0.31550802139037432</v>
      </c>
      <c r="AS43" s="176"/>
      <c r="AT43" s="174">
        <v>78</v>
      </c>
      <c r="AU43" s="174">
        <v>85</v>
      </c>
      <c r="AV43" s="175">
        <v>12800000</v>
      </c>
      <c r="AW43" s="174">
        <v>0</v>
      </c>
      <c r="AX43" s="174">
        <v>5900000</v>
      </c>
      <c r="AY43" s="174">
        <v>3200000</v>
      </c>
      <c r="AZ43" s="174">
        <v>3700000</v>
      </c>
      <c r="BA43" s="174">
        <v>0</v>
      </c>
      <c r="BB43" s="174">
        <v>0</v>
      </c>
      <c r="BC43" s="174">
        <v>0</v>
      </c>
      <c r="BD43" s="174">
        <v>0</v>
      </c>
      <c r="BE43" s="174">
        <v>0</v>
      </c>
      <c r="BF43" s="174">
        <v>0</v>
      </c>
      <c r="BG43" s="174">
        <v>0</v>
      </c>
      <c r="BH43" s="174">
        <v>0</v>
      </c>
      <c r="BI43" s="175">
        <f t="shared" si="15"/>
        <v>12800000</v>
      </c>
      <c r="BJ43" s="175">
        <f t="shared" si="16"/>
        <v>0</v>
      </c>
      <c r="BK43" s="176">
        <f>+BI43/AV43</f>
        <v>1</v>
      </c>
      <c r="BL43" s="170"/>
      <c r="BM43" s="170"/>
      <c r="BN43" s="170"/>
      <c r="BO43" s="170"/>
      <c r="BP43" s="170"/>
      <c r="BQ43" s="170"/>
      <c r="BR43" s="170"/>
      <c r="BS43" s="172"/>
      <c r="BT43" s="172"/>
      <c r="BU43" s="172"/>
      <c r="BV43" s="172"/>
      <c r="BW43" s="172"/>
      <c r="BX43" s="172"/>
      <c r="BY43" s="172"/>
      <c r="BZ43" s="172"/>
      <c r="CA43" s="172">
        <f t="shared" si="5"/>
        <v>0</v>
      </c>
      <c r="CB43" s="172">
        <f t="shared" si="6"/>
        <v>0</v>
      </c>
      <c r="CC43" s="494" t="e">
        <f t="shared" si="7"/>
        <v>#DIV/0!</v>
      </c>
      <c r="CD43" s="192"/>
      <c r="CE43" s="192"/>
      <c r="CF43" s="172"/>
      <c r="CG43" s="172"/>
      <c r="CH43" s="172"/>
      <c r="CI43" s="172"/>
      <c r="CJ43" s="172"/>
      <c r="CK43" s="172"/>
      <c r="CL43" s="172"/>
      <c r="CM43" s="172"/>
      <c r="CN43" s="172"/>
      <c r="CO43" s="172"/>
      <c r="CP43" s="172"/>
      <c r="CQ43" s="172"/>
      <c r="CR43" s="172"/>
      <c r="CS43" s="172">
        <v>0</v>
      </c>
      <c r="CT43" s="172">
        <v>0</v>
      </c>
      <c r="CU43" s="192" t="e">
        <v>#DIV/0!</v>
      </c>
    </row>
    <row r="44" spans="1:99" s="68" customFormat="1" ht="14.25" customHeight="1" x14ac:dyDescent="0.25">
      <c r="A44" s="491">
        <v>112</v>
      </c>
      <c r="B44" s="65" t="s">
        <v>102</v>
      </c>
      <c r="C44" s="491">
        <v>1157</v>
      </c>
      <c r="D44" s="65" t="s">
        <v>104</v>
      </c>
      <c r="E44" s="491">
        <v>1</v>
      </c>
      <c r="F44" s="585"/>
      <c r="G44" s="585"/>
      <c r="H44" s="585"/>
      <c r="I44" s="585"/>
      <c r="J44" s="587"/>
      <c r="K44" s="587"/>
      <c r="L44" s="166" t="s">
        <v>427</v>
      </c>
      <c r="M44" s="166" t="s">
        <v>48</v>
      </c>
      <c r="N44" s="166" t="s">
        <v>329</v>
      </c>
      <c r="O44" s="166" t="s">
        <v>356</v>
      </c>
      <c r="P44" s="180">
        <v>41351</v>
      </c>
      <c r="Q44" s="180">
        <v>41366</v>
      </c>
      <c r="R44" s="166">
        <v>11</v>
      </c>
      <c r="S44" s="186">
        <v>10</v>
      </c>
      <c r="T44" s="166" t="s">
        <v>423</v>
      </c>
      <c r="U44" s="166" t="s">
        <v>424</v>
      </c>
      <c r="V44" s="166" t="s">
        <v>425</v>
      </c>
      <c r="W44" s="166">
        <v>900</v>
      </c>
      <c r="X44" s="166" t="s">
        <v>315</v>
      </c>
      <c r="Y44" s="166" t="s">
        <v>426</v>
      </c>
      <c r="Z44" s="174">
        <v>7</v>
      </c>
      <c r="AA44" s="175">
        <v>22000000</v>
      </c>
      <c r="AB44" s="174">
        <v>356</v>
      </c>
      <c r="AC44" s="175">
        <v>22000000</v>
      </c>
      <c r="AD44" s="175">
        <v>0</v>
      </c>
      <c r="AE44" s="175">
        <v>0</v>
      </c>
      <c r="AF44" s="175">
        <v>0</v>
      </c>
      <c r="AG44" s="175">
        <v>0</v>
      </c>
      <c r="AH44" s="175">
        <v>0</v>
      </c>
      <c r="AI44" s="175">
        <v>5900000</v>
      </c>
      <c r="AJ44" s="175">
        <v>11800000</v>
      </c>
      <c r="AK44" s="175">
        <v>0</v>
      </c>
      <c r="AL44" s="175">
        <v>4300000</v>
      </c>
      <c r="AM44" s="175">
        <v>0</v>
      </c>
      <c r="AN44" s="175">
        <v>0</v>
      </c>
      <c r="AO44" s="175">
        <v>0</v>
      </c>
      <c r="AP44" s="175">
        <f t="shared" si="17"/>
        <v>22000000</v>
      </c>
      <c r="AQ44" s="175">
        <f t="shared" si="18"/>
        <v>0</v>
      </c>
      <c r="AR44" s="176">
        <f t="shared" si="19"/>
        <v>1</v>
      </c>
      <c r="AS44" s="176"/>
      <c r="AT44" s="174"/>
      <c r="AU44" s="174"/>
      <c r="AV44" s="175"/>
      <c r="AW44" s="174"/>
      <c r="AX44" s="174"/>
      <c r="AY44" s="174"/>
      <c r="AZ44" s="174"/>
      <c r="BA44" s="174">
        <v>0</v>
      </c>
      <c r="BB44" s="174">
        <v>0</v>
      </c>
      <c r="BC44" s="174">
        <v>0</v>
      </c>
      <c r="BD44" s="174">
        <v>0</v>
      </c>
      <c r="BE44" s="174">
        <v>0</v>
      </c>
      <c r="BF44" s="174">
        <v>0</v>
      </c>
      <c r="BG44" s="174">
        <v>0</v>
      </c>
      <c r="BH44" s="174">
        <v>0</v>
      </c>
      <c r="BI44" s="175">
        <f t="shared" si="15"/>
        <v>0</v>
      </c>
      <c r="BJ44" s="175">
        <f t="shared" si="16"/>
        <v>0</v>
      </c>
      <c r="BK44" s="176"/>
      <c r="BL44" s="170"/>
      <c r="BM44" s="170"/>
      <c r="BN44" s="170"/>
      <c r="BO44" s="170"/>
      <c r="BP44" s="170"/>
      <c r="BQ44" s="170"/>
      <c r="BR44" s="170"/>
      <c r="BS44" s="172"/>
      <c r="BT44" s="172"/>
      <c r="BU44" s="172"/>
      <c r="BV44" s="172"/>
      <c r="BW44" s="172"/>
      <c r="BX44" s="172"/>
      <c r="BY44" s="172"/>
      <c r="BZ44" s="172"/>
      <c r="CA44" s="172">
        <f t="shared" si="5"/>
        <v>0</v>
      </c>
      <c r="CB44" s="172">
        <f t="shared" si="6"/>
        <v>0</v>
      </c>
      <c r="CC44" s="494" t="e">
        <f t="shared" si="7"/>
        <v>#DIV/0!</v>
      </c>
      <c r="CD44" s="192"/>
      <c r="CE44" s="192"/>
      <c r="CF44" s="172"/>
      <c r="CG44" s="172"/>
      <c r="CH44" s="172"/>
      <c r="CI44" s="172"/>
      <c r="CJ44" s="172"/>
      <c r="CK44" s="172"/>
      <c r="CL44" s="172"/>
      <c r="CM44" s="172"/>
      <c r="CN44" s="172"/>
      <c r="CO44" s="172"/>
      <c r="CP44" s="172"/>
      <c r="CQ44" s="172"/>
      <c r="CR44" s="172"/>
      <c r="CS44" s="172">
        <v>0</v>
      </c>
      <c r="CT44" s="172">
        <v>0</v>
      </c>
      <c r="CU44" s="192" t="e">
        <v>#DIV/0!</v>
      </c>
    </row>
    <row r="45" spans="1:99" s="68" customFormat="1" x14ac:dyDescent="0.25">
      <c r="A45" s="491">
        <v>112</v>
      </c>
      <c r="B45" s="65" t="s">
        <v>102</v>
      </c>
      <c r="C45" s="491">
        <v>1157</v>
      </c>
      <c r="D45" s="65" t="s">
        <v>104</v>
      </c>
      <c r="E45" s="491">
        <v>1</v>
      </c>
      <c r="F45" s="585"/>
      <c r="G45" s="585"/>
      <c r="H45" s="585"/>
      <c r="I45" s="585"/>
      <c r="J45" s="587"/>
      <c r="K45" s="587"/>
      <c r="L45" s="166" t="s">
        <v>428</v>
      </c>
      <c r="M45" s="166" t="s">
        <v>48</v>
      </c>
      <c r="N45" s="166" t="s">
        <v>329</v>
      </c>
      <c r="O45" s="166" t="s">
        <v>356</v>
      </c>
      <c r="P45" s="180">
        <v>41351</v>
      </c>
      <c r="Q45" s="180">
        <v>41366</v>
      </c>
      <c r="R45" s="166">
        <v>11</v>
      </c>
      <c r="S45" s="186">
        <v>10</v>
      </c>
      <c r="T45" s="166" t="s">
        <v>423</v>
      </c>
      <c r="U45" s="166" t="s">
        <v>424</v>
      </c>
      <c r="V45" s="166" t="s">
        <v>425</v>
      </c>
      <c r="W45" s="166">
        <v>900</v>
      </c>
      <c r="X45" s="166" t="s">
        <v>315</v>
      </c>
      <c r="Y45" s="166" t="s">
        <v>426</v>
      </c>
      <c r="Z45" s="174">
        <v>8</v>
      </c>
      <c r="AA45" s="175">
        <v>22000000</v>
      </c>
      <c r="AB45" s="174">
        <v>357</v>
      </c>
      <c r="AC45" s="175">
        <v>22000000</v>
      </c>
      <c r="AD45" s="175">
        <v>0</v>
      </c>
      <c r="AE45" s="175">
        <v>0</v>
      </c>
      <c r="AF45" s="175">
        <v>0</v>
      </c>
      <c r="AG45" s="175">
        <v>0</v>
      </c>
      <c r="AH45" s="175">
        <v>0</v>
      </c>
      <c r="AI45" s="175">
        <v>0</v>
      </c>
      <c r="AJ45" s="175">
        <v>0</v>
      </c>
      <c r="AK45" s="175">
        <v>0</v>
      </c>
      <c r="AL45" s="175">
        <v>1600000</v>
      </c>
      <c r="AM45" s="175">
        <v>5900000</v>
      </c>
      <c r="AN45" s="175">
        <v>5900000</v>
      </c>
      <c r="AO45" s="175">
        <v>5900000</v>
      </c>
      <c r="AP45" s="175">
        <f t="shared" si="17"/>
        <v>19300000</v>
      </c>
      <c r="AQ45" s="175">
        <f t="shared" si="18"/>
        <v>2700000</v>
      </c>
      <c r="AR45" s="176">
        <f t="shared" si="19"/>
        <v>0.87727272727272732</v>
      </c>
      <c r="AS45" s="176"/>
      <c r="AT45" s="174">
        <v>77</v>
      </c>
      <c r="AU45" s="174">
        <v>84</v>
      </c>
      <c r="AV45" s="175">
        <v>2700000</v>
      </c>
      <c r="AW45" s="174">
        <v>0</v>
      </c>
      <c r="AX45" s="174">
        <v>0</v>
      </c>
      <c r="AY45" s="174">
        <v>2700000</v>
      </c>
      <c r="AZ45" s="174">
        <v>0</v>
      </c>
      <c r="BA45" s="174">
        <v>0</v>
      </c>
      <c r="BB45" s="174">
        <v>0</v>
      </c>
      <c r="BC45" s="174">
        <v>0</v>
      </c>
      <c r="BD45" s="174">
        <v>0</v>
      </c>
      <c r="BE45" s="174">
        <v>0</v>
      </c>
      <c r="BF45" s="174">
        <v>0</v>
      </c>
      <c r="BG45" s="174">
        <v>0</v>
      </c>
      <c r="BH45" s="174">
        <v>0</v>
      </c>
      <c r="BI45" s="175">
        <f t="shared" si="15"/>
        <v>2700000</v>
      </c>
      <c r="BJ45" s="175">
        <f t="shared" si="16"/>
        <v>0</v>
      </c>
      <c r="BK45" s="176">
        <f t="shared" ref="BK45:BK64" si="20">+BI45/AV45</f>
        <v>1</v>
      </c>
      <c r="BL45" s="170"/>
      <c r="BM45" s="170"/>
      <c r="BN45" s="170"/>
      <c r="BO45" s="170"/>
      <c r="BP45" s="170"/>
      <c r="BQ45" s="170"/>
      <c r="BR45" s="170"/>
      <c r="BS45" s="172"/>
      <c r="BT45" s="172"/>
      <c r="BU45" s="172"/>
      <c r="BV45" s="172"/>
      <c r="BW45" s="172"/>
      <c r="BX45" s="172"/>
      <c r="BY45" s="172"/>
      <c r="BZ45" s="172"/>
      <c r="CA45" s="172">
        <f t="shared" si="5"/>
        <v>0</v>
      </c>
      <c r="CB45" s="172">
        <f t="shared" si="6"/>
        <v>0</v>
      </c>
      <c r="CC45" s="494" t="e">
        <f t="shared" si="7"/>
        <v>#DIV/0!</v>
      </c>
      <c r="CD45" s="192"/>
      <c r="CE45" s="192"/>
      <c r="CF45" s="172"/>
      <c r="CG45" s="172"/>
      <c r="CH45" s="172"/>
      <c r="CI45" s="172"/>
      <c r="CJ45" s="172"/>
      <c r="CK45" s="172"/>
      <c r="CL45" s="172"/>
      <c r="CM45" s="172"/>
      <c r="CN45" s="172"/>
      <c r="CO45" s="172"/>
      <c r="CP45" s="172"/>
      <c r="CQ45" s="172"/>
      <c r="CR45" s="172"/>
      <c r="CS45" s="172">
        <v>0</v>
      </c>
      <c r="CT45" s="172">
        <v>0</v>
      </c>
      <c r="CU45" s="192" t="e">
        <v>#DIV/0!</v>
      </c>
    </row>
    <row r="46" spans="1:99" s="68" customFormat="1" x14ac:dyDescent="0.25">
      <c r="A46" s="491">
        <v>112</v>
      </c>
      <c r="B46" s="65" t="s">
        <v>102</v>
      </c>
      <c r="C46" s="491">
        <v>1157</v>
      </c>
      <c r="D46" s="65" t="s">
        <v>104</v>
      </c>
      <c r="E46" s="491">
        <v>1</v>
      </c>
      <c r="F46" s="585"/>
      <c r="G46" s="585"/>
      <c r="H46" s="585"/>
      <c r="I46" s="585"/>
      <c r="J46" s="587"/>
      <c r="K46" s="587"/>
      <c r="L46" s="166" t="s">
        <v>429</v>
      </c>
      <c r="M46" s="166" t="s">
        <v>48</v>
      </c>
      <c r="N46" s="166" t="s">
        <v>430</v>
      </c>
      <c r="O46" s="166" t="s">
        <v>356</v>
      </c>
      <c r="P46" s="180">
        <v>41351</v>
      </c>
      <c r="Q46" s="180">
        <v>41366</v>
      </c>
      <c r="R46" s="166" t="s">
        <v>357</v>
      </c>
      <c r="S46" s="186">
        <v>10</v>
      </c>
      <c r="T46" s="166" t="s">
        <v>423</v>
      </c>
      <c r="U46" s="166" t="s">
        <v>424</v>
      </c>
      <c r="V46" s="166" t="s">
        <v>425</v>
      </c>
      <c r="W46" s="166">
        <v>900</v>
      </c>
      <c r="X46" s="166" t="s">
        <v>315</v>
      </c>
      <c r="Y46" s="166"/>
      <c r="Z46" s="174">
        <v>808</v>
      </c>
      <c r="AA46" s="175">
        <v>29500000</v>
      </c>
      <c r="AB46" s="174">
        <v>807</v>
      </c>
      <c r="AC46" s="175">
        <v>29500000</v>
      </c>
      <c r="AD46" s="175">
        <v>0</v>
      </c>
      <c r="AE46" s="175">
        <v>0</v>
      </c>
      <c r="AF46" s="175">
        <v>0</v>
      </c>
      <c r="AG46" s="175">
        <v>0</v>
      </c>
      <c r="AH46" s="175">
        <v>0</v>
      </c>
      <c r="AI46" s="175">
        <v>0</v>
      </c>
      <c r="AJ46" s="175">
        <v>0</v>
      </c>
      <c r="AK46" s="175">
        <v>0</v>
      </c>
      <c r="AL46" s="175">
        <v>0</v>
      </c>
      <c r="AM46" s="175">
        <v>0</v>
      </c>
      <c r="AN46" s="175">
        <v>0</v>
      </c>
      <c r="AO46" s="175">
        <v>0</v>
      </c>
      <c r="AP46" s="175">
        <f t="shared" si="17"/>
        <v>0</v>
      </c>
      <c r="AQ46" s="175">
        <f t="shared" si="18"/>
        <v>29500000</v>
      </c>
      <c r="AR46" s="176">
        <f t="shared" si="19"/>
        <v>0</v>
      </c>
      <c r="AS46" s="176"/>
      <c r="AT46" s="174">
        <v>91</v>
      </c>
      <c r="AU46" s="174">
        <v>98</v>
      </c>
      <c r="AV46" s="175">
        <v>29500000</v>
      </c>
      <c r="AW46" s="174">
        <v>0</v>
      </c>
      <c r="AX46" s="174">
        <v>0</v>
      </c>
      <c r="AY46" s="174">
        <v>0</v>
      </c>
      <c r="AZ46" s="174">
        <v>1100000</v>
      </c>
      <c r="BA46" s="174">
        <v>5900000</v>
      </c>
      <c r="BB46" s="174">
        <v>11800000</v>
      </c>
      <c r="BC46" s="174">
        <v>0</v>
      </c>
      <c r="BD46" s="174">
        <v>5900000</v>
      </c>
      <c r="BE46" s="174">
        <v>0</v>
      </c>
      <c r="BF46" s="174">
        <v>0</v>
      </c>
      <c r="BG46" s="174">
        <v>0</v>
      </c>
      <c r="BH46" s="174">
        <v>4800000</v>
      </c>
      <c r="BI46" s="175">
        <f t="shared" si="15"/>
        <v>29500000</v>
      </c>
      <c r="BJ46" s="175">
        <f t="shared" si="16"/>
        <v>0</v>
      </c>
      <c r="BK46" s="176">
        <f t="shared" si="20"/>
        <v>1</v>
      </c>
      <c r="BL46" s="170"/>
      <c r="BM46" s="170"/>
      <c r="BN46" s="170"/>
      <c r="BO46" s="170"/>
      <c r="BP46" s="170"/>
      <c r="BQ46" s="170"/>
      <c r="BR46" s="170"/>
      <c r="BS46" s="172"/>
      <c r="BT46" s="172"/>
      <c r="BU46" s="172"/>
      <c r="BV46" s="172"/>
      <c r="BW46" s="172"/>
      <c r="BX46" s="172"/>
      <c r="BY46" s="172"/>
      <c r="BZ46" s="172"/>
      <c r="CA46" s="172">
        <f t="shared" si="5"/>
        <v>0</v>
      </c>
      <c r="CB46" s="172">
        <f t="shared" si="6"/>
        <v>0</v>
      </c>
      <c r="CC46" s="494" t="e">
        <f t="shared" si="7"/>
        <v>#DIV/0!</v>
      </c>
      <c r="CD46" s="192"/>
      <c r="CE46" s="192"/>
      <c r="CF46" s="172"/>
      <c r="CG46" s="172"/>
      <c r="CH46" s="172"/>
      <c r="CI46" s="172"/>
      <c r="CJ46" s="172"/>
      <c r="CK46" s="172"/>
      <c r="CL46" s="172"/>
      <c r="CM46" s="172"/>
      <c r="CN46" s="172"/>
      <c r="CO46" s="172"/>
      <c r="CP46" s="172"/>
      <c r="CQ46" s="172"/>
      <c r="CR46" s="172"/>
      <c r="CS46" s="172">
        <v>0</v>
      </c>
      <c r="CT46" s="172">
        <v>0</v>
      </c>
      <c r="CU46" s="192" t="e">
        <v>#DIV/0!</v>
      </c>
    </row>
    <row r="47" spans="1:99" s="68" customFormat="1" x14ac:dyDescent="0.25">
      <c r="A47" s="491">
        <v>112</v>
      </c>
      <c r="B47" s="65" t="s">
        <v>102</v>
      </c>
      <c r="C47" s="491">
        <v>1157</v>
      </c>
      <c r="D47" s="65" t="s">
        <v>104</v>
      </c>
      <c r="E47" s="491">
        <v>1</v>
      </c>
      <c r="F47" s="585"/>
      <c r="G47" s="585"/>
      <c r="H47" s="585"/>
      <c r="I47" s="585"/>
      <c r="J47" s="587"/>
      <c r="K47" s="587"/>
      <c r="L47" s="166" t="s">
        <v>431</v>
      </c>
      <c r="M47" s="166" t="s">
        <v>48</v>
      </c>
      <c r="N47" s="179" t="s">
        <v>391</v>
      </c>
      <c r="O47" s="166" t="s">
        <v>320</v>
      </c>
      <c r="P47" s="180">
        <v>41586</v>
      </c>
      <c r="Q47" s="180">
        <v>41677</v>
      </c>
      <c r="R47" s="166" t="s">
        <v>337</v>
      </c>
      <c r="S47" s="186">
        <v>110</v>
      </c>
      <c r="T47" s="166" t="s">
        <v>418</v>
      </c>
      <c r="U47" s="166" t="s">
        <v>432</v>
      </c>
      <c r="V47" s="166">
        <v>74371098</v>
      </c>
      <c r="W47" s="173"/>
      <c r="X47" s="173"/>
      <c r="Y47" s="166"/>
      <c r="Z47" s="174">
        <v>817</v>
      </c>
      <c r="AA47" s="175">
        <v>6000000</v>
      </c>
      <c r="AB47" s="174">
        <v>789</v>
      </c>
      <c r="AC47" s="175">
        <v>6000000</v>
      </c>
      <c r="AD47" s="175">
        <v>0</v>
      </c>
      <c r="AE47" s="175">
        <v>0</v>
      </c>
      <c r="AF47" s="175">
        <v>0</v>
      </c>
      <c r="AG47" s="175">
        <v>0</v>
      </c>
      <c r="AH47" s="175">
        <v>0</v>
      </c>
      <c r="AI47" s="175">
        <v>0</v>
      </c>
      <c r="AJ47" s="175">
        <v>0</v>
      </c>
      <c r="AK47" s="175">
        <v>0</v>
      </c>
      <c r="AL47" s="175">
        <v>0</v>
      </c>
      <c r="AM47" s="175">
        <v>0</v>
      </c>
      <c r="AN47" s="175">
        <v>0</v>
      </c>
      <c r="AO47" s="175">
        <v>0</v>
      </c>
      <c r="AP47" s="175">
        <f t="shared" si="17"/>
        <v>0</v>
      </c>
      <c r="AQ47" s="175">
        <f t="shared" si="18"/>
        <v>6000000</v>
      </c>
      <c r="AR47" s="176">
        <f t="shared" si="19"/>
        <v>0</v>
      </c>
      <c r="AS47" s="176"/>
      <c r="AT47" s="174">
        <v>89</v>
      </c>
      <c r="AU47" s="174">
        <v>96</v>
      </c>
      <c r="AV47" s="175">
        <v>6000000</v>
      </c>
      <c r="AW47" s="174">
        <v>0</v>
      </c>
      <c r="AX47" s="174">
        <v>0</v>
      </c>
      <c r="AY47" s="174">
        <v>0</v>
      </c>
      <c r="AZ47" s="174">
        <v>0</v>
      </c>
      <c r="BA47" s="174">
        <v>0</v>
      </c>
      <c r="BB47" s="174">
        <v>0</v>
      </c>
      <c r="BC47" s="174">
        <v>0</v>
      </c>
      <c r="BD47" s="174">
        <v>0</v>
      </c>
      <c r="BE47" s="174">
        <v>4000000</v>
      </c>
      <c r="BF47" s="174">
        <v>0</v>
      </c>
      <c r="BG47" s="174">
        <v>0</v>
      </c>
      <c r="BH47" s="174">
        <v>2000000</v>
      </c>
      <c r="BI47" s="175">
        <f t="shared" si="15"/>
        <v>6000000</v>
      </c>
      <c r="BJ47" s="175">
        <f t="shared" si="16"/>
        <v>0</v>
      </c>
      <c r="BK47" s="176">
        <f t="shared" si="20"/>
        <v>1</v>
      </c>
      <c r="BL47" s="170"/>
      <c r="BM47" s="170"/>
      <c r="BN47" s="170"/>
      <c r="BO47" s="170"/>
      <c r="BP47" s="170"/>
      <c r="BQ47" s="170"/>
      <c r="BR47" s="170"/>
      <c r="BS47" s="172"/>
      <c r="BT47" s="172"/>
      <c r="BU47" s="172"/>
      <c r="BV47" s="172"/>
      <c r="BW47" s="172"/>
      <c r="BX47" s="172"/>
      <c r="BY47" s="172"/>
      <c r="BZ47" s="172"/>
      <c r="CA47" s="172">
        <f t="shared" si="5"/>
        <v>0</v>
      </c>
      <c r="CB47" s="172">
        <f t="shared" si="6"/>
        <v>0</v>
      </c>
      <c r="CC47" s="494" t="e">
        <f t="shared" si="7"/>
        <v>#DIV/0!</v>
      </c>
      <c r="CD47" s="192"/>
      <c r="CE47" s="192"/>
      <c r="CF47" s="172"/>
      <c r="CG47" s="172"/>
      <c r="CH47" s="172"/>
      <c r="CI47" s="172"/>
      <c r="CJ47" s="172"/>
      <c r="CK47" s="172"/>
      <c r="CL47" s="172"/>
      <c r="CM47" s="172"/>
      <c r="CN47" s="172"/>
      <c r="CO47" s="172"/>
      <c r="CP47" s="172"/>
      <c r="CQ47" s="172"/>
      <c r="CR47" s="172"/>
      <c r="CS47" s="172">
        <v>0</v>
      </c>
      <c r="CT47" s="172">
        <v>0</v>
      </c>
      <c r="CU47" s="192" t="e">
        <v>#DIV/0!</v>
      </c>
    </row>
    <row r="48" spans="1:99" s="68" customFormat="1" x14ac:dyDescent="0.25">
      <c r="A48" s="491">
        <v>112</v>
      </c>
      <c r="B48" s="65" t="s">
        <v>102</v>
      </c>
      <c r="C48" s="491">
        <v>1157</v>
      </c>
      <c r="D48" s="65" t="s">
        <v>104</v>
      </c>
      <c r="E48" s="491">
        <v>1</v>
      </c>
      <c r="F48" s="585"/>
      <c r="G48" s="585"/>
      <c r="H48" s="585"/>
      <c r="I48" s="585"/>
      <c r="J48" s="587"/>
      <c r="K48" s="587"/>
      <c r="L48" s="166" t="s">
        <v>433</v>
      </c>
      <c r="M48" s="166" t="s">
        <v>48</v>
      </c>
      <c r="N48" s="179" t="s">
        <v>1919</v>
      </c>
      <c r="O48" s="166" t="s">
        <v>400</v>
      </c>
      <c r="P48" s="173"/>
      <c r="Q48" s="173"/>
      <c r="R48" s="173"/>
      <c r="S48" s="186">
        <v>517</v>
      </c>
      <c r="T48" s="173"/>
      <c r="U48" s="166" t="s">
        <v>419</v>
      </c>
      <c r="V48" s="166" t="s">
        <v>420</v>
      </c>
      <c r="W48" s="173"/>
      <c r="X48" s="173"/>
      <c r="Y48" s="166"/>
      <c r="Z48" s="174">
        <v>793</v>
      </c>
      <c r="AA48" s="175"/>
      <c r="AB48" s="174">
        <v>770</v>
      </c>
      <c r="AC48" s="175">
        <v>648000000</v>
      </c>
      <c r="AD48" s="175">
        <v>0</v>
      </c>
      <c r="AE48" s="175">
        <v>0</v>
      </c>
      <c r="AF48" s="175">
        <v>0</v>
      </c>
      <c r="AG48" s="175">
        <v>0</v>
      </c>
      <c r="AH48" s="175">
        <v>0</v>
      </c>
      <c r="AI48" s="175">
        <v>0</v>
      </c>
      <c r="AJ48" s="175">
        <v>0</v>
      </c>
      <c r="AK48" s="175">
        <v>0</v>
      </c>
      <c r="AL48" s="175">
        <v>0</v>
      </c>
      <c r="AM48" s="175">
        <v>0</v>
      </c>
      <c r="AN48" s="175">
        <v>0</v>
      </c>
      <c r="AO48" s="175">
        <v>0</v>
      </c>
      <c r="AP48" s="175">
        <f t="shared" si="17"/>
        <v>0</v>
      </c>
      <c r="AQ48" s="175">
        <f t="shared" si="18"/>
        <v>648000000</v>
      </c>
      <c r="AR48" s="176">
        <f t="shared" si="19"/>
        <v>0</v>
      </c>
      <c r="AS48" s="176"/>
      <c r="AT48" s="174">
        <v>6</v>
      </c>
      <c r="AU48" s="174">
        <v>3</v>
      </c>
      <c r="AV48" s="175">
        <v>648000000</v>
      </c>
      <c r="AW48" s="174">
        <v>108000000</v>
      </c>
      <c r="AX48" s="174">
        <v>107760000</v>
      </c>
      <c r="AY48" s="174">
        <v>107760000</v>
      </c>
      <c r="AZ48" s="174">
        <v>107880000</v>
      </c>
      <c r="BA48" s="174">
        <v>108000000</v>
      </c>
      <c r="BB48" s="174">
        <v>107760000</v>
      </c>
      <c r="BC48" s="174">
        <v>840000</v>
      </c>
      <c r="BD48" s="174">
        <v>0</v>
      </c>
      <c r="BE48" s="174">
        <v>0</v>
      </c>
      <c r="BF48" s="174">
        <v>0</v>
      </c>
      <c r="BG48" s="174">
        <v>0</v>
      </c>
      <c r="BH48" s="174">
        <v>0</v>
      </c>
      <c r="BI48" s="175">
        <f t="shared" si="15"/>
        <v>648000000</v>
      </c>
      <c r="BJ48" s="175">
        <f t="shared" si="16"/>
        <v>0</v>
      </c>
      <c r="BK48" s="176">
        <f t="shared" si="20"/>
        <v>1</v>
      </c>
      <c r="BL48" s="170"/>
      <c r="BM48" s="170"/>
      <c r="BN48" s="170"/>
      <c r="BO48" s="170"/>
      <c r="BP48" s="170"/>
      <c r="BQ48" s="170"/>
      <c r="BR48" s="170"/>
      <c r="BS48" s="172"/>
      <c r="BT48" s="172"/>
      <c r="BU48" s="172"/>
      <c r="BV48" s="172"/>
      <c r="BW48" s="172"/>
      <c r="BX48" s="172"/>
      <c r="BY48" s="172"/>
      <c r="BZ48" s="172"/>
      <c r="CA48" s="172">
        <f t="shared" si="5"/>
        <v>0</v>
      </c>
      <c r="CB48" s="172">
        <f t="shared" si="6"/>
        <v>0</v>
      </c>
      <c r="CC48" s="494" t="e">
        <f t="shared" si="7"/>
        <v>#DIV/0!</v>
      </c>
      <c r="CD48" s="192"/>
      <c r="CE48" s="192"/>
      <c r="CF48" s="172"/>
      <c r="CG48" s="172"/>
      <c r="CH48" s="172"/>
      <c r="CI48" s="172"/>
      <c r="CJ48" s="172"/>
      <c r="CK48" s="172"/>
      <c r="CL48" s="172"/>
      <c r="CM48" s="172"/>
      <c r="CN48" s="172"/>
      <c r="CO48" s="172"/>
      <c r="CP48" s="172"/>
      <c r="CQ48" s="172"/>
      <c r="CR48" s="172"/>
      <c r="CS48" s="172">
        <v>0</v>
      </c>
      <c r="CT48" s="172">
        <v>0</v>
      </c>
      <c r="CU48" s="192" t="e">
        <v>#DIV/0!</v>
      </c>
    </row>
    <row r="49" spans="1:99" s="68" customFormat="1" x14ac:dyDescent="0.25">
      <c r="A49" s="491">
        <v>112</v>
      </c>
      <c r="B49" s="65" t="s">
        <v>102</v>
      </c>
      <c r="C49" s="491">
        <v>1157</v>
      </c>
      <c r="D49" s="65" t="s">
        <v>104</v>
      </c>
      <c r="E49" s="491">
        <v>1</v>
      </c>
      <c r="F49" s="585"/>
      <c r="G49" s="585"/>
      <c r="H49" s="585"/>
      <c r="I49" s="585"/>
      <c r="J49" s="587"/>
      <c r="K49" s="587"/>
      <c r="L49" s="166" t="s">
        <v>434</v>
      </c>
      <c r="M49" s="166" t="s">
        <v>48</v>
      </c>
      <c r="N49" s="179" t="s">
        <v>1920</v>
      </c>
      <c r="O49" s="166" t="s">
        <v>400</v>
      </c>
      <c r="P49" s="173"/>
      <c r="Q49" s="173"/>
      <c r="R49" s="173"/>
      <c r="S49" s="186">
        <v>517</v>
      </c>
      <c r="T49" s="173"/>
      <c r="U49" s="166" t="s">
        <v>419</v>
      </c>
      <c r="V49" s="166" t="s">
        <v>420</v>
      </c>
      <c r="W49" s="173"/>
      <c r="X49" s="173"/>
      <c r="Y49" s="166"/>
      <c r="Z49" s="174">
        <v>794</v>
      </c>
      <c r="AA49" s="175"/>
      <c r="AB49" s="174">
        <v>771</v>
      </c>
      <c r="AC49" s="175">
        <v>20000000</v>
      </c>
      <c r="AD49" s="175">
        <v>0</v>
      </c>
      <c r="AE49" s="175">
        <v>0</v>
      </c>
      <c r="AF49" s="175">
        <v>0</v>
      </c>
      <c r="AG49" s="175">
        <v>0</v>
      </c>
      <c r="AH49" s="175">
        <v>0</v>
      </c>
      <c r="AI49" s="175">
        <v>0</v>
      </c>
      <c r="AJ49" s="175">
        <v>0</v>
      </c>
      <c r="AK49" s="175">
        <v>0</v>
      </c>
      <c r="AL49" s="175">
        <v>0</v>
      </c>
      <c r="AM49" s="175">
        <v>0</v>
      </c>
      <c r="AN49" s="175">
        <v>0</v>
      </c>
      <c r="AO49" s="175">
        <v>0</v>
      </c>
      <c r="AP49" s="175">
        <f t="shared" si="17"/>
        <v>0</v>
      </c>
      <c r="AQ49" s="175">
        <f t="shared" si="18"/>
        <v>20000000</v>
      </c>
      <c r="AR49" s="176">
        <f t="shared" si="19"/>
        <v>0</v>
      </c>
      <c r="AS49" s="176"/>
      <c r="AT49" s="174">
        <v>87</v>
      </c>
      <c r="AU49" s="174">
        <v>94</v>
      </c>
      <c r="AV49" s="175">
        <v>20000000</v>
      </c>
      <c r="AW49" s="174">
        <v>0</v>
      </c>
      <c r="AX49" s="174">
        <v>0</v>
      </c>
      <c r="AY49" s="174">
        <v>0</v>
      </c>
      <c r="AZ49" s="174">
        <v>0</v>
      </c>
      <c r="BA49" s="174">
        <v>1204878</v>
      </c>
      <c r="BB49" s="174">
        <v>1212078</v>
      </c>
      <c r="BC49" s="174">
        <v>0</v>
      </c>
      <c r="BD49" s="174">
        <v>2460491</v>
      </c>
      <c r="BE49" s="174">
        <v>0</v>
      </c>
      <c r="BF49" s="174">
        <v>1218264</v>
      </c>
      <c r="BG49" s="174">
        <v>2446917</v>
      </c>
      <c r="BH49" s="174">
        <v>2324546</v>
      </c>
      <c r="BI49" s="175">
        <f t="shared" si="15"/>
        <v>10867174</v>
      </c>
      <c r="BJ49" s="175">
        <f t="shared" si="16"/>
        <v>9132826</v>
      </c>
      <c r="BK49" s="176">
        <f t="shared" si="20"/>
        <v>0.54335869999999997</v>
      </c>
      <c r="BL49" s="170">
        <v>27</v>
      </c>
      <c r="BM49" s="170">
        <v>20</v>
      </c>
      <c r="BN49" s="170">
        <v>9132826</v>
      </c>
      <c r="BO49" s="170">
        <v>0</v>
      </c>
      <c r="BP49" s="170">
        <v>0</v>
      </c>
      <c r="BQ49" s="170">
        <v>1239482</v>
      </c>
      <c r="BR49" s="170">
        <v>0</v>
      </c>
      <c r="BS49" s="172">
        <v>0</v>
      </c>
      <c r="BT49" s="172">
        <v>0</v>
      </c>
      <c r="BU49" s="172">
        <v>0</v>
      </c>
      <c r="BV49" s="172">
        <v>0</v>
      </c>
      <c r="BW49" s="172">
        <v>0</v>
      </c>
      <c r="BX49" s="172">
        <v>0</v>
      </c>
      <c r="BY49" s="172">
        <v>0</v>
      </c>
      <c r="BZ49" s="172">
        <v>0</v>
      </c>
      <c r="CA49" s="172">
        <f t="shared" si="5"/>
        <v>1239482</v>
      </c>
      <c r="CB49" s="172">
        <f t="shared" si="6"/>
        <v>7893344</v>
      </c>
      <c r="CC49" s="494">
        <f t="shared" si="7"/>
        <v>0.13571724677553257</v>
      </c>
      <c r="CD49" s="192"/>
      <c r="CE49" s="192"/>
      <c r="CF49" s="551"/>
      <c r="CG49" s="172"/>
      <c r="CH49" s="172"/>
      <c r="CI49" s="172"/>
      <c r="CJ49" s="172"/>
      <c r="CK49" s="172"/>
      <c r="CL49" s="172"/>
      <c r="CM49" s="172"/>
      <c r="CN49" s="172"/>
      <c r="CO49" s="172"/>
      <c r="CP49" s="172"/>
      <c r="CQ49" s="172"/>
      <c r="CR49" s="172"/>
      <c r="CS49" s="172">
        <v>0</v>
      </c>
      <c r="CT49" s="172">
        <v>0</v>
      </c>
      <c r="CU49" s="192" t="e">
        <v>#DIV/0!</v>
      </c>
    </row>
    <row r="50" spans="1:99" s="68" customFormat="1" x14ac:dyDescent="0.25">
      <c r="A50" s="491">
        <v>112</v>
      </c>
      <c r="B50" s="65" t="s">
        <v>102</v>
      </c>
      <c r="C50" s="491">
        <v>1157</v>
      </c>
      <c r="D50" s="65" t="s">
        <v>104</v>
      </c>
      <c r="E50" s="491">
        <v>1</v>
      </c>
      <c r="F50" s="585"/>
      <c r="G50" s="585"/>
      <c r="H50" s="585"/>
      <c r="I50" s="585"/>
      <c r="J50" s="587"/>
      <c r="K50" s="587"/>
      <c r="L50" s="166" t="s">
        <v>435</v>
      </c>
      <c r="M50" s="166" t="s">
        <v>48</v>
      </c>
      <c r="N50" s="179" t="s">
        <v>1921</v>
      </c>
      <c r="O50" s="166" t="s">
        <v>400</v>
      </c>
      <c r="P50" s="180">
        <v>41351</v>
      </c>
      <c r="Q50" s="173"/>
      <c r="R50" s="173"/>
      <c r="S50" s="186">
        <v>492</v>
      </c>
      <c r="T50" s="173"/>
      <c r="U50" s="166" t="s">
        <v>419</v>
      </c>
      <c r="V50" s="166" t="s">
        <v>420</v>
      </c>
      <c r="W50" s="173"/>
      <c r="X50" s="173"/>
      <c r="Y50" s="166"/>
      <c r="Z50" s="174">
        <v>776</v>
      </c>
      <c r="AA50" s="175"/>
      <c r="AB50" s="174">
        <v>759</v>
      </c>
      <c r="AC50" s="175">
        <v>85500000</v>
      </c>
      <c r="AD50" s="175">
        <v>0</v>
      </c>
      <c r="AE50" s="175">
        <v>0</v>
      </c>
      <c r="AF50" s="175">
        <v>0</v>
      </c>
      <c r="AG50" s="175">
        <v>0</v>
      </c>
      <c r="AH50" s="175">
        <v>0</v>
      </c>
      <c r="AI50" s="175">
        <v>0</v>
      </c>
      <c r="AJ50" s="175">
        <v>0</v>
      </c>
      <c r="AK50" s="175">
        <v>0</v>
      </c>
      <c r="AL50" s="175">
        <v>0</v>
      </c>
      <c r="AM50" s="175">
        <v>0</v>
      </c>
      <c r="AN50" s="175">
        <v>0</v>
      </c>
      <c r="AO50" s="175">
        <v>74670000</v>
      </c>
      <c r="AP50" s="175">
        <f t="shared" si="17"/>
        <v>74670000</v>
      </c>
      <c r="AQ50" s="175">
        <f t="shared" si="18"/>
        <v>10830000</v>
      </c>
      <c r="AR50" s="176">
        <f t="shared" si="19"/>
        <v>0.87333333333333329</v>
      </c>
      <c r="AS50" s="176"/>
      <c r="AT50" s="174">
        <v>86</v>
      </c>
      <c r="AU50" s="174">
        <v>93</v>
      </c>
      <c r="AV50" s="175">
        <v>10830000</v>
      </c>
      <c r="AW50" s="174">
        <v>0</v>
      </c>
      <c r="AX50" s="174">
        <v>0</v>
      </c>
      <c r="AY50" s="174">
        <v>0</v>
      </c>
      <c r="AZ50" s="174">
        <v>0</v>
      </c>
      <c r="BA50" s="174">
        <v>0</v>
      </c>
      <c r="BB50" s="174">
        <v>0</v>
      </c>
      <c r="BC50" s="174">
        <v>0</v>
      </c>
      <c r="BD50" s="174">
        <v>0</v>
      </c>
      <c r="BE50" s="174">
        <v>0</v>
      </c>
      <c r="BF50" s="174">
        <v>0</v>
      </c>
      <c r="BG50" s="174">
        <v>0</v>
      </c>
      <c r="BH50" s="174">
        <v>0</v>
      </c>
      <c r="BI50" s="175">
        <f t="shared" si="15"/>
        <v>0</v>
      </c>
      <c r="BJ50" s="175">
        <f t="shared" si="16"/>
        <v>10830000</v>
      </c>
      <c r="BK50" s="176">
        <f t="shared" si="20"/>
        <v>0</v>
      </c>
      <c r="BL50" s="170">
        <v>26</v>
      </c>
      <c r="BM50" s="170">
        <v>19</v>
      </c>
      <c r="BN50" s="170">
        <v>10830000</v>
      </c>
      <c r="BO50" s="170">
        <v>0</v>
      </c>
      <c r="BP50" s="170">
        <v>0</v>
      </c>
      <c r="BQ50" s="170">
        <v>0</v>
      </c>
      <c r="BR50" s="170">
        <v>0</v>
      </c>
      <c r="BS50" s="172"/>
      <c r="BT50" s="172"/>
      <c r="BU50" s="172"/>
      <c r="BV50" s="172"/>
      <c r="BW50" s="172"/>
      <c r="BX50" s="172"/>
      <c r="BY50" s="172"/>
      <c r="BZ50" s="172"/>
      <c r="CA50" s="172">
        <f t="shared" si="5"/>
        <v>0</v>
      </c>
      <c r="CB50" s="172">
        <f t="shared" si="6"/>
        <v>10830000</v>
      </c>
      <c r="CC50" s="494">
        <f t="shared" si="7"/>
        <v>0</v>
      </c>
      <c r="CD50" s="192"/>
      <c r="CE50" s="192"/>
      <c r="CF50" s="172"/>
      <c r="CG50" s="172"/>
      <c r="CH50" s="172"/>
      <c r="CI50" s="172"/>
      <c r="CJ50" s="172"/>
      <c r="CK50" s="172"/>
      <c r="CL50" s="172"/>
      <c r="CM50" s="172"/>
      <c r="CN50" s="172"/>
      <c r="CO50" s="172"/>
      <c r="CP50" s="172"/>
      <c r="CQ50" s="172"/>
      <c r="CR50" s="172"/>
      <c r="CS50" s="172">
        <v>0</v>
      </c>
      <c r="CT50" s="172">
        <v>0</v>
      </c>
      <c r="CU50" s="192" t="e">
        <v>#DIV/0!</v>
      </c>
    </row>
    <row r="51" spans="1:99" s="68" customFormat="1" x14ac:dyDescent="0.25">
      <c r="A51" s="491">
        <v>112</v>
      </c>
      <c r="B51" s="65" t="s">
        <v>102</v>
      </c>
      <c r="C51" s="491">
        <v>1157</v>
      </c>
      <c r="D51" s="65" t="s">
        <v>104</v>
      </c>
      <c r="E51" s="491">
        <v>1</v>
      </c>
      <c r="F51" s="585"/>
      <c r="G51" s="585"/>
      <c r="H51" s="585"/>
      <c r="I51" s="585"/>
      <c r="J51" s="587"/>
      <c r="K51" s="587"/>
      <c r="L51" s="166" t="s">
        <v>422</v>
      </c>
      <c r="M51" s="166" t="s">
        <v>48</v>
      </c>
      <c r="N51" s="166" t="s">
        <v>329</v>
      </c>
      <c r="O51" s="166" t="s">
        <v>356</v>
      </c>
      <c r="P51" s="180">
        <v>41351</v>
      </c>
      <c r="Q51" s="180">
        <v>41366</v>
      </c>
      <c r="R51" s="166">
        <v>11</v>
      </c>
      <c r="S51" s="186">
        <v>10</v>
      </c>
      <c r="T51" s="166" t="s">
        <v>418</v>
      </c>
      <c r="U51" s="166" t="s">
        <v>424</v>
      </c>
      <c r="V51" s="166" t="s">
        <v>425</v>
      </c>
      <c r="W51" s="166">
        <v>900</v>
      </c>
      <c r="X51" s="166" t="s">
        <v>315</v>
      </c>
      <c r="Y51" s="166"/>
      <c r="Z51" s="174">
        <v>9</v>
      </c>
      <c r="AA51" s="175">
        <v>1100000</v>
      </c>
      <c r="AB51" s="174">
        <v>755</v>
      </c>
      <c r="AC51" s="175">
        <v>1100000</v>
      </c>
      <c r="AD51" s="175">
        <v>0</v>
      </c>
      <c r="AE51" s="175">
        <v>0</v>
      </c>
      <c r="AF51" s="175">
        <v>0</v>
      </c>
      <c r="AG51" s="175">
        <v>0</v>
      </c>
      <c r="AH51" s="175">
        <v>0</v>
      </c>
      <c r="AI51" s="175">
        <v>0</v>
      </c>
      <c r="AJ51" s="175">
        <v>0</v>
      </c>
      <c r="AK51" s="175">
        <v>0</v>
      </c>
      <c r="AL51" s="175">
        <v>0</v>
      </c>
      <c r="AM51" s="175">
        <v>0</v>
      </c>
      <c r="AN51" s="175">
        <v>0</v>
      </c>
      <c r="AO51" s="175">
        <v>0</v>
      </c>
      <c r="AP51" s="175">
        <f t="shared" si="17"/>
        <v>0</v>
      </c>
      <c r="AQ51" s="175">
        <f t="shared" si="18"/>
        <v>1100000</v>
      </c>
      <c r="AR51" s="176">
        <f t="shared" si="19"/>
        <v>0</v>
      </c>
      <c r="AS51" s="176"/>
      <c r="AT51" s="174">
        <v>85</v>
      </c>
      <c r="AU51" s="174">
        <v>92</v>
      </c>
      <c r="AV51" s="175">
        <v>1100000</v>
      </c>
      <c r="AW51" s="174">
        <v>0</v>
      </c>
      <c r="AX51" s="174">
        <v>0</v>
      </c>
      <c r="AY51" s="174">
        <v>0</v>
      </c>
      <c r="AZ51" s="174">
        <v>1100000</v>
      </c>
      <c r="BA51" s="174">
        <v>0</v>
      </c>
      <c r="BB51" s="174">
        <v>0</v>
      </c>
      <c r="BC51" s="174">
        <v>0</v>
      </c>
      <c r="BD51" s="174">
        <v>0</v>
      </c>
      <c r="BE51" s="174">
        <v>0</v>
      </c>
      <c r="BF51" s="174">
        <v>0</v>
      </c>
      <c r="BG51" s="174">
        <v>0</v>
      </c>
      <c r="BH51" s="174">
        <v>0</v>
      </c>
      <c r="BI51" s="175">
        <f t="shared" si="15"/>
        <v>1100000</v>
      </c>
      <c r="BJ51" s="175">
        <f t="shared" si="16"/>
        <v>0</v>
      </c>
      <c r="BK51" s="176">
        <f t="shared" si="20"/>
        <v>1</v>
      </c>
      <c r="BL51" s="170"/>
      <c r="BM51" s="170"/>
      <c r="BN51" s="170"/>
      <c r="BO51" s="170"/>
      <c r="BP51" s="170"/>
      <c r="BQ51" s="170"/>
      <c r="BR51" s="170"/>
      <c r="BS51" s="172"/>
      <c r="BT51" s="172"/>
      <c r="BU51" s="172"/>
      <c r="BV51" s="172"/>
      <c r="BW51" s="172"/>
      <c r="BX51" s="172"/>
      <c r="BY51" s="172"/>
      <c r="BZ51" s="172"/>
      <c r="CA51" s="172">
        <f t="shared" si="5"/>
        <v>0</v>
      </c>
      <c r="CB51" s="172">
        <f t="shared" si="6"/>
        <v>0</v>
      </c>
      <c r="CC51" s="494" t="e">
        <f t="shared" si="7"/>
        <v>#DIV/0!</v>
      </c>
      <c r="CD51" s="192"/>
      <c r="CE51" s="192"/>
      <c r="CF51" s="172"/>
      <c r="CG51" s="172"/>
      <c r="CH51" s="172"/>
      <c r="CI51" s="172"/>
      <c r="CJ51" s="172"/>
      <c r="CK51" s="172"/>
      <c r="CL51" s="172"/>
      <c r="CM51" s="172"/>
      <c r="CN51" s="172"/>
      <c r="CO51" s="172"/>
      <c r="CP51" s="172"/>
      <c r="CQ51" s="172"/>
      <c r="CR51" s="172"/>
      <c r="CS51" s="172">
        <v>0</v>
      </c>
      <c r="CT51" s="172">
        <v>0</v>
      </c>
      <c r="CU51" s="192" t="e">
        <v>#DIV/0!</v>
      </c>
    </row>
    <row r="52" spans="1:99" s="68" customFormat="1" ht="13.5" customHeight="1" x14ac:dyDescent="0.25">
      <c r="A52" s="491">
        <v>113</v>
      </c>
      <c r="B52" s="65" t="s">
        <v>110</v>
      </c>
      <c r="C52" s="491">
        <v>1157</v>
      </c>
      <c r="D52" s="65" t="s">
        <v>104</v>
      </c>
      <c r="E52" s="491">
        <v>2</v>
      </c>
      <c r="F52" s="584" t="s">
        <v>53</v>
      </c>
      <c r="G52" s="584">
        <v>220</v>
      </c>
      <c r="H52" s="584" t="s">
        <v>61</v>
      </c>
      <c r="I52" s="584" t="s">
        <v>111</v>
      </c>
      <c r="J52" s="586"/>
      <c r="K52" s="586"/>
      <c r="L52" s="166" t="s">
        <v>436</v>
      </c>
      <c r="M52" s="166" t="s">
        <v>48</v>
      </c>
      <c r="N52" s="166" t="s">
        <v>329</v>
      </c>
      <c r="O52" s="166" t="s">
        <v>320</v>
      </c>
      <c r="P52" s="180">
        <v>41495</v>
      </c>
      <c r="Q52" s="180">
        <v>41499</v>
      </c>
      <c r="R52" s="166" t="s">
        <v>395</v>
      </c>
      <c r="S52" s="166" t="s">
        <v>437</v>
      </c>
      <c r="T52" s="166" t="s">
        <v>438</v>
      </c>
      <c r="U52" s="166" t="s">
        <v>439</v>
      </c>
      <c r="V52" s="182">
        <v>1010162926</v>
      </c>
      <c r="W52" s="166">
        <v>900</v>
      </c>
      <c r="X52" s="166" t="s">
        <v>315</v>
      </c>
      <c r="Y52" s="166"/>
      <c r="Z52" s="174">
        <v>645</v>
      </c>
      <c r="AA52" s="175">
        <v>2100000</v>
      </c>
      <c r="AB52" s="174">
        <v>627</v>
      </c>
      <c r="AC52" s="175">
        <v>2100000</v>
      </c>
      <c r="AD52" s="175">
        <v>0</v>
      </c>
      <c r="AE52" s="175">
        <v>0</v>
      </c>
      <c r="AF52" s="175">
        <v>0</v>
      </c>
      <c r="AG52" s="175">
        <v>0</v>
      </c>
      <c r="AH52" s="175">
        <v>0</v>
      </c>
      <c r="AI52" s="175">
        <v>0</v>
      </c>
      <c r="AJ52" s="175">
        <v>0</v>
      </c>
      <c r="AK52" s="175">
        <v>0</v>
      </c>
      <c r="AL52" s="175">
        <v>0</v>
      </c>
      <c r="AM52" s="175">
        <v>0</v>
      </c>
      <c r="AN52" s="175">
        <v>0</v>
      </c>
      <c r="AO52" s="175">
        <v>0</v>
      </c>
      <c r="AP52" s="175">
        <f t="shared" si="17"/>
        <v>0</v>
      </c>
      <c r="AQ52" s="175">
        <f t="shared" si="18"/>
        <v>2100000</v>
      </c>
      <c r="AR52" s="176">
        <f t="shared" si="19"/>
        <v>0</v>
      </c>
      <c r="AS52" s="176"/>
      <c r="AT52" s="174">
        <v>79</v>
      </c>
      <c r="AU52" s="174">
        <v>86</v>
      </c>
      <c r="AV52" s="175">
        <v>2100000</v>
      </c>
      <c r="AW52" s="174">
        <v>0</v>
      </c>
      <c r="AX52" s="174">
        <v>0</v>
      </c>
      <c r="AY52" s="174">
        <v>0</v>
      </c>
      <c r="AZ52" s="174">
        <v>2100000</v>
      </c>
      <c r="BA52" s="174">
        <v>0</v>
      </c>
      <c r="BB52" s="174">
        <v>0</v>
      </c>
      <c r="BC52" s="174">
        <v>0</v>
      </c>
      <c r="BD52" s="174">
        <v>0</v>
      </c>
      <c r="BE52" s="174">
        <v>0</v>
      </c>
      <c r="BF52" s="174">
        <v>0</v>
      </c>
      <c r="BG52" s="174">
        <v>0</v>
      </c>
      <c r="BH52" s="174">
        <v>0</v>
      </c>
      <c r="BI52" s="175">
        <f t="shared" si="15"/>
        <v>2100000</v>
      </c>
      <c r="BJ52" s="175">
        <f t="shared" si="16"/>
        <v>0</v>
      </c>
      <c r="BK52" s="176">
        <f t="shared" si="20"/>
        <v>1</v>
      </c>
      <c r="BL52" s="170"/>
      <c r="BM52" s="170"/>
      <c r="BN52" s="170"/>
      <c r="BO52" s="170"/>
      <c r="BP52" s="170"/>
      <c r="BQ52" s="170"/>
      <c r="BR52" s="170"/>
      <c r="BS52" s="172"/>
      <c r="BT52" s="172"/>
      <c r="BU52" s="172"/>
      <c r="BV52" s="172"/>
      <c r="BW52" s="172"/>
      <c r="BX52" s="172"/>
      <c r="BY52" s="172"/>
      <c r="BZ52" s="172"/>
      <c r="CA52" s="172">
        <f t="shared" si="5"/>
        <v>0</v>
      </c>
      <c r="CB52" s="172">
        <f t="shared" si="6"/>
        <v>0</v>
      </c>
      <c r="CC52" s="494" t="e">
        <f t="shared" si="7"/>
        <v>#DIV/0!</v>
      </c>
      <c r="CD52" s="192"/>
      <c r="CE52" s="192"/>
      <c r="CF52" s="172"/>
      <c r="CG52" s="172"/>
      <c r="CH52" s="172"/>
      <c r="CI52" s="172"/>
      <c r="CJ52" s="172"/>
      <c r="CK52" s="172"/>
      <c r="CL52" s="172"/>
      <c r="CM52" s="172"/>
      <c r="CN52" s="172"/>
      <c r="CO52" s="172"/>
      <c r="CP52" s="172"/>
      <c r="CQ52" s="172"/>
      <c r="CR52" s="172"/>
      <c r="CS52" s="172">
        <v>0</v>
      </c>
      <c r="CT52" s="172">
        <v>0</v>
      </c>
      <c r="CU52" s="192" t="e">
        <v>#DIV/0!</v>
      </c>
    </row>
    <row r="53" spans="1:99" s="68" customFormat="1" x14ac:dyDescent="0.25">
      <c r="A53" s="491">
        <v>113</v>
      </c>
      <c r="B53" s="65" t="s">
        <v>110</v>
      </c>
      <c r="C53" s="491">
        <v>1157</v>
      </c>
      <c r="D53" s="65" t="s">
        <v>104</v>
      </c>
      <c r="E53" s="491">
        <v>2</v>
      </c>
      <c r="F53" s="585"/>
      <c r="G53" s="585"/>
      <c r="H53" s="585"/>
      <c r="I53" s="585"/>
      <c r="J53" s="587"/>
      <c r="K53" s="587"/>
      <c r="L53" s="166" t="s">
        <v>440</v>
      </c>
      <c r="M53" s="166" t="s">
        <v>48</v>
      </c>
      <c r="N53" s="166" t="s">
        <v>336</v>
      </c>
      <c r="O53" s="166" t="s">
        <v>400</v>
      </c>
      <c r="P53" s="180">
        <v>41520</v>
      </c>
      <c r="Q53" s="180">
        <v>41521</v>
      </c>
      <c r="R53" s="182" t="s">
        <v>441</v>
      </c>
      <c r="S53" s="166" t="s">
        <v>442</v>
      </c>
      <c r="T53" s="166" t="s">
        <v>443</v>
      </c>
      <c r="U53" s="166" t="s">
        <v>444</v>
      </c>
      <c r="V53" s="182">
        <v>830106121</v>
      </c>
      <c r="W53" s="166">
        <v>200</v>
      </c>
      <c r="X53" s="166" t="s">
        <v>315</v>
      </c>
      <c r="Y53" s="166"/>
      <c r="Z53" s="174">
        <v>682</v>
      </c>
      <c r="AA53" s="175">
        <v>40000000</v>
      </c>
      <c r="AB53" s="174">
        <v>657</v>
      </c>
      <c r="AC53" s="175">
        <v>40000000</v>
      </c>
      <c r="AD53" s="175">
        <v>0</v>
      </c>
      <c r="AE53" s="175">
        <v>0</v>
      </c>
      <c r="AF53" s="175">
        <v>0</v>
      </c>
      <c r="AG53" s="175">
        <v>0</v>
      </c>
      <c r="AH53" s="175">
        <v>0</v>
      </c>
      <c r="AI53" s="175">
        <v>0</v>
      </c>
      <c r="AJ53" s="175">
        <v>0</v>
      </c>
      <c r="AK53" s="175">
        <v>0</v>
      </c>
      <c r="AL53" s="175">
        <v>0</v>
      </c>
      <c r="AM53" s="175">
        <v>0</v>
      </c>
      <c r="AN53" s="175">
        <v>0</v>
      </c>
      <c r="AO53" s="175">
        <v>29542700</v>
      </c>
      <c r="AP53" s="175">
        <f t="shared" si="17"/>
        <v>29542700</v>
      </c>
      <c r="AQ53" s="175">
        <f t="shared" si="18"/>
        <v>10457300</v>
      </c>
      <c r="AR53" s="176">
        <f t="shared" si="19"/>
        <v>0.73856750000000004</v>
      </c>
      <c r="AS53" s="176"/>
      <c r="AT53" s="174">
        <v>80</v>
      </c>
      <c r="AU53" s="174">
        <v>87</v>
      </c>
      <c r="AV53" s="175">
        <v>10457300</v>
      </c>
      <c r="AW53" s="174">
        <v>0</v>
      </c>
      <c r="AX53" s="174">
        <v>10457300</v>
      </c>
      <c r="AY53" s="174">
        <v>0</v>
      </c>
      <c r="AZ53" s="174">
        <v>0</v>
      </c>
      <c r="BA53" s="174">
        <v>0</v>
      </c>
      <c r="BB53" s="174">
        <v>0</v>
      </c>
      <c r="BC53" s="174">
        <v>0</v>
      </c>
      <c r="BD53" s="174">
        <v>0</v>
      </c>
      <c r="BE53" s="174">
        <v>0</v>
      </c>
      <c r="BF53" s="174">
        <v>0</v>
      </c>
      <c r="BG53" s="174">
        <v>0</v>
      </c>
      <c r="BH53" s="174">
        <v>0</v>
      </c>
      <c r="BI53" s="175">
        <f t="shared" si="15"/>
        <v>10457300</v>
      </c>
      <c r="BJ53" s="175">
        <f t="shared" si="16"/>
        <v>0</v>
      </c>
      <c r="BK53" s="176">
        <f t="shared" si="20"/>
        <v>1</v>
      </c>
      <c r="BL53" s="170"/>
      <c r="BM53" s="170"/>
      <c r="BN53" s="170"/>
      <c r="BO53" s="170"/>
      <c r="BP53" s="170"/>
      <c r="BQ53" s="170"/>
      <c r="BR53" s="170"/>
      <c r="BS53" s="172"/>
      <c r="BT53" s="172"/>
      <c r="BU53" s="172"/>
      <c r="BV53" s="172"/>
      <c r="BW53" s="172"/>
      <c r="BX53" s="172"/>
      <c r="BY53" s="172"/>
      <c r="BZ53" s="172"/>
      <c r="CA53" s="172">
        <f t="shared" si="5"/>
        <v>0</v>
      </c>
      <c r="CB53" s="172">
        <f t="shared" si="6"/>
        <v>0</v>
      </c>
      <c r="CC53" s="494" t="e">
        <f t="shared" si="7"/>
        <v>#DIV/0!</v>
      </c>
      <c r="CD53" s="192"/>
      <c r="CE53" s="192"/>
      <c r="CF53" s="172"/>
      <c r="CG53" s="172"/>
      <c r="CH53" s="172"/>
      <c r="CI53" s="172"/>
      <c r="CJ53" s="172"/>
      <c r="CK53" s="172"/>
      <c r="CL53" s="172"/>
      <c r="CM53" s="172"/>
      <c r="CN53" s="172"/>
      <c r="CO53" s="172"/>
      <c r="CP53" s="172"/>
      <c r="CQ53" s="172"/>
      <c r="CR53" s="172"/>
      <c r="CS53" s="172">
        <v>0</v>
      </c>
      <c r="CT53" s="172">
        <v>0</v>
      </c>
      <c r="CU53" s="192" t="e">
        <v>#DIV/0!</v>
      </c>
    </row>
    <row r="54" spans="1:99" s="68" customFormat="1" x14ac:dyDescent="0.25">
      <c r="A54" s="491">
        <v>113</v>
      </c>
      <c r="B54" s="65" t="s">
        <v>110</v>
      </c>
      <c r="C54" s="491">
        <v>1157</v>
      </c>
      <c r="D54" s="65" t="s">
        <v>104</v>
      </c>
      <c r="E54" s="491">
        <v>2</v>
      </c>
      <c r="F54" s="585"/>
      <c r="G54" s="585"/>
      <c r="H54" s="585"/>
      <c r="I54" s="585"/>
      <c r="J54" s="587"/>
      <c r="K54" s="587"/>
      <c r="L54" s="166" t="s">
        <v>445</v>
      </c>
      <c r="M54" s="166" t="s">
        <v>48</v>
      </c>
      <c r="N54" s="166" t="s">
        <v>329</v>
      </c>
      <c r="O54" s="166" t="s">
        <v>320</v>
      </c>
      <c r="P54" s="180">
        <v>41533</v>
      </c>
      <c r="Q54" s="180">
        <v>41551</v>
      </c>
      <c r="R54" s="182" t="s">
        <v>441</v>
      </c>
      <c r="S54" s="166" t="s">
        <v>331</v>
      </c>
      <c r="T54" s="181" t="s">
        <v>446</v>
      </c>
      <c r="U54" s="166" t="s">
        <v>333</v>
      </c>
      <c r="V54" s="182">
        <v>41652063</v>
      </c>
      <c r="W54" s="166" t="s">
        <v>361</v>
      </c>
      <c r="X54" s="166" t="s">
        <v>315</v>
      </c>
      <c r="Y54" s="166"/>
      <c r="Z54" s="174">
        <v>683</v>
      </c>
      <c r="AA54" s="175">
        <v>4157142</v>
      </c>
      <c r="AB54" s="174">
        <v>668</v>
      </c>
      <c r="AC54" s="175">
        <v>4157142</v>
      </c>
      <c r="AD54" s="175">
        <v>0</v>
      </c>
      <c r="AE54" s="175">
        <v>0</v>
      </c>
      <c r="AF54" s="175">
        <v>0</v>
      </c>
      <c r="AG54" s="175">
        <v>0</v>
      </c>
      <c r="AH54" s="175">
        <v>0</v>
      </c>
      <c r="AI54" s="175">
        <v>0</v>
      </c>
      <c r="AJ54" s="175">
        <v>0</v>
      </c>
      <c r="AK54" s="175">
        <v>0</v>
      </c>
      <c r="AL54" s="175">
        <v>0</v>
      </c>
      <c r="AM54" s="175">
        <v>1385714</v>
      </c>
      <c r="AN54" s="175">
        <v>0</v>
      </c>
      <c r="AO54" s="175">
        <v>1385714</v>
      </c>
      <c r="AP54" s="175">
        <f t="shared" si="17"/>
        <v>2771428</v>
      </c>
      <c r="AQ54" s="175">
        <f t="shared" si="18"/>
        <v>1385714</v>
      </c>
      <c r="AR54" s="176">
        <f t="shared" si="19"/>
        <v>0.66666666666666663</v>
      </c>
      <c r="AS54" s="176"/>
      <c r="AT54" s="174">
        <v>81</v>
      </c>
      <c r="AU54" s="174">
        <v>88</v>
      </c>
      <c r="AV54" s="175">
        <v>1385714</v>
      </c>
      <c r="AW54" s="174">
        <v>0</v>
      </c>
      <c r="AX54" s="174">
        <v>0</v>
      </c>
      <c r="AY54" s="174">
        <v>1385714</v>
      </c>
      <c r="AZ54" s="174">
        <v>0</v>
      </c>
      <c r="BA54" s="174">
        <v>0</v>
      </c>
      <c r="BB54" s="174">
        <v>0</v>
      </c>
      <c r="BC54" s="174">
        <v>0</v>
      </c>
      <c r="BD54" s="174">
        <v>0</v>
      </c>
      <c r="BE54" s="174">
        <v>0</v>
      </c>
      <c r="BF54" s="174">
        <v>0</v>
      </c>
      <c r="BG54" s="174">
        <v>0</v>
      </c>
      <c r="BH54" s="174">
        <v>0</v>
      </c>
      <c r="BI54" s="175">
        <f t="shared" si="15"/>
        <v>1385714</v>
      </c>
      <c r="BJ54" s="175">
        <f t="shared" si="16"/>
        <v>0</v>
      </c>
      <c r="BK54" s="176">
        <f t="shared" si="20"/>
        <v>1</v>
      </c>
      <c r="BL54" s="170"/>
      <c r="BM54" s="170"/>
      <c r="BN54" s="170"/>
      <c r="BO54" s="170"/>
      <c r="BP54" s="170"/>
      <c r="BQ54" s="170"/>
      <c r="BR54" s="170"/>
      <c r="BS54" s="172"/>
      <c r="BT54" s="172"/>
      <c r="BU54" s="172"/>
      <c r="BV54" s="172"/>
      <c r="BW54" s="172"/>
      <c r="BX54" s="172"/>
      <c r="BY54" s="172"/>
      <c r="BZ54" s="172"/>
      <c r="CA54" s="172">
        <f t="shared" si="5"/>
        <v>0</v>
      </c>
      <c r="CB54" s="172">
        <f t="shared" si="6"/>
        <v>0</v>
      </c>
      <c r="CC54" s="494" t="e">
        <f t="shared" si="7"/>
        <v>#DIV/0!</v>
      </c>
      <c r="CD54" s="192"/>
      <c r="CE54" s="192"/>
      <c r="CF54" s="172"/>
      <c r="CG54" s="172"/>
      <c r="CH54" s="172"/>
      <c r="CI54" s="172"/>
      <c r="CJ54" s="172"/>
      <c r="CK54" s="172"/>
      <c r="CL54" s="172"/>
      <c r="CM54" s="172"/>
      <c r="CN54" s="172"/>
      <c r="CO54" s="172"/>
      <c r="CP54" s="172"/>
      <c r="CQ54" s="172"/>
      <c r="CR54" s="172"/>
      <c r="CS54" s="172">
        <v>0</v>
      </c>
      <c r="CT54" s="172">
        <v>0</v>
      </c>
      <c r="CU54" s="192" t="e">
        <v>#DIV/0!</v>
      </c>
    </row>
    <row r="55" spans="1:99" s="68" customFormat="1" x14ac:dyDescent="0.25">
      <c r="A55" s="491">
        <v>113</v>
      </c>
      <c r="B55" s="65" t="s">
        <v>110</v>
      </c>
      <c r="C55" s="491">
        <v>1157</v>
      </c>
      <c r="D55" s="65" t="s">
        <v>104</v>
      </c>
      <c r="E55" s="491">
        <v>2</v>
      </c>
      <c r="F55" s="585"/>
      <c r="G55" s="585"/>
      <c r="H55" s="585"/>
      <c r="I55" s="585"/>
      <c r="J55" s="587"/>
      <c r="K55" s="587"/>
      <c r="L55" s="166" t="s">
        <v>447</v>
      </c>
      <c r="M55" s="166" t="s">
        <v>48</v>
      </c>
      <c r="N55" s="166" t="s">
        <v>448</v>
      </c>
      <c r="O55" s="166" t="s">
        <v>320</v>
      </c>
      <c r="P55" s="180" t="s">
        <v>449</v>
      </c>
      <c r="Q55" s="180">
        <v>41348</v>
      </c>
      <c r="R55" s="166" t="s">
        <v>450</v>
      </c>
      <c r="S55" s="186">
        <v>1</v>
      </c>
      <c r="T55" s="166" t="s">
        <v>418</v>
      </c>
      <c r="U55" s="166" t="s">
        <v>451</v>
      </c>
      <c r="V55" s="166">
        <v>52267142</v>
      </c>
      <c r="W55" s="166">
        <v>60</v>
      </c>
      <c r="X55" s="166" t="s">
        <v>315</v>
      </c>
      <c r="Y55" s="166" t="s">
        <v>452</v>
      </c>
      <c r="Z55" s="174">
        <v>325</v>
      </c>
      <c r="AA55" s="175">
        <v>14000000</v>
      </c>
      <c r="AB55" s="174">
        <v>301</v>
      </c>
      <c r="AC55" s="175">
        <v>12800000</v>
      </c>
      <c r="AD55" s="175">
        <v>0</v>
      </c>
      <c r="AE55" s="175">
        <v>0</v>
      </c>
      <c r="AF55" s="175">
        <v>0</v>
      </c>
      <c r="AG55" s="175">
        <v>0</v>
      </c>
      <c r="AH55" s="175">
        <v>0</v>
      </c>
      <c r="AI55" s="175">
        <v>1962667</v>
      </c>
      <c r="AJ55" s="175">
        <v>0</v>
      </c>
      <c r="AK55" s="175">
        <v>0</v>
      </c>
      <c r="AL55" s="175">
        <v>0</v>
      </c>
      <c r="AM55" s="175">
        <v>0</v>
      </c>
      <c r="AN55" s="175">
        <v>2560000</v>
      </c>
      <c r="AO55" s="175">
        <v>0</v>
      </c>
      <c r="AP55" s="175">
        <f t="shared" si="17"/>
        <v>4522667</v>
      </c>
      <c r="AQ55" s="175">
        <f t="shared" si="18"/>
        <v>8277333</v>
      </c>
      <c r="AR55" s="176">
        <f t="shared" si="19"/>
        <v>0.35333335937499999</v>
      </c>
      <c r="AS55" s="176"/>
      <c r="AT55" s="174">
        <v>76</v>
      </c>
      <c r="AU55" s="174">
        <v>83</v>
      </c>
      <c r="AV55" s="175">
        <v>8277333</v>
      </c>
      <c r="AW55" s="174">
        <v>0</v>
      </c>
      <c r="AX55" s="174">
        <v>0</v>
      </c>
      <c r="AY55" s="174">
        <v>0</v>
      </c>
      <c r="AZ55" s="174">
        <v>0</v>
      </c>
      <c r="BA55" s="174">
        <v>0</v>
      </c>
      <c r="BB55" s="174">
        <v>0</v>
      </c>
      <c r="BC55" s="174">
        <v>0</v>
      </c>
      <c r="BD55" s="174">
        <v>0</v>
      </c>
      <c r="BE55" s="174">
        <v>0</v>
      </c>
      <c r="BF55" s="174">
        <v>0</v>
      </c>
      <c r="BG55" s="174">
        <v>0</v>
      </c>
      <c r="BH55" s="174">
        <v>0</v>
      </c>
      <c r="BI55" s="175">
        <f t="shared" si="15"/>
        <v>0</v>
      </c>
      <c r="BJ55" s="175">
        <f t="shared" si="16"/>
        <v>8277333</v>
      </c>
      <c r="BK55" s="176">
        <f t="shared" si="20"/>
        <v>0</v>
      </c>
      <c r="BL55" s="170">
        <v>24</v>
      </c>
      <c r="BM55" s="170">
        <v>17</v>
      </c>
      <c r="BN55" s="170">
        <v>8277333</v>
      </c>
      <c r="BO55" s="170">
        <v>0</v>
      </c>
      <c r="BP55" s="170">
        <v>0</v>
      </c>
      <c r="BQ55" s="170">
        <v>0</v>
      </c>
      <c r="BR55" s="170">
        <v>0</v>
      </c>
      <c r="BS55" s="172"/>
      <c r="BT55" s="172"/>
      <c r="BU55" s="172"/>
      <c r="BV55" s="172"/>
      <c r="BW55" s="172"/>
      <c r="BX55" s="172"/>
      <c r="BY55" s="172"/>
      <c r="BZ55" s="172"/>
      <c r="CA55" s="172">
        <f t="shared" si="5"/>
        <v>0</v>
      </c>
      <c r="CB55" s="172">
        <f t="shared" si="6"/>
        <v>8277333</v>
      </c>
      <c r="CC55" s="494">
        <f t="shared" si="7"/>
        <v>0</v>
      </c>
      <c r="CD55" s="192"/>
      <c r="CE55" s="192"/>
      <c r="CF55" s="552"/>
      <c r="CG55" s="172"/>
      <c r="CH55" s="172"/>
      <c r="CI55" s="172"/>
      <c r="CJ55" s="172"/>
      <c r="CK55" s="172"/>
      <c r="CL55" s="172"/>
      <c r="CM55" s="172"/>
      <c r="CN55" s="172"/>
      <c r="CO55" s="172"/>
      <c r="CP55" s="172"/>
      <c r="CQ55" s="172"/>
      <c r="CR55" s="172"/>
      <c r="CS55" s="172">
        <v>0</v>
      </c>
      <c r="CT55" s="172">
        <v>0</v>
      </c>
      <c r="CU55" s="192" t="e">
        <v>#DIV/0!</v>
      </c>
    </row>
    <row r="56" spans="1:99" s="68" customFormat="1" x14ac:dyDescent="0.25">
      <c r="A56" s="491">
        <v>113</v>
      </c>
      <c r="B56" s="65" t="s">
        <v>110</v>
      </c>
      <c r="C56" s="491">
        <v>1157</v>
      </c>
      <c r="D56" s="65" t="s">
        <v>104</v>
      </c>
      <c r="E56" s="491">
        <v>2</v>
      </c>
      <c r="F56" s="585"/>
      <c r="G56" s="585"/>
      <c r="H56" s="585"/>
      <c r="I56" s="585"/>
      <c r="J56" s="587"/>
      <c r="K56" s="587"/>
      <c r="L56" s="166" t="s">
        <v>453</v>
      </c>
      <c r="M56" s="166" t="s">
        <v>454</v>
      </c>
      <c r="N56" s="166" t="s">
        <v>329</v>
      </c>
      <c r="O56" s="166" t="s">
        <v>356</v>
      </c>
      <c r="P56" s="180">
        <v>41549</v>
      </c>
      <c r="Q56" s="180">
        <v>41659</v>
      </c>
      <c r="R56" s="166" t="s">
        <v>337</v>
      </c>
      <c r="S56" s="166" t="s">
        <v>455</v>
      </c>
      <c r="T56" s="166" t="s">
        <v>418</v>
      </c>
      <c r="U56" s="166" t="s">
        <v>381</v>
      </c>
      <c r="V56" s="166" t="s">
        <v>456</v>
      </c>
      <c r="W56" s="166">
        <v>210</v>
      </c>
      <c r="X56" s="166" t="s">
        <v>315</v>
      </c>
      <c r="Y56" s="166" t="s">
        <v>457</v>
      </c>
      <c r="Z56" s="174">
        <v>738</v>
      </c>
      <c r="AA56" s="175">
        <v>99459667</v>
      </c>
      <c r="AB56" s="174">
        <v>724</v>
      </c>
      <c r="AC56" s="175">
        <v>96489000</v>
      </c>
      <c r="AD56" s="175">
        <v>0</v>
      </c>
      <c r="AE56" s="175">
        <v>0</v>
      </c>
      <c r="AF56" s="175">
        <v>0</v>
      </c>
      <c r="AG56" s="175">
        <v>0</v>
      </c>
      <c r="AH56" s="175">
        <v>0</v>
      </c>
      <c r="AI56" s="175">
        <v>0</v>
      </c>
      <c r="AJ56" s="175">
        <v>0</v>
      </c>
      <c r="AK56" s="175">
        <v>0</v>
      </c>
      <c r="AL56" s="175">
        <v>0</v>
      </c>
      <c r="AM56" s="175">
        <v>0</v>
      </c>
      <c r="AN56" s="175">
        <v>0</v>
      </c>
      <c r="AO56" s="175">
        <v>0</v>
      </c>
      <c r="AP56" s="175">
        <f t="shared" si="17"/>
        <v>0</v>
      </c>
      <c r="AQ56" s="175">
        <f t="shared" si="18"/>
        <v>96489000</v>
      </c>
      <c r="AR56" s="176">
        <f t="shared" si="19"/>
        <v>0</v>
      </c>
      <c r="AS56" s="176"/>
      <c r="AT56" s="174">
        <v>82</v>
      </c>
      <c r="AU56" s="174">
        <v>89</v>
      </c>
      <c r="AV56" s="175">
        <v>95085000</v>
      </c>
      <c r="AW56" s="174">
        <v>0</v>
      </c>
      <c r="AX56" s="174">
        <v>0</v>
      </c>
      <c r="AY56" s="174">
        <v>0</v>
      </c>
      <c r="AZ56" s="174">
        <v>0</v>
      </c>
      <c r="BA56" s="174">
        <v>0</v>
      </c>
      <c r="BB56" s="174">
        <v>9615000</v>
      </c>
      <c r="BC56" s="174">
        <v>4200000</v>
      </c>
      <c r="BD56" s="174">
        <v>38094000</v>
      </c>
      <c r="BE56" s="174">
        <v>28476000</v>
      </c>
      <c r="BF56" s="174">
        <v>0</v>
      </c>
      <c r="BG56" s="174">
        <v>0</v>
      </c>
      <c r="BH56" s="174">
        <v>14700000</v>
      </c>
      <c r="BI56" s="175">
        <f t="shared" si="15"/>
        <v>95085000</v>
      </c>
      <c r="BJ56" s="175">
        <f t="shared" si="16"/>
        <v>0</v>
      </c>
      <c r="BK56" s="176">
        <f t="shared" si="20"/>
        <v>1</v>
      </c>
      <c r="BL56" s="170"/>
      <c r="BM56" s="170"/>
      <c r="BN56" s="170"/>
      <c r="BO56" s="170"/>
      <c r="BP56" s="170"/>
      <c r="BQ56" s="170"/>
      <c r="BR56" s="170"/>
      <c r="BS56" s="172"/>
      <c r="BT56" s="172"/>
      <c r="BU56" s="172"/>
      <c r="BV56" s="172"/>
      <c r="BW56" s="172"/>
      <c r="BX56" s="172"/>
      <c r="BY56" s="172"/>
      <c r="BZ56" s="172"/>
      <c r="CA56" s="172">
        <f t="shared" si="5"/>
        <v>0</v>
      </c>
      <c r="CB56" s="172">
        <f t="shared" si="6"/>
        <v>0</v>
      </c>
      <c r="CC56" s="494" t="e">
        <f t="shared" si="7"/>
        <v>#DIV/0!</v>
      </c>
      <c r="CD56" s="192"/>
      <c r="CE56" s="192"/>
      <c r="CF56" s="172"/>
      <c r="CG56" s="172"/>
      <c r="CH56" s="172"/>
      <c r="CI56" s="172"/>
      <c r="CJ56" s="172"/>
      <c r="CK56" s="172"/>
      <c r="CL56" s="172"/>
      <c r="CM56" s="172"/>
      <c r="CN56" s="172"/>
      <c r="CO56" s="172"/>
      <c r="CP56" s="172"/>
      <c r="CQ56" s="172"/>
      <c r="CR56" s="172"/>
      <c r="CS56" s="172">
        <v>0</v>
      </c>
      <c r="CT56" s="172">
        <v>0</v>
      </c>
      <c r="CU56" s="192" t="e">
        <v>#DIV/0!</v>
      </c>
    </row>
    <row r="57" spans="1:99" s="68" customFormat="1" x14ac:dyDescent="0.25">
      <c r="A57" s="491">
        <v>113</v>
      </c>
      <c r="B57" s="65" t="s">
        <v>110</v>
      </c>
      <c r="C57" s="491">
        <v>1157</v>
      </c>
      <c r="D57" s="65" t="s">
        <v>104</v>
      </c>
      <c r="E57" s="491">
        <v>2</v>
      </c>
      <c r="F57" s="590"/>
      <c r="G57" s="590"/>
      <c r="H57" s="590"/>
      <c r="I57" s="590"/>
      <c r="J57" s="591"/>
      <c r="K57" s="591"/>
      <c r="L57" s="166" t="s">
        <v>458</v>
      </c>
      <c r="M57" s="166" t="s">
        <v>48</v>
      </c>
      <c r="N57" s="166" t="s">
        <v>319</v>
      </c>
      <c r="O57" s="166" t="s">
        <v>400</v>
      </c>
      <c r="P57" s="180">
        <v>41586</v>
      </c>
      <c r="Q57" s="180">
        <v>41677</v>
      </c>
      <c r="R57" s="166" t="s">
        <v>441</v>
      </c>
      <c r="S57" s="166" t="s">
        <v>459</v>
      </c>
      <c r="T57" s="166" t="s">
        <v>460</v>
      </c>
      <c r="U57" s="166" t="s">
        <v>461</v>
      </c>
      <c r="V57" s="166">
        <v>900337047</v>
      </c>
      <c r="W57" s="173"/>
      <c r="X57" s="173"/>
      <c r="Y57" s="166" t="s">
        <v>462</v>
      </c>
      <c r="Z57" s="174">
        <v>802</v>
      </c>
      <c r="AA57" s="175">
        <v>145000000</v>
      </c>
      <c r="AB57" s="174">
        <v>785</v>
      </c>
      <c r="AC57" s="175">
        <v>145000000</v>
      </c>
      <c r="AD57" s="175">
        <v>0</v>
      </c>
      <c r="AE57" s="175">
        <v>0</v>
      </c>
      <c r="AF57" s="175">
        <v>0</v>
      </c>
      <c r="AG57" s="175">
        <v>0</v>
      </c>
      <c r="AH57" s="175">
        <v>0</v>
      </c>
      <c r="AI57" s="175">
        <v>0</v>
      </c>
      <c r="AJ57" s="175">
        <v>0</v>
      </c>
      <c r="AK57" s="175">
        <v>0</v>
      </c>
      <c r="AL57" s="175">
        <v>0</v>
      </c>
      <c r="AM57" s="175">
        <v>0</v>
      </c>
      <c r="AN57" s="175">
        <v>0</v>
      </c>
      <c r="AO57" s="175">
        <v>0</v>
      </c>
      <c r="AP57" s="175">
        <f t="shared" si="17"/>
        <v>0</v>
      </c>
      <c r="AQ57" s="175">
        <f t="shared" si="18"/>
        <v>145000000</v>
      </c>
      <c r="AR57" s="176">
        <f t="shared" si="19"/>
        <v>0</v>
      </c>
      <c r="AS57" s="176"/>
      <c r="AT57" s="174">
        <v>496</v>
      </c>
      <c r="AU57" s="174">
        <v>491</v>
      </c>
      <c r="AV57" s="175">
        <v>142220000</v>
      </c>
      <c r="AW57" s="174">
        <v>0</v>
      </c>
      <c r="AX57" s="174">
        <v>0</v>
      </c>
      <c r="AY57" s="174">
        <v>0</v>
      </c>
      <c r="AZ57" s="174">
        <v>0</v>
      </c>
      <c r="BA57" s="174">
        <v>0</v>
      </c>
      <c r="BB57" s="174">
        <v>142220000</v>
      </c>
      <c r="BC57" s="174">
        <v>0</v>
      </c>
      <c r="BD57" s="174">
        <v>0</v>
      </c>
      <c r="BE57" s="174">
        <v>0</v>
      </c>
      <c r="BF57" s="174">
        <v>0</v>
      </c>
      <c r="BG57" s="174">
        <v>0</v>
      </c>
      <c r="BH57" s="174">
        <v>0</v>
      </c>
      <c r="BI57" s="175">
        <f t="shared" si="15"/>
        <v>142220000</v>
      </c>
      <c r="BJ57" s="175">
        <f t="shared" si="16"/>
        <v>0</v>
      </c>
      <c r="BK57" s="176">
        <f t="shared" si="20"/>
        <v>1</v>
      </c>
      <c r="BL57" s="170"/>
      <c r="BM57" s="170"/>
      <c r="BN57" s="170"/>
      <c r="BO57" s="170"/>
      <c r="BP57" s="170"/>
      <c r="BQ57" s="170"/>
      <c r="BR57" s="170"/>
      <c r="BS57" s="172"/>
      <c r="BT57" s="172"/>
      <c r="BU57" s="172"/>
      <c r="BV57" s="172"/>
      <c r="BW57" s="172"/>
      <c r="BX57" s="172"/>
      <c r="BY57" s="172"/>
      <c r="BZ57" s="172"/>
      <c r="CA57" s="172">
        <f t="shared" si="5"/>
        <v>0</v>
      </c>
      <c r="CB57" s="172">
        <f t="shared" si="6"/>
        <v>0</v>
      </c>
      <c r="CC57" s="494" t="e">
        <f t="shared" si="7"/>
        <v>#DIV/0!</v>
      </c>
      <c r="CD57" s="192"/>
      <c r="CE57" s="192"/>
      <c r="CF57" s="172"/>
      <c r="CG57" s="172"/>
      <c r="CH57" s="172"/>
      <c r="CI57" s="172"/>
      <c r="CJ57" s="172"/>
      <c r="CK57" s="172"/>
      <c r="CL57" s="172"/>
      <c r="CM57" s="172"/>
      <c r="CN57" s="172"/>
      <c r="CO57" s="172"/>
      <c r="CP57" s="172"/>
      <c r="CQ57" s="172"/>
      <c r="CR57" s="172"/>
      <c r="CS57" s="172">
        <v>0</v>
      </c>
      <c r="CT57" s="172">
        <v>0</v>
      </c>
      <c r="CU57" s="192" t="e">
        <v>#DIV/0!</v>
      </c>
    </row>
    <row r="58" spans="1:99" s="68" customFormat="1" ht="13.5" customHeight="1" x14ac:dyDescent="0.25">
      <c r="A58" s="490">
        <v>114</v>
      </c>
      <c r="B58" s="63" t="s">
        <v>112</v>
      </c>
      <c r="C58" s="490">
        <v>1157</v>
      </c>
      <c r="D58" s="63" t="s">
        <v>104</v>
      </c>
      <c r="E58" s="490">
        <v>3</v>
      </c>
      <c r="F58" s="592" t="s">
        <v>53</v>
      </c>
      <c r="G58" s="584">
        <v>5000</v>
      </c>
      <c r="H58" s="584" t="s">
        <v>61</v>
      </c>
      <c r="I58" s="584" t="s">
        <v>114</v>
      </c>
      <c r="J58" s="594"/>
      <c r="K58" s="594"/>
      <c r="L58" s="166" t="s">
        <v>463</v>
      </c>
      <c r="M58" s="166" t="s">
        <v>48</v>
      </c>
      <c r="N58" s="166" t="s">
        <v>464</v>
      </c>
      <c r="O58" s="166" t="s">
        <v>356</v>
      </c>
      <c r="P58" s="173"/>
      <c r="Q58" s="173"/>
      <c r="R58" s="166" t="s">
        <v>321</v>
      </c>
      <c r="S58" s="189" t="s">
        <v>465</v>
      </c>
      <c r="T58" s="166" t="s">
        <v>418</v>
      </c>
      <c r="U58" s="166" t="s">
        <v>466</v>
      </c>
      <c r="V58" s="189">
        <v>830095614</v>
      </c>
      <c r="W58" s="173"/>
      <c r="X58" s="173"/>
      <c r="Y58" s="166"/>
      <c r="Z58" s="174">
        <v>674</v>
      </c>
      <c r="AA58" s="175">
        <v>205108000</v>
      </c>
      <c r="AB58" s="174">
        <v>736</v>
      </c>
      <c r="AC58" s="175">
        <v>197074000</v>
      </c>
      <c r="AD58" s="175">
        <v>0</v>
      </c>
      <c r="AE58" s="175">
        <v>0</v>
      </c>
      <c r="AF58" s="175">
        <v>0</v>
      </c>
      <c r="AG58" s="175">
        <v>0</v>
      </c>
      <c r="AH58" s="175">
        <v>0</v>
      </c>
      <c r="AI58" s="175">
        <v>0</v>
      </c>
      <c r="AJ58" s="175">
        <v>0</v>
      </c>
      <c r="AK58" s="175">
        <v>0</v>
      </c>
      <c r="AL58" s="175">
        <v>0</v>
      </c>
      <c r="AM58" s="175">
        <v>0</v>
      </c>
      <c r="AN58" s="175">
        <v>0</v>
      </c>
      <c r="AO58" s="175">
        <v>0</v>
      </c>
      <c r="AP58" s="175">
        <f t="shared" si="17"/>
        <v>0</v>
      </c>
      <c r="AQ58" s="175">
        <f t="shared" si="18"/>
        <v>197074000</v>
      </c>
      <c r="AR58" s="176">
        <f t="shared" si="19"/>
        <v>0</v>
      </c>
      <c r="AS58" s="176"/>
      <c r="AT58" s="174">
        <v>84</v>
      </c>
      <c r="AU58" s="174">
        <v>91</v>
      </c>
      <c r="AV58" s="175">
        <v>197074000</v>
      </c>
      <c r="AW58" s="174">
        <v>0</v>
      </c>
      <c r="AX58" s="174">
        <v>0</v>
      </c>
      <c r="AY58" s="174">
        <v>0</v>
      </c>
      <c r="AZ58" s="174">
        <v>0</v>
      </c>
      <c r="BA58" s="174">
        <v>0</v>
      </c>
      <c r="BB58" s="174">
        <v>0</v>
      </c>
      <c r="BC58" s="174">
        <v>0</v>
      </c>
      <c r="BD58" s="174">
        <v>0</v>
      </c>
      <c r="BE58" s="174">
        <v>0</v>
      </c>
      <c r="BF58" s="174">
        <v>0</v>
      </c>
      <c r="BG58" s="174">
        <v>24976000</v>
      </c>
      <c r="BH58" s="174">
        <v>21887294</v>
      </c>
      <c r="BI58" s="175">
        <f t="shared" si="15"/>
        <v>46863294</v>
      </c>
      <c r="BJ58" s="175">
        <f t="shared" si="16"/>
        <v>150210706</v>
      </c>
      <c r="BK58" s="176">
        <f t="shared" si="20"/>
        <v>0.23779541694997819</v>
      </c>
      <c r="BL58" s="170">
        <v>25</v>
      </c>
      <c r="BM58" s="170">
        <v>18</v>
      </c>
      <c r="BN58" s="170">
        <v>150210706</v>
      </c>
      <c r="BO58" s="170">
        <v>0</v>
      </c>
      <c r="BP58" s="170">
        <v>33729564</v>
      </c>
      <c r="BQ58" s="170">
        <v>23674309</v>
      </c>
      <c r="BR58" s="170">
        <v>10081528</v>
      </c>
      <c r="BS58" s="172">
        <v>0</v>
      </c>
      <c r="BT58" s="172">
        <v>0</v>
      </c>
      <c r="BU58" s="172">
        <v>0</v>
      </c>
      <c r="BV58" s="172">
        <v>0</v>
      </c>
      <c r="BW58" s="172">
        <v>0</v>
      </c>
      <c r="BX58" s="172">
        <v>0</v>
      </c>
      <c r="BY58" s="172">
        <v>62025482</v>
      </c>
      <c r="BZ58" s="172">
        <v>0</v>
      </c>
      <c r="CA58" s="172">
        <f t="shared" si="5"/>
        <v>129510883</v>
      </c>
      <c r="CB58" s="172">
        <f t="shared" si="6"/>
        <v>20699823</v>
      </c>
      <c r="CC58" s="494">
        <f t="shared" si="7"/>
        <v>0.8621947559450257</v>
      </c>
      <c r="CD58" s="192"/>
      <c r="CE58" s="192"/>
      <c r="CF58" s="172"/>
      <c r="CG58" s="172"/>
      <c r="CH58" s="172"/>
      <c r="CI58" s="172"/>
      <c r="CJ58" s="172"/>
      <c r="CK58" s="172"/>
      <c r="CL58" s="172"/>
      <c r="CM58" s="172"/>
      <c r="CN58" s="172"/>
      <c r="CO58" s="172"/>
      <c r="CP58" s="172"/>
      <c r="CQ58" s="172"/>
      <c r="CR58" s="172"/>
      <c r="CS58" s="172">
        <v>0</v>
      </c>
      <c r="CT58" s="172">
        <v>0</v>
      </c>
      <c r="CU58" s="192" t="e">
        <v>#DIV/0!</v>
      </c>
    </row>
    <row r="59" spans="1:99" s="68" customFormat="1" x14ac:dyDescent="0.25">
      <c r="A59" s="490">
        <v>114</v>
      </c>
      <c r="B59" s="63" t="s">
        <v>112</v>
      </c>
      <c r="C59" s="490">
        <v>1157</v>
      </c>
      <c r="D59" s="63" t="s">
        <v>104</v>
      </c>
      <c r="E59" s="490">
        <v>3</v>
      </c>
      <c r="F59" s="593"/>
      <c r="G59" s="585"/>
      <c r="H59" s="585"/>
      <c r="I59" s="585"/>
      <c r="J59" s="595"/>
      <c r="K59" s="595"/>
      <c r="L59" s="166" t="s">
        <v>467</v>
      </c>
      <c r="M59" s="166" t="s">
        <v>48</v>
      </c>
      <c r="N59" s="166" t="s">
        <v>448</v>
      </c>
      <c r="O59" s="166" t="s">
        <v>356</v>
      </c>
      <c r="P59" s="180">
        <v>41555</v>
      </c>
      <c r="Q59" s="180">
        <v>41556</v>
      </c>
      <c r="R59" s="166" t="s">
        <v>395</v>
      </c>
      <c r="S59" s="189" t="s">
        <v>468</v>
      </c>
      <c r="T59" s="166" t="s">
        <v>469</v>
      </c>
      <c r="U59" s="166" t="s">
        <v>470</v>
      </c>
      <c r="V59" s="189">
        <v>830061708</v>
      </c>
      <c r="W59" s="173"/>
      <c r="X59" s="173"/>
      <c r="Y59" s="166"/>
      <c r="Z59" s="174">
        <v>739</v>
      </c>
      <c r="AA59" s="175">
        <v>16427533</v>
      </c>
      <c r="AB59" s="174">
        <v>727</v>
      </c>
      <c r="AC59" s="175">
        <v>11300000</v>
      </c>
      <c r="AD59" s="175">
        <v>0</v>
      </c>
      <c r="AE59" s="175">
        <v>0</v>
      </c>
      <c r="AF59" s="175">
        <v>0</v>
      </c>
      <c r="AG59" s="175">
        <v>0</v>
      </c>
      <c r="AH59" s="175">
        <v>0</v>
      </c>
      <c r="AI59" s="175">
        <v>0</v>
      </c>
      <c r="AJ59" s="175">
        <v>0</v>
      </c>
      <c r="AK59" s="175">
        <v>0</v>
      </c>
      <c r="AL59" s="175">
        <v>0</v>
      </c>
      <c r="AM59" s="175">
        <v>0</v>
      </c>
      <c r="AN59" s="175">
        <v>0</v>
      </c>
      <c r="AO59" s="175">
        <v>0</v>
      </c>
      <c r="AP59" s="175">
        <f t="shared" si="17"/>
        <v>0</v>
      </c>
      <c r="AQ59" s="175">
        <f t="shared" si="18"/>
        <v>11300000</v>
      </c>
      <c r="AR59" s="176">
        <f t="shared" si="19"/>
        <v>0</v>
      </c>
      <c r="AS59" s="176"/>
      <c r="AT59" s="174">
        <v>83</v>
      </c>
      <c r="AU59" s="174">
        <v>90</v>
      </c>
      <c r="AV59" s="175">
        <v>10600000</v>
      </c>
      <c r="AW59" s="174">
        <v>0</v>
      </c>
      <c r="AX59" s="174">
        <v>0</v>
      </c>
      <c r="AY59" s="174">
        <v>0</v>
      </c>
      <c r="AZ59" s="174">
        <v>0</v>
      </c>
      <c r="BA59" s="174">
        <v>0</v>
      </c>
      <c r="BB59" s="174">
        <v>0</v>
      </c>
      <c r="BC59" s="174">
        <v>0</v>
      </c>
      <c r="BD59" s="174">
        <v>0</v>
      </c>
      <c r="BE59" s="174">
        <v>0</v>
      </c>
      <c r="BF59" s="174">
        <v>0</v>
      </c>
      <c r="BG59" s="174">
        <v>0</v>
      </c>
      <c r="BH59" s="174">
        <v>10600000</v>
      </c>
      <c r="BI59" s="175">
        <f t="shared" si="15"/>
        <v>10600000</v>
      </c>
      <c r="BJ59" s="175">
        <f t="shared" si="16"/>
        <v>0</v>
      </c>
      <c r="BK59" s="176">
        <f t="shared" si="20"/>
        <v>1</v>
      </c>
      <c r="BL59" s="170"/>
      <c r="BM59" s="170"/>
      <c r="BN59" s="170"/>
      <c r="BO59" s="170"/>
      <c r="BP59" s="170"/>
      <c r="BQ59" s="170"/>
      <c r="BR59" s="170"/>
      <c r="BS59" s="172"/>
      <c r="BT59" s="172"/>
      <c r="BU59" s="172"/>
      <c r="BV59" s="172"/>
      <c r="BW59" s="172"/>
      <c r="BX59" s="172"/>
      <c r="BY59" s="172"/>
      <c r="BZ59" s="172"/>
      <c r="CA59" s="172">
        <f t="shared" si="5"/>
        <v>0</v>
      </c>
      <c r="CB59" s="172">
        <f t="shared" si="6"/>
        <v>0</v>
      </c>
      <c r="CC59" s="494" t="e">
        <f t="shared" si="7"/>
        <v>#DIV/0!</v>
      </c>
      <c r="CD59" s="192"/>
      <c r="CE59" s="192"/>
      <c r="CF59" s="172"/>
      <c r="CG59" s="172"/>
      <c r="CH59" s="172"/>
      <c r="CI59" s="172"/>
      <c r="CJ59" s="172"/>
      <c r="CK59" s="172"/>
      <c r="CL59" s="172"/>
      <c r="CM59" s="172"/>
      <c r="CN59" s="172"/>
      <c r="CO59" s="172"/>
      <c r="CP59" s="172"/>
      <c r="CQ59" s="172"/>
      <c r="CR59" s="172"/>
      <c r="CS59" s="172">
        <v>0</v>
      </c>
      <c r="CT59" s="172">
        <v>0</v>
      </c>
      <c r="CU59" s="192" t="e">
        <v>#DIV/0!</v>
      </c>
    </row>
    <row r="60" spans="1:99" s="68" customFormat="1" x14ac:dyDescent="0.25">
      <c r="A60" s="490">
        <v>114</v>
      </c>
      <c r="B60" s="63" t="s">
        <v>112</v>
      </c>
      <c r="C60" s="490">
        <v>1157</v>
      </c>
      <c r="D60" s="63" t="s">
        <v>104</v>
      </c>
      <c r="E60" s="490">
        <v>3</v>
      </c>
      <c r="F60" s="593"/>
      <c r="G60" s="585"/>
      <c r="H60" s="585"/>
      <c r="I60" s="585"/>
      <c r="J60" s="595"/>
      <c r="K60" s="595"/>
      <c r="L60" s="166" t="s">
        <v>471</v>
      </c>
      <c r="M60" s="166" t="s">
        <v>48</v>
      </c>
      <c r="N60" s="166" t="s">
        <v>336</v>
      </c>
      <c r="O60" s="166" t="s">
        <v>320</v>
      </c>
      <c r="P60" s="180">
        <v>41610</v>
      </c>
      <c r="Q60" s="173"/>
      <c r="R60" s="166" t="s">
        <v>330</v>
      </c>
      <c r="S60" s="166" t="s">
        <v>472</v>
      </c>
      <c r="T60" s="166" t="s">
        <v>473</v>
      </c>
      <c r="U60" s="166" t="s">
        <v>474</v>
      </c>
      <c r="V60" s="166">
        <v>79432829</v>
      </c>
      <c r="W60" s="173"/>
      <c r="X60" s="173"/>
      <c r="Y60" s="166"/>
      <c r="Z60" s="174">
        <v>862</v>
      </c>
      <c r="AA60" s="175">
        <v>2803888</v>
      </c>
      <c r="AB60" s="174">
        <v>828</v>
      </c>
      <c r="AC60" s="175">
        <v>2803888</v>
      </c>
      <c r="AD60" s="175">
        <v>0</v>
      </c>
      <c r="AE60" s="175">
        <v>0</v>
      </c>
      <c r="AF60" s="175">
        <v>0</v>
      </c>
      <c r="AG60" s="175">
        <v>0</v>
      </c>
      <c r="AH60" s="175">
        <v>0</v>
      </c>
      <c r="AI60" s="175">
        <v>0</v>
      </c>
      <c r="AJ60" s="175">
        <v>0</v>
      </c>
      <c r="AK60" s="175">
        <v>0</v>
      </c>
      <c r="AL60" s="175">
        <v>0</v>
      </c>
      <c r="AM60" s="175">
        <v>0</v>
      </c>
      <c r="AN60" s="175">
        <v>0</v>
      </c>
      <c r="AO60" s="175">
        <v>0</v>
      </c>
      <c r="AP60" s="175">
        <f t="shared" si="17"/>
        <v>0</v>
      </c>
      <c r="AQ60" s="175">
        <f t="shared" si="18"/>
        <v>2803888</v>
      </c>
      <c r="AR60" s="176">
        <f t="shared" si="19"/>
        <v>0</v>
      </c>
      <c r="AS60" s="176"/>
      <c r="AT60" s="174">
        <v>92</v>
      </c>
      <c r="AU60" s="174">
        <v>99</v>
      </c>
      <c r="AV60" s="175">
        <v>2803888</v>
      </c>
      <c r="AW60" s="174">
        <v>0</v>
      </c>
      <c r="AX60" s="174">
        <v>0</v>
      </c>
      <c r="AY60" s="174">
        <v>0</v>
      </c>
      <c r="AZ60" s="174">
        <v>0</v>
      </c>
      <c r="BA60" s="174">
        <v>0</v>
      </c>
      <c r="BB60" s="174">
        <v>0</v>
      </c>
      <c r="BC60" s="174">
        <v>0</v>
      </c>
      <c r="BD60" s="174">
        <v>0</v>
      </c>
      <c r="BE60" s="174">
        <v>0</v>
      </c>
      <c r="BF60" s="174">
        <v>0</v>
      </c>
      <c r="BG60" s="174">
        <v>0</v>
      </c>
      <c r="BH60" s="174">
        <v>0</v>
      </c>
      <c r="BI60" s="175">
        <f t="shared" si="15"/>
        <v>0</v>
      </c>
      <c r="BJ60" s="175">
        <f t="shared" si="16"/>
        <v>2803888</v>
      </c>
      <c r="BK60" s="176">
        <f t="shared" si="20"/>
        <v>0</v>
      </c>
      <c r="BL60" s="170">
        <v>30</v>
      </c>
      <c r="BM60" s="170">
        <v>22</v>
      </c>
      <c r="BN60" s="170">
        <v>2803888</v>
      </c>
      <c r="BO60" s="170">
        <v>0</v>
      </c>
      <c r="BP60" s="170">
        <v>0</v>
      </c>
      <c r="BQ60" s="170">
        <v>2803888</v>
      </c>
      <c r="BR60" s="170">
        <v>0</v>
      </c>
      <c r="BS60" s="172">
        <v>0</v>
      </c>
      <c r="BT60" s="172">
        <v>0</v>
      </c>
      <c r="BU60" s="172">
        <v>0</v>
      </c>
      <c r="BV60" s="172">
        <v>0</v>
      </c>
      <c r="BW60" s="172">
        <v>0</v>
      </c>
      <c r="BX60" s="172">
        <v>0</v>
      </c>
      <c r="BY60" s="172">
        <v>0</v>
      </c>
      <c r="BZ60" s="172">
        <v>0</v>
      </c>
      <c r="CA60" s="172">
        <f t="shared" si="5"/>
        <v>2803888</v>
      </c>
      <c r="CB60" s="172">
        <f t="shared" si="6"/>
        <v>0</v>
      </c>
      <c r="CC60" s="494">
        <f t="shared" si="7"/>
        <v>1</v>
      </c>
      <c r="CD60" s="192"/>
      <c r="CE60" s="192"/>
      <c r="CF60" s="172"/>
      <c r="CG60" s="172"/>
      <c r="CH60" s="172"/>
      <c r="CI60" s="172"/>
      <c r="CJ60" s="172"/>
      <c r="CK60" s="172"/>
      <c r="CL60" s="172"/>
      <c r="CM60" s="172"/>
      <c r="CN60" s="172"/>
      <c r="CO60" s="172"/>
      <c r="CP60" s="172"/>
      <c r="CQ60" s="172"/>
      <c r="CR60" s="172"/>
      <c r="CS60" s="172">
        <v>0</v>
      </c>
      <c r="CT60" s="172">
        <v>0</v>
      </c>
      <c r="CU60" s="192" t="e">
        <v>#DIV/0!</v>
      </c>
    </row>
    <row r="61" spans="1:99" s="68" customFormat="1" x14ac:dyDescent="0.25">
      <c r="A61" s="490">
        <v>114</v>
      </c>
      <c r="B61" s="63" t="s">
        <v>112</v>
      </c>
      <c r="C61" s="490">
        <v>1157</v>
      </c>
      <c r="D61" s="63" t="s">
        <v>104</v>
      </c>
      <c r="E61" s="490">
        <v>3</v>
      </c>
      <c r="F61" s="593"/>
      <c r="G61" s="585"/>
      <c r="H61" s="585"/>
      <c r="I61" s="585"/>
      <c r="J61" s="595"/>
      <c r="K61" s="595"/>
      <c r="L61" s="166" t="s">
        <v>475</v>
      </c>
      <c r="M61" s="166" t="s">
        <v>48</v>
      </c>
      <c r="N61" s="166" t="s">
        <v>391</v>
      </c>
      <c r="O61" s="166" t="s">
        <v>320</v>
      </c>
      <c r="P61" s="180">
        <v>41586</v>
      </c>
      <c r="Q61" s="180">
        <v>41614</v>
      </c>
      <c r="R61" s="166" t="s">
        <v>321</v>
      </c>
      <c r="S61" s="189" t="s">
        <v>476</v>
      </c>
      <c r="T61" s="166" t="s">
        <v>477</v>
      </c>
      <c r="U61" s="166" t="s">
        <v>478</v>
      </c>
      <c r="V61" s="166">
        <v>53072865</v>
      </c>
      <c r="W61" s="173"/>
      <c r="X61" s="173"/>
      <c r="Y61" s="166"/>
      <c r="Z61" s="174">
        <v>818</v>
      </c>
      <c r="AA61" s="175"/>
      <c r="AB61" s="174">
        <v>791</v>
      </c>
      <c r="AC61" s="175">
        <v>16000000</v>
      </c>
      <c r="AD61" s="175">
        <v>0</v>
      </c>
      <c r="AE61" s="175">
        <v>0</v>
      </c>
      <c r="AF61" s="175">
        <v>0</v>
      </c>
      <c r="AG61" s="175">
        <v>0</v>
      </c>
      <c r="AH61" s="175">
        <v>0</v>
      </c>
      <c r="AI61" s="175">
        <v>0</v>
      </c>
      <c r="AJ61" s="175">
        <v>0</v>
      </c>
      <c r="AK61" s="175">
        <v>0</v>
      </c>
      <c r="AL61" s="175">
        <v>0</v>
      </c>
      <c r="AM61" s="175">
        <v>0</v>
      </c>
      <c r="AN61" s="175">
        <v>0</v>
      </c>
      <c r="AO61" s="175">
        <v>0</v>
      </c>
      <c r="AP61" s="175">
        <f t="shared" si="17"/>
        <v>0</v>
      </c>
      <c r="AQ61" s="175">
        <f t="shared" si="18"/>
        <v>16000000</v>
      </c>
      <c r="AR61" s="176">
        <f t="shared" si="19"/>
        <v>0</v>
      </c>
      <c r="AS61" s="176"/>
      <c r="AT61" s="174">
        <v>90</v>
      </c>
      <c r="AU61" s="174">
        <v>97</v>
      </c>
      <c r="AV61" s="175">
        <v>16000000</v>
      </c>
      <c r="AW61" s="174">
        <v>0</v>
      </c>
      <c r="AX61" s="174">
        <v>0</v>
      </c>
      <c r="AY61" s="174">
        <v>0</v>
      </c>
      <c r="AZ61" s="174">
        <v>0</v>
      </c>
      <c r="BA61" s="174">
        <v>0</v>
      </c>
      <c r="BB61" s="174">
        <v>2000000</v>
      </c>
      <c r="BC61" s="174">
        <v>4000000</v>
      </c>
      <c r="BD61" s="174">
        <v>0</v>
      </c>
      <c r="BE61" s="174">
        <v>0</v>
      </c>
      <c r="BF61" s="174">
        <v>0</v>
      </c>
      <c r="BG61" s="174">
        <v>6000000</v>
      </c>
      <c r="BH61" s="174">
        <v>0</v>
      </c>
      <c r="BI61" s="175">
        <f t="shared" si="15"/>
        <v>12000000</v>
      </c>
      <c r="BJ61" s="175">
        <f t="shared" si="16"/>
        <v>4000000</v>
      </c>
      <c r="BK61" s="176">
        <f t="shared" si="20"/>
        <v>0.75</v>
      </c>
      <c r="BL61" s="170">
        <v>29</v>
      </c>
      <c r="BM61" s="170">
        <v>21</v>
      </c>
      <c r="BN61" s="170">
        <v>4000000</v>
      </c>
      <c r="BO61" s="172">
        <v>0</v>
      </c>
      <c r="BP61" s="172">
        <v>0</v>
      </c>
      <c r="BQ61" s="172">
        <v>0</v>
      </c>
      <c r="BR61" s="172">
        <v>0</v>
      </c>
      <c r="BS61" s="172">
        <v>0</v>
      </c>
      <c r="BT61" s="172">
        <v>0</v>
      </c>
      <c r="BU61" s="172">
        <v>0</v>
      </c>
      <c r="BV61" s="172">
        <v>0</v>
      </c>
      <c r="BW61" s="172">
        <v>0</v>
      </c>
      <c r="BX61" s="172">
        <v>0</v>
      </c>
      <c r="BY61" s="172">
        <v>0</v>
      </c>
      <c r="BZ61" s="172">
        <v>4000000</v>
      </c>
      <c r="CA61" s="172">
        <f t="shared" si="5"/>
        <v>4000000</v>
      </c>
      <c r="CB61" s="172">
        <f t="shared" si="6"/>
        <v>0</v>
      </c>
      <c r="CC61" s="494">
        <f t="shared" si="7"/>
        <v>1</v>
      </c>
      <c r="CD61" s="192"/>
      <c r="CE61" s="192"/>
      <c r="CF61" s="172"/>
      <c r="CG61" s="172"/>
      <c r="CH61" s="172"/>
      <c r="CI61" s="172"/>
      <c r="CJ61" s="172"/>
      <c r="CK61" s="172"/>
      <c r="CL61" s="172"/>
      <c r="CM61" s="172"/>
      <c r="CN61" s="172"/>
      <c r="CO61" s="172"/>
      <c r="CP61" s="172"/>
      <c r="CQ61" s="172"/>
      <c r="CR61" s="172"/>
      <c r="CS61" s="172">
        <v>0</v>
      </c>
      <c r="CT61" s="172">
        <v>0</v>
      </c>
      <c r="CU61" s="192" t="e">
        <v>#DIV/0!</v>
      </c>
    </row>
    <row r="62" spans="1:99" s="68" customFormat="1" x14ac:dyDescent="0.25">
      <c r="A62" s="490">
        <v>114</v>
      </c>
      <c r="B62" s="63" t="s">
        <v>112</v>
      </c>
      <c r="C62" s="490">
        <v>1157</v>
      </c>
      <c r="D62" s="63" t="s">
        <v>104</v>
      </c>
      <c r="E62" s="490">
        <v>3</v>
      </c>
      <c r="F62" s="593"/>
      <c r="G62" s="585"/>
      <c r="H62" s="585"/>
      <c r="I62" s="585"/>
      <c r="J62" s="595"/>
      <c r="K62" s="595"/>
      <c r="L62" s="166" t="s">
        <v>479</v>
      </c>
      <c r="M62" s="166" t="s">
        <v>48</v>
      </c>
      <c r="N62" s="166" t="s">
        <v>329</v>
      </c>
      <c r="O62" s="166" t="s">
        <v>320</v>
      </c>
      <c r="P62" s="180">
        <v>41627</v>
      </c>
      <c r="Q62" s="180">
        <v>41659</v>
      </c>
      <c r="R62" s="166" t="s">
        <v>337</v>
      </c>
      <c r="S62" s="166" t="s">
        <v>480</v>
      </c>
      <c r="T62" s="166" t="s">
        <v>481</v>
      </c>
      <c r="U62" s="166" t="s">
        <v>482</v>
      </c>
      <c r="V62" s="166">
        <v>52268409</v>
      </c>
      <c r="W62" s="166" t="s">
        <v>361</v>
      </c>
      <c r="X62" s="188" t="s">
        <v>483</v>
      </c>
      <c r="Y62" s="166"/>
      <c r="Z62" s="174">
        <v>789</v>
      </c>
      <c r="AA62" s="175">
        <v>16000000</v>
      </c>
      <c r="AB62" s="174">
        <v>903</v>
      </c>
      <c r="AC62" s="175">
        <v>9300000</v>
      </c>
      <c r="AD62" s="175">
        <v>0</v>
      </c>
      <c r="AE62" s="175">
        <v>0</v>
      </c>
      <c r="AF62" s="175">
        <v>0</v>
      </c>
      <c r="AG62" s="175">
        <v>0</v>
      </c>
      <c r="AH62" s="175">
        <v>0</v>
      </c>
      <c r="AI62" s="175">
        <v>0</v>
      </c>
      <c r="AJ62" s="175">
        <v>0</v>
      </c>
      <c r="AK62" s="175">
        <v>0</v>
      </c>
      <c r="AL62" s="175">
        <v>0</v>
      </c>
      <c r="AM62" s="175">
        <v>0</v>
      </c>
      <c r="AN62" s="175">
        <v>0</v>
      </c>
      <c r="AO62" s="175">
        <v>0</v>
      </c>
      <c r="AP62" s="175">
        <f t="shared" si="17"/>
        <v>0</v>
      </c>
      <c r="AQ62" s="175">
        <f t="shared" si="18"/>
        <v>9300000</v>
      </c>
      <c r="AR62" s="176">
        <f t="shared" si="19"/>
        <v>0</v>
      </c>
      <c r="AS62" s="176"/>
      <c r="AT62" s="174">
        <v>93</v>
      </c>
      <c r="AU62" s="174">
        <v>100</v>
      </c>
      <c r="AV62" s="175">
        <v>9300000</v>
      </c>
      <c r="AW62" s="174">
        <v>0</v>
      </c>
      <c r="AX62" s="174">
        <v>0</v>
      </c>
      <c r="AY62" s="174">
        <v>0</v>
      </c>
      <c r="AZ62" s="174">
        <v>1550000</v>
      </c>
      <c r="BA62" s="174">
        <v>1550000</v>
      </c>
      <c r="BB62" s="174">
        <v>1550000</v>
      </c>
      <c r="BC62" s="174">
        <v>1550000</v>
      </c>
      <c r="BD62" s="174">
        <v>0</v>
      </c>
      <c r="BE62" s="174">
        <v>0</v>
      </c>
      <c r="BF62" s="174">
        <v>1550000</v>
      </c>
      <c r="BG62" s="174">
        <v>0</v>
      </c>
      <c r="BH62" s="174">
        <v>1550000</v>
      </c>
      <c r="BI62" s="175">
        <f t="shared" si="15"/>
        <v>9300000</v>
      </c>
      <c r="BJ62" s="175">
        <f t="shared" si="16"/>
        <v>0</v>
      </c>
      <c r="BK62" s="176">
        <f t="shared" si="20"/>
        <v>1</v>
      </c>
      <c r="BL62" s="170"/>
      <c r="BM62" s="170"/>
      <c r="BN62" s="170"/>
      <c r="BO62" s="172"/>
      <c r="BP62" s="172"/>
      <c r="BQ62" s="172"/>
      <c r="BR62" s="172"/>
      <c r="BS62" s="172"/>
      <c r="BT62" s="172"/>
      <c r="BU62" s="172"/>
      <c r="BV62" s="172"/>
      <c r="BW62" s="172"/>
      <c r="BX62" s="172"/>
      <c r="BY62" s="172"/>
      <c r="BZ62" s="172"/>
      <c r="CA62" s="172">
        <f t="shared" si="5"/>
        <v>0</v>
      </c>
      <c r="CB62" s="172">
        <f t="shared" si="6"/>
        <v>0</v>
      </c>
      <c r="CC62" s="494" t="e">
        <f t="shared" si="7"/>
        <v>#DIV/0!</v>
      </c>
      <c r="CD62" s="192"/>
      <c r="CE62" s="192"/>
      <c r="CF62" s="172"/>
      <c r="CG62" s="172"/>
      <c r="CH62" s="172"/>
      <c r="CI62" s="172"/>
      <c r="CJ62" s="172"/>
      <c r="CK62" s="172"/>
      <c r="CL62" s="172"/>
      <c r="CM62" s="172"/>
      <c r="CN62" s="172"/>
      <c r="CO62" s="172"/>
      <c r="CP62" s="172"/>
      <c r="CQ62" s="172"/>
      <c r="CR62" s="172"/>
      <c r="CS62" s="172">
        <v>0</v>
      </c>
      <c r="CT62" s="172">
        <v>0</v>
      </c>
      <c r="CU62" s="192" t="e">
        <v>#DIV/0!</v>
      </c>
    </row>
    <row r="63" spans="1:99" s="68" customFormat="1" x14ac:dyDescent="0.25">
      <c r="A63" s="490">
        <v>115</v>
      </c>
      <c r="B63" s="63" t="s">
        <v>116</v>
      </c>
      <c r="C63" s="490">
        <v>1157</v>
      </c>
      <c r="D63" s="63" t="s">
        <v>104</v>
      </c>
      <c r="E63" s="490">
        <v>4</v>
      </c>
      <c r="F63" s="559" t="s">
        <v>53</v>
      </c>
      <c r="G63" s="559">
        <v>1000</v>
      </c>
      <c r="H63" s="559" t="s">
        <v>61</v>
      </c>
      <c r="I63" s="559" t="s">
        <v>118</v>
      </c>
      <c r="J63" s="560"/>
      <c r="K63" s="560"/>
      <c r="L63" s="166" t="s">
        <v>484</v>
      </c>
      <c r="M63" s="166" t="s">
        <v>48</v>
      </c>
      <c r="N63" s="179" t="s">
        <v>319</v>
      </c>
      <c r="O63" s="166" t="s">
        <v>400</v>
      </c>
      <c r="P63" s="180">
        <v>41585</v>
      </c>
      <c r="Q63" s="173"/>
      <c r="R63" s="166" t="s">
        <v>321</v>
      </c>
      <c r="S63" s="189" t="s">
        <v>485</v>
      </c>
      <c r="T63" s="166" t="s">
        <v>486</v>
      </c>
      <c r="U63" s="166" t="s">
        <v>487</v>
      </c>
      <c r="V63" s="189">
        <v>822004163</v>
      </c>
      <c r="W63" s="173"/>
      <c r="X63" s="173"/>
      <c r="Y63" s="166"/>
      <c r="Z63" s="174">
        <v>748</v>
      </c>
      <c r="AA63" s="175">
        <v>271700000</v>
      </c>
      <c r="AB63" s="174">
        <v>778</v>
      </c>
      <c r="AC63" s="175">
        <v>271700000</v>
      </c>
      <c r="AD63" s="175">
        <v>0</v>
      </c>
      <c r="AE63" s="175">
        <v>0</v>
      </c>
      <c r="AF63" s="175">
        <v>0</v>
      </c>
      <c r="AG63" s="175">
        <v>0</v>
      </c>
      <c r="AH63" s="175">
        <v>0</v>
      </c>
      <c r="AI63" s="175">
        <v>0</v>
      </c>
      <c r="AJ63" s="175">
        <v>0</v>
      </c>
      <c r="AK63" s="175">
        <v>0</v>
      </c>
      <c r="AL63" s="175">
        <v>0</v>
      </c>
      <c r="AM63" s="175">
        <v>0</v>
      </c>
      <c r="AN63" s="175">
        <v>0</v>
      </c>
      <c r="AO63" s="175">
        <v>0</v>
      </c>
      <c r="AP63" s="175">
        <f t="shared" si="17"/>
        <v>0</v>
      </c>
      <c r="AQ63" s="175">
        <f t="shared" si="18"/>
        <v>271700000</v>
      </c>
      <c r="AR63" s="176">
        <f t="shared" si="19"/>
        <v>0</v>
      </c>
      <c r="AS63" s="176"/>
      <c r="AT63" s="174">
        <v>88</v>
      </c>
      <c r="AU63" s="174">
        <v>95</v>
      </c>
      <c r="AV63" s="175">
        <v>271700000</v>
      </c>
      <c r="AW63" s="174">
        <v>0</v>
      </c>
      <c r="AX63" s="174">
        <v>0</v>
      </c>
      <c r="AY63" s="174">
        <v>0</v>
      </c>
      <c r="AZ63" s="174">
        <v>55578000</v>
      </c>
      <c r="BA63" s="174">
        <v>0</v>
      </c>
      <c r="BB63" s="174">
        <v>0</v>
      </c>
      <c r="BC63" s="174">
        <v>67300000</v>
      </c>
      <c r="BD63" s="174">
        <v>0</v>
      </c>
      <c r="BE63" s="174">
        <v>0</v>
      </c>
      <c r="BF63" s="174">
        <v>135069500</v>
      </c>
      <c r="BG63" s="174">
        <v>0</v>
      </c>
      <c r="BH63" s="174">
        <v>0</v>
      </c>
      <c r="BI63" s="175">
        <f t="shared" si="15"/>
        <v>257947500</v>
      </c>
      <c r="BJ63" s="175">
        <f t="shared" si="16"/>
        <v>13752500</v>
      </c>
      <c r="BK63" s="176">
        <f t="shared" si="20"/>
        <v>0.94938351122561648</v>
      </c>
      <c r="BL63" s="170">
        <v>28</v>
      </c>
      <c r="BM63" s="170">
        <v>386</v>
      </c>
      <c r="BN63" s="170">
        <v>13752500</v>
      </c>
      <c r="BO63" s="172">
        <v>0</v>
      </c>
      <c r="BP63" s="172">
        <v>0</v>
      </c>
      <c r="BQ63" s="172">
        <v>0</v>
      </c>
      <c r="BR63" s="172">
        <v>0</v>
      </c>
      <c r="BS63" s="172">
        <v>0</v>
      </c>
      <c r="BT63" s="172">
        <v>0</v>
      </c>
      <c r="BU63" s="172">
        <v>0</v>
      </c>
      <c r="BV63" s="172">
        <v>0</v>
      </c>
      <c r="BW63" s="172">
        <v>0</v>
      </c>
      <c r="BX63" s="172">
        <v>0</v>
      </c>
      <c r="BY63" s="172">
        <v>0</v>
      </c>
      <c r="BZ63" s="172">
        <v>13752500</v>
      </c>
      <c r="CA63" s="172">
        <f t="shared" si="5"/>
        <v>13752500</v>
      </c>
      <c r="CB63" s="172">
        <f t="shared" si="6"/>
        <v>0</v>
      </c>
      <c r="CC63" s="494">
        <f t="shared" si="7"/>
        <v>1</v>
      </c>
      <c r="CD63" s="192"/>
      <c r="CE63" s="192"/>
      <c r="CF63" s="172"/>
      <c r="CG63" s="172"/>
      <c r="CH63" s="172"/>
      <c r="CI63" s="172"/>
      <c r="CJ63" s="172"/>
      <c r="CK63" s="172"/>
      <c r="CL63" s="172"/>
      <c r="CM63" s="172"/>
      <c r="CN63" s="172"/>
      <c r="CO63" s="172"/>
      <c r="CP63" s="172"/>
      <c r="CQ63" s="172"/>
      <c r="CR63" s="172"/>
      <c r="CS63" s="172">
        <v>0</v>
      </c>
      <c r="CT63" s="172">
        <v>0</v>
      </c>
      <c r="CU63" s="192" t="e">
        <v>#DIV/0!</v>
      </c>
    </row>
    <row r="64" spans="1:99" s="68" customFormat="1" x14ac:dyDescent="0.25">
      <c r="A64" s="490">
        <v>115</v>
      </c>
      <c r="B64" s="63" t="s">
        <v>116</v>
      </c>
      <c r="C64" s="490">
        <v>1157</v>
      </c>
      <c r="D64" s="63" t="s">
        <v>104</v>
      </c>
      <c r="E64" s="490">
        <v>4</v>
      </c>
      <c r="F64" s="559"/>
      <c r="G64" s="559"/>
      <c r="H64" s="559"/>
      <c r="I64" s="559"/>
      <c r="J64" s="561"/>
      <c r="K64" s="561"/>
      <c r="L64" s="166" t="s">
        <v>488</v>
      </c>
      <c r="M64" s="166" t="s">
        <v>48</v>
      </c>
      <c r="N64" s="166" t="s">
        <v>430</v>
      </c>
      <c r="O64" s="166" t="s">
        <v>400</v>
      </c>
      <c r="P64" s="180">
        <v>41639</v>
      </c>
      <c r="Q64" s="173"/>
      <c r="R64" s="166" t="s">
        <v>489</v>
      </c>
      <c r="S64" s="166" t="s">
        <v>490</v>
      </c>
      <c r="T64" s="166" t="s">
        <v>491</v>
      </c>
      <c r="U64" s="166" t="s">
        <v>487</v>
      </c>
      <c r="V64" s="166">
        <v>822004163</v>
      </c>
      <c r="W64" s="173"/>
      <c r="X64" s="173"/>
      <c r="Y64" s="166"/>
      <c r="Z64" s="174">
        <v>946</v>
      </c>
      <c r="AA64" s="175">
        <v>0</v>
      </c>
      <c r="AB64" s="174">
        <v>951</v>
      </c>
      <c r="AC64" s="175">
        <v>22509970</v>
      </c>
      <c r="AD64" s="175">
        <v>0</v>
      </c>
      <c r="AE64" s="175">
        <v>0</v>
      </c>
      <c r="AF64" s="175">
        <v>0</v>
      </c>
      <c r="AG64" s="175">
        <v>0</v>
      </c>
      <c r="AH64" s="175">
        <v>0</v>
      </c>
      <c r="AI64" s="175">
        <v>0</v>
      </c>
      <c r="AJ64" s="175">
        <v>0</v>
      </c>
      <c r="AK64" s="175">
        <v>0</v>
      </c>
      <c r="AL64" s="175">
        <v>0</v>
      </c>
      <c r="AM64" s="175">
        <v>0</v>
      </c>
      <c r="AN64" s="175">
        <v>0</v>
      </c>
      <c r="AO64" s="175">
        <v>0</v>
      </c>
      <c r="AP64" s="175">
        <f t="shared" si="17"/>
        <v>0</v>
      </c>
      <c r="AQ64" s="175">
        <f t="shared" si="18"/>
        <v>22509970</v>
      </c>
      <c r="AR64" s="176">
        <f t="shared" si="19"/>
        <v>0</v>
      </c>
      <c r="AS64" s="176"/>
      <c r="AT64" s="174">
        <v>94</v>
      </c>
      <c r="AU64" s="174">
        <v>101</v>
      </c>
      <c r="AV64" s="175">
        <v>22509970</v>
      </c>
      <c r="AW64" s="174">
        <v>0</v>
      </c>
      <c r="AX64" s="174">
        <v>0</v>
      </c>
      <c r="AY64" s="174">
        <v>0</v>
      </c>
      <c r="AZ64" s="174">
        <v>0</v>
      </c>
      <c r="BA64" s="174">
        <v>0</v>
      </c>
      <c r="BB64" s="174">
        <v>0</v>
      </c>
      <c r="BC64" s="174">
        <v>0</v>
      </c>
      <c r="BD64" s="174">
        <v>0</v>
      </c>
      <c r="BE64" s="174">
        <v>0</v>
      </c>
      <c r="BF64" s="174">
        <v>0</v>
      </c>
      <c r="BG64" s="174">
        <v>0</v>
      </c>
      <c r="BH64" s="174">
        <v>0</v>
      </c>
      <c r="BI64" s="175">
        <f t="shared" si="15"/>
        <v>0</v>
      </c>
      <c r="BJ64" s="175">
        <f t="shared" si="16"/>
        <v>22509970</v>
      </c>
      <c r="BK64" s="176">
        <f t="shared" si="20"/>
        <v>0</v>
      </c>
      <c r="BL64" s="170">
        <v>31</v>
      </c>
      <c r="BM64" s="170">
        <v>387</v>
      </c>
      <c r="BN64" s="170">
        <v>22509970</v>
      </c>
      <c r="BO64" s="172">
        <v>0</v>
      </c>
      <c r="BP64" s="172">
        <v>0</v>
      </c>
      <c r="BQ64" s="172">
        <v>0</v>
      </c>
      <c r="BR64" s="172">
        <v>0</v>
      </c>
      <c r="BS64" s="172">
        <v>0</v>
      </c>
      <c r="BT64" s="172">
        <v>0</v>
      </c>
      <c r="BU64" s="172">
        <v>0</v>
      </c>
      <c r="BV64" s="172">
        <v>0</v>
      </c>
      <c r="BW64" s="172">
        <v>0</v>
      </c>
      <c r="BX64" s="172">
        <v>0</v>
      </c>
      <c r="BY64" s="172">
        <v>0</v>
      </c>
      <c r="BZ64" s="172">
        <v>13373973</v>
      </c>
      <c r="CA64" s="172">
        <f t="shared" si="5"/>
        <v>13373973</v>
      </c>
      <c r="CB64" s="172">
        <f t="shared" si="6"/>
        <v>9135997</v>
      </c>
      <c r="CC64" s="494">
        <f t="shared" si="7"/>
        <v>0.59413553194428959</v>
      </c>
      <c r="CD64" s="192"/>
      <c r="CE64" s="192"/>
      <c r="CF64" s="172"/>
      <c r="CG64" s="172"/>
      <c r="CH64" s="172"/>
      <c r="CI64" s="172"/>
      <c r="CJ64" s="172"/>
      <c r="CK64" s="172"/>
      <c r="CL64" s="172"/>
      <c r="CM64" s="172"/>
      <c r="CN64" s="172"/>
      <c r="CO64" s="172"/>
      <c r="CP64" s="172"/>
      <c r="CQ64" s="172"/>
      <c r="CR64" s="172"/>
      <c r="CS64" s="172">
        <v>0</v>
      </c>
      <c r="CT64" s="172">
        <v>0</v>
      </c>
      <c r="CU64" s="192" t="e">
        <v>#DIV/0!</v>
      </c>
    </row>
    <row r="65" spans="1:99" s="68" customFormat="1" x14ac:dyDescent="0.25">
      <c r="A65" s="490">
        <v>115</v>
      </c>
      <c r="B65" s="63" t="s">
        <v>116</v>
      </c>
      <c r="C65" s="490">
        <v>1157</v>
      </c>
      <c r="D65" s="63" t="s">
        <v>104</v>
      </c>
      <c r="E65" s="490">
        <v>4</v>
      </c>
      <c r="F65" s="559"/>
      <c r="G65" s="559"/>
      <c r="H65" s="559"/>
      <c r="I65" s="559"/>
      <c r="J65" s="561"/>
      <c r="K65" s="561"/>
      <c r="L65" s="166"/>
      <c r="M65" s="166"/>
      <c r="N65" s="166"/>
      <c r="O65" s="177"/>
      <c r="P65" s="190"/>
      <c r="Q65" s="190"/>
      <c r="R65" s="177"/>
      <c r="S65" s="177"/>
      <c r="T65" s="177"/>
      <c r="U65" s="177"/>
      <c r="V65" s="177"/>
      <c r="W65" s="166"/>
      <c r="X65" s="188"/>
      <c r="Y65" s="177"/>
      <c r="Z65" s="174"/>
      <c r="AA65" s="175"/>
      <c r="AB65" s="174"/>
      <c r="AC65" s="175"/>
      <c r="AD65" s="175"/>
      <c r="AE65" s="175"/>
      <c r="AF65" s="175"/>
      <c r="AG65" s="175"/>
      <c r="AH65" s="175"/>
      <c r="AI65" s="175"/>
      <c r="AJ65" s="175"/>
      <c r="AK65" s="175"/>
      <c r="AL65" s="175"/>
      <c r="AM65" s="175"/>
      <c r="AN65" s="175"/>
      <c r="AO65" s="175"/>
      <c r="AP65" s="175"/>
      <c r="AQ65" s="175"/>
      <c r="AR65" s="176"/>
      <c r="AS65" s="176"/>
      <c r="AT65" s="174"/>
      <c r="AU65" s="174"/>
      <c r="AV65" s="175"/>
      <c r="AW65" s="174"/>
      <c r="AX65" s="174"/>
      <c r="AY65" s="174"/>
      <c r="AZ65" s="174"/>
      <c r="BA65" s="174"/>
      <c r="BB65" s="174"/>
      <c r="BC65" s="174"/>
      <c r="BD65" s="174"/>
      <c r="BE65" s="174"/>
      <c r="BF65" s="174"/>
      <c r="BG65" s="174"/>
      <c r="BH65" s="174"/>
      <c r="BI65" s="175">
        <f t="shared" si="15"/>
        <v>0</v>
      </c>
      <c r="BJ65" s="175">
        <f t="shared" si="16"/>
        <v>0</v>
      </c>
      <c r="BK65" s="176"/>
      <c r="BL65" s="170"/>
      <c r="BM65" s="170"/>
      <c r="BN65" s="170"/>
      <c r="BO65" s="172"/>
      <c r="BP65" s="172"/>
      <c r="BQ65" s="172"/>
      <c r="BR65" s="172"/>
      <c r="BS65" s="172"/>
      <c r="BT65" s="172"/>
      <c r="BU65" s="172"/>
      <c r="BV65" s="172"/>
      <c r="BW65" s="172"/>
      <c r="BX65" s="172"/>
      <c r="BY65" s="172"/>
      <c r="BZ65" s="172"/>
      <c r="CA65" s="172">
        <f t="shared" si="5"/>
        <v>0</v>
      </c>
      <c r="CB65" s="172">
        <f t="shared" si="6"/>
        <v>0</v>
      </c>
      <c r="CC65" s="494" t="e">
        <f t="shared" si="7"/>
        <v>#DIV/0!</v>
      </c>
      <c r="CD65" s="192"/>
      <c r="CE65" s="192"/>
      <c r="CF65" s="172"/>
      <c r="CG65" s="172"/>
      <c r="CH65" s="172"/>
      <c r="CI65" s="172"/>
      <c r="CJ65" s="172"/>
      <c r="CK65" s="172"/>
      <c r="CL65" s="172"/>
      <c r="CM65" s="172"/>
      <c r="CN65" s="172"/>
      <c r="CO65" s="172"/>
      <c r="CP65" s="172"/>
      <c r="CQ65" s="172"/>
      <c r="CR65" s="172"/>
      <c r="CS65" s="172">
        <v>0</v>
      </c>
      <c r="CT65" s="172">
        <v>0</v>
      </c>
      <c r="CU65" s="192" t="e">
        <v>#DIV/0!</v>
      </c>
    </row>
    <row r="66" spans="1:99" s="68" customFormat="1" ht="13.5" customHeight="1" x14ac:dyDescent="0.25">
      <c r="A66" s="490">
        <v>116</v>
      </c>
      <c r="B66" s="63" t="s">
        <v>120</v>
      </c>
      <c r="C66" s="490">
        <v>1161</v>
      </c>
      <c r="D66" s="63" t="s">
        <v>122</v>
      </c>
      <c r="E66" s="490">
        <v>3</v>
      </c>
      <c r="F66" s="584" t="s">
        <v>123</v>
      </c>
      <c r="G66" s="584">
        <v>2</v>
      </c>
      <c r="H66" s="584" t="s">
        <v>124</v>
      </c>
      <c r="I66" s="584" t="s">
        <v>125</v>
      </c>
      <c r="J66" s="596"/>
      <c r="K66" s="596"/>
      <c r="L66" s="166" t="s">
        <v>492</v>
      </c>
      <c r="M66" s="166" t="s">
        <v>493</v>
      </c>
      <c r="N66" s="166" t="s">
        <v>336</v>
      </c>
      <c r="O66" s="166" t="s">
        <v>309</v>
      </c>
      <c r="P66" s="180">
        <v>41512</v>
      </c>
      <c r="Q66" s="180">
        <v>41522</v>
      </c>
      <c r="R66" s="166" t="s">
        <v>395</v>
      </c>
      <c r="S66" s="189" t="s">
        <v>494</v>
      </c>
      <c r="T66" s="181" t="s">
        <v>495</v>
      </c>
      <c r="U66" s="166" t="s">
        <v>496</v>
      </c>
      <c r="V66" s="182">
        <v>900314764</v>
      </c>
      <c r="W66" s="166" t="s">
        <v>497</v>
      </c>
      <c r="X66" s="166" t="s">
        <v>498</v>
      </c>
      <c r="Y66" s="501"/>
      <c r="Z66" s="174">
        <v>644</v>
      </c>
      <c r="AA66" s="175">
        <v>14691485</v>
      </c>
      <c r="AB66" s="174">
        <v>651</v>
      </c>
      <c r="AC66" s="175">
        <v>14392540</v>
      </c>
      <c r="AD66" s="175">
        <v>0</v>
      </c>
      <c r="AE66" s="175">
        <v>0</v>
      </c>
      <c r="AF66" s="175">
        <v>0</v>
      </c>
      <c r="AG66" s="175">
        <v>0</v>
      </c>
      <c r="AH66" s="175">
        <v>0</v>
      </c>
      <c r="AI66" s="175">
        <v>0</v>
      </c>
      <c r="AJ66" s="175">
        <v>0</v>
      </c>
      <c r="AK66" s="175">
        <v>0</v>
      </c>
      <c r="AL66" s="175">
        <v>0</v>
      </c>
      <c r="AM66" s="175">
        <v>0</v>
      </c>
      <c r="AN66" s="175">
        <v>14392540</v>
      </c>
      <c r="AO66" s="175">
        <v>0</v>
      </c>
      <c r="AP66" s="175">
        <f>SUM(AD66:AO66)</f>
        <v>14392540</v>
      </c>
      <c r="AQ66" s="175">
        <f>+AC66-AP66</f>
        <v>0</v>
      </c>
      <c r="AR66" s="176">
        <f>AP66/AC66</f>
        <v>1</v>
      </c>
      <c r="AS66" s="176"/>
      <c r="AT66" s="174"/>
      <c r="AU66" s="174"/>
      <c r="AV66" s="175"/>
      <c r="AW66" s="174"/>
      <c r="AX66" s="174"/>
      <c r="AY66" s="174"/>
      <c r="AZ66" s="174"/>
      <c r="BA66" s="174">
        <v>0</v>
      </c>
      <c r="BB66" s="174">
        <v>0</v>
      </c>
      <c r="BC66" s="174">
        <v>0</v>
      </c>
      <c r="BD66" s="174">
        <v>0</v>
      </c>
      <c r="BE66" s="174">
        <v>0</v>
      </c>
      <c r="BF66" s="174">
        <v>0</v>
      </c>
      <c r="BG66" s="174">
        <v>0</v>
      </c>
      <c r="BH66" s="174">
        <v>0</v>
      </c>
      <c r="BI66" s="175">
        <f t="shared" si="15"/>
        <v>0</v>
      </c>
      <c r="BJ66" s="175">
        <f t="shared" si="16"/>
        <v>0</v>
      </c>
      <c r="BK66" s="176"/>
      <c r="BL66" s="170"/>
      <c r="BM66" s="170"/>
      <c r="BN66" s="170"/>
      <c r="BO66" s="172"/>
      <c r="BP66" s="172"/>
      <c r="BQ66" s="172"/>
      <c r="BR66" s="172"/>
      <c r="BS66" s="172"/>
      <c r="BT66" s="172"/>
      <c r="BU66" s="172"/>
      <c r="BV66" s="172"/>
      <c r="BW66" s="172"/>
      <c r="BX66" s="172"/>
      <c r="BY66" s="172"/>
      <c r="BZ66" s="172"/>
      <c r="CA66" s="172">
        <f t="shared" si="5"/>
        <v>0</v>
      </c>
      <c r="CB66" s="172">
        <f t="shared" si="6"/>
        <v>0</v>
      </c>
      <c r="CC66" s="494" t="e">
        <f t="shared" si="7"/>
        <v>#DIV/0!</v>
      </c>
      <c r="CD66" s="192"/>
      <c r="CE66" s="192"/>
      <c r="CF66" s="172"/>
      <c r="CG66" s="172"/>
      <c r="CH66" s="172"/>
      <c r="CI66" s="172"/>
      <c r="CJ66" s="172"/>
      <c r="CK66" s="172"/>
      <c r="CL66" s="172"/>
      <c r="CM66" s="172"/>
      <c r="CN66" s="172"/>
      <c r="CO66" s="172"/>
      <c r="CP66" s="172"/>
      <c r="CQ66" s="172"/>
      <c r="CR66" s="172"/>
      <c r="CS66" s="172">
        <v>0</v>
      </c>
      <c r="CT66" s="172">
        <v>0</v>
      </c>
      <c r="CU66" s="192" t="e">
        <v>#DIV/0!</v>
      </c>
    </row>
    <row r="67" spans="1:99" s="68" customFormat="1" x14ac:dyDescent="0.25">
      <c r="A67" s="490">
        <v>116</v>
      </c>
      <c r="B67" s="63" t="s">
        <v>120</v>
      </c>
      <c r="C67" s="490">
        <v>1161</v>
      </c>
      <c r="D67" s="63" t="s">
        <v>122</v>
      </c>
      <c r="E67" s="490">
        <v>3</v>
      </c>
      <c r="F67" s="585"/>
      <c r="G67" s="585"/>
      <c r="H67" s="585"/>
      <c r="I67" s="585"/>
      <c r="J67" s="597"/>
      <c r="K67" s="597"/>
      <c r="L67" s="166" t="s">
        <v>499</v>
      </c>
      <c r="M67" s="166" t="s">
        <v>493</v>
      </c>
      <c r="N67" s="166" t="s">
        <v>464</v>
      </c>
      <c r="O67" s="166" t="s">
        <v>356</v>
      </c>
      <c r="P67" s="180">
        <v>41635</v>
      </c>
      <c r="Q67" s="173"/>
      <c r="R67" s="166" t="s">
        <v>500</v>
      </c>
      <c r="S67" s="166" t="s">
        <v>501</v>
      </c>
      <c r="T67" s="166" t="s">
        <v>502</v>
      </c>
      <c r="U67" s="166" t="s">
        <v>503</v>
      </c>
      <c r="V67" s="166">
        <v>900166840</v>
      </c>
      <c r="W67" s="191"/>
      <c r="X67" s="166" t="s">
        <v>315</v>
      </c>
      <c r="Y67" s="166"/>
      <c r="Z67" s="174">
        <v>835</v>
      </c>
      <c r="AA67" s="175">
        <v>245124000</v>
      </c>
      <c r="AB67" s="174">
        <v>883</v>
      </c>
      <c r="AC67" s="175">
        <v>238824000</v>
      </c>
      <c r="AD67" s="175">
        <v>0</v>
      </c>
      <c r="AE67" s="175">
        <v>0</v>
      </c>
      <c r="AF67" s="175">
        <v>0</v>
      </c>
      <c r="AG67" s="175">
        <v>0</v>
      </c>
      <c r="AH67" s="175">
        <v>0</v>
      </c>
      <c r="AI67" s="175">
        <v>0</v>
      </c>
      <c r="AJ67" s="175">
        <v>0</v>
      </c>
      <c r="AK67" s="175">
        <v>0</v>
      </c>
      <c r="AL67" s="175">
        <v>0</v>
      </c>
      <c r="AM67" s="175">
        <v>0</v>
      </c>
      <c r="AN67" s="175">
        <v>0</v>
      </c>
      <c r="AO67" s="175">
        <v>0</v>
      </c>
      <c r="AP67" s="175">
        <f>SUM(AD67:AO67)</f>
        <v>0</v>
      </c>
      <c r="AQ67" s="175">
        <f>+AC67-AP67</f>
        <v>238824000</v>
      </c>
      <c r="AR67" s="176">
        <f>AP67/AC67</f>
        <v>0</v>
      </c>
      <c r="AS67" s="176"/>
      <c r="AT67" s="174">
        <v>181</v>
      </c>
      <c r="AU67" s="174">
        <v>181</v>
      </c>
      <c r="AV67" s="175">
        <v>238824000</v>
      </c>
      <c r="AW67" s="174">
        <v>0</v>
      </c>
      <c r="AX67" s="174">
        <v>0</v>
      </c>
      <c r="AY67" s="174">
        <v>0</v>
      </c>
      <c r="AZ67" s="174">
        <v>0</v>
      </c>
      <c r="BA67" s="174">
        <v>0</v>
      </c>
      <c r="BB67" s="174">
        <v>71647200</v>
      </c>
      <c r="BC67" s="174">
        <v>0</v>
      </c>
      <c r="BD67" s="174">
        <v>0</v>
      </c>
      <c r="BE67" s="174">
        <v>56682000</v>
      </c>
      <c r="BF67" s="174">
        <v>110494800</v>
      </c>
      <c r="BG67" s="174">
        <v>0</v>
      </c>
      <c r="BH67" s="174">
        <v>0</v>
      </c>
      <c r="BI67" s="175">
        <f t="shared" ref="BI67:BI98" si="21">SUM(AW67:BH67)</f>
        <v>238824000</v>
      </c>
      <c r="BJ67" s="175">
        <f t="shared" ref="BJ67:BJ98" si="22">+AV67-BI67</f>
        <v>0</v>
      </c>
      <c r="BK67" s="176">
        <f>+BI67/AV67</f>
        <v>1</v>
      </c>
      <c r="BL67" s="170"/>
      <c r="BM67" s="170"/>
      <c r="BN67" s="170"/>
      <c r="BO67" s="172"/>
      <c r="BP67" s="172"/>
      <c r="BQ67" s="172"/>
      <c r="BR67" s="172"/>
      <c r="BS67" s="172"/>
      <c r="BT67" s="172"/>
      <c r="BU67" s="172"/>
      <c r="BV67" s="172"/>
      <c r="BW67" s="172"/>
      <c r="BX67" s="172"/>
      <c r="BY67" s="172"/>
      <c r="BZ67" s="172"/>
      <c r="CA67" s="172">
        <f t="shared" si="5"/>
        <v>0</v>
      </c>
      <c r="CB67" s="172">
        <f t="shared" si="6"/>
        <v>0</v>
      </c>
      <c r="CC67" s="494" t="e">
        <f t="shared" si="7"/>
        <v>#DIV/0!</v>
      </c>
      <c r="CD67" s="192"/>
      <c r="CE67" s="192"/>
      <c r="CF67" s="172"/>
      <c r="CG67" s="172"/>
      <c r="CH67" s="172"/>
      <c r="CI67" s="172"/>
      <c r="CJ67" s="172"/>
      <c r="CK67" s="172"/>
      <c r="CL67" s="172"/>
      <c r="CM67" s="172"/>
      <c r="CN67" s="172"/>
      <c r="CO67" s="172"/>
      <c r="CP67" s="172"/>
      <c r="CQ67" s="172"/>
      <c r="CR67" s="172"/>
      <c r="CS67" s="172">
        <v>0</v>
      </c>
      <c r="CT67" s="172">
        <v>0</v>
      </c>
      <c r="CU67" s="192" t="e">
        <v>#DIV/0!</v>
      </c>
    </row>
    <row r="68" spans="1:99" s="68" customFormat="1" x14ac:dyDescent="0.25">
      <c r="A68" s="490">
        <v>116</v>
      </c>
      <c r="B68" s="63" t="s">
        <v>120</v>
      </c>
      <c r="C68" s="490">
        <v>1161</v>
      </c>
      <c r="D68" s="63" t="s">
        <v>122</v>
      </c>
      <c r="E68" s="490">
        <v>3</v>
      </c>
      <c r="F68" s="585"/>
      <c r="G68" s="585"/>
      <c r="H68" s="585"/>
      <c r="I68" s="585"/>
      <c r="J68" s="597"/>
      <c r="K68" s="597"/>
      <c r="L68" s="166"/>
      <c r="M68" s="166"/>
      <c r="N68" s="173"/>
      <c r="O68" s="166"/>
      <c r="P68" s="173"/>
      <c r="Q68" s="173"/>
      <c r="R68" s="191"/>
      <c r="S68" s="191"/>
      <c r="T68" s="191"/>
      <c r="U68" s="166"/>
      <c r="V68" s="191"/>
      <c r="W68" s="191"/>
      <c r="X68" s="191"/>
      <c r="Y68" s="166"/>
      <c r="Z68" s="174"/>
      <c r="AA68" s="175"/>
      <c r="AB68" s="174"/>
      <c r="AC68" s="175"/>
      <c r="AD68" s="175"/>
      <c r="AE68" s="175"/>
      <c r="AF68" s="175"/>
      <c r="AG68" s="175"/>
      <c r="AH68" s="175"/>
      <c r="AI68" s="175"/>
      <c r="AJ68" s="175"/>
      <c r="AK68" s="175"/>
      <c r="AL68" s="175"/>
      <c r="AM68" s="175"/>
      <c r="AN68" s="175"/>
      <c r="AO68" s="175"/>
      <c r="AP68" s="175"/>
      <c r="AQ68" s="175"/>
      <c r="AR68" s="176"/>
      <c r="AS68" s="176"/>
      <c r="AT68" s="174"/>
      <c r="AU68" s="174"/>
      <c r="AV68" s="175"/>
      <c r="AW68" s="174"/>
      <c r="AX68" s="174"/>
      <c r="AY68" s="174"/>
      <c r="AZ68" s="174"/>
      <c r="BA68" s="174"/>
      <c r="BB68" s="174"/>
      <c r="BC68" s="174"/>
      <c r="BD68" s="174"/>
      <c r="BE68" s="174"/>
      <c r="BF68" s="174"/>
      <c r="BG68" s="174"/>
      <c r="BH68" s="174"/>
      <c r="BI68" s="175">
        <f t="shared" si="21"/>
        <v>0</v>
      </c>
      <c r="BJ68" s="175">
        <f t="shared" si="22"/>
        <v>0</v>
      </c>
      <c r="BK68" s="176"/>
      <c r="BL68" s="170"/>
      <c r="BM68" s="170"/>
      <c r="BN68" s="170"/>
      <c r="BO68" s="172"/>
      <c r="BP68" s="172"/>
      <c r="BQ68" s="172"/>
      <c r="BR68" s="172"/>
      <c r="BS68" s="172"/>
      <c r="BT68" s="172"/>
      <c r="BU68" s="172"/>
      <c r="BV68" s="172"/>
      <c r="BW68" s="172"/>
      <c r="BX68" s="172"/>
      <c r="BY68" s="172"/>
      <c r="BZ68" s="172"/>
      <c r="CA68" s="172">
        <f t="shared" ref="CA68:CA131" si="23">SUM(BO68:BZ68)</f>
        <v>0</v>
      </c>
      <c r="CB68" s="172">
        <f t="shared" ref="CB68:CB131" si="24">+BN68-CA68</f>
        <v>0</v>
      </c>
      <c r="CC68" s="494" t="e">
        <f t="shared" ref="CC68:CC131" si="25">+CA68/BN68</f>
        <v>#DIV/0!</v>
      </c>
      <c r="CD68" s="192"/>
      <c r="CE68" s="192"/>
      <c r="CF68" s="172"/>
      <c r="CG68" s="172"/>
      <c r="CH68" s="172"/>
      <c r="CI68" s="172"/>
      <c r="CJ68" s="172"/>
      <c r="CK68" s="172"/>
      <c r="CL68" s="172"/>
      <c r="CM68" s="172"/>
      <c r="CN68" s="172"/>
      <c r="CO68" s="172"/>
      <c r="CP68" s="172"/>
      <c r="CQ68" s="172"/>
      <c r="CR68" s="172"/>
      <c r="CS68" s="172">
        <v>0</v>
      </c>
      <c r="CT68" s="172">
        <v>0</v>
      </c>
      <c r="CU68" s="192" t="e">
        <v>#DIV/0!</v>
      </c>
    </row>
    <row r="69" spans="1:99" s="68" customFormat="1" ht="13.5" customHeight="1" x14ac:dyDescent="0.25">
      <c r="A69" s="491">
        <v>117</v>
      </c>
      <c r="B69" s="65" t="s">
        <v>128</v>
      </c>
      <c r="C69" s="491">
        <v>1161</v>
      </c>
      <c r="D69" s="65" t="s">
        <v>122</v>
      </c>
      <c r="E69" s="491">
        <v>1</v>
      </c>
      <c r="F69" s="584" t="s">
        <v>130</v>
      </c>
      <c r="G69" s="584">
        <v>9</v>
      </c>
      <c r="H69" s="584" t="s">
        <v>131</v>
      </c>
      <c r="I69" s="584" t="s">
        <v>132</v>
      </c>
      <c r="J69" s="586"/>
      <c r="K69" s="586"/>
      <c r="L69" s="166" t="s">
        <v>504</v>
      </c>
      <c r="M69" s="166" t="s">
        <v>493</v>
      </c>
      <c r="N69" s="166" t="s">
        <v>319</v>
      </c>
      <c r="O69" s="166" t="s">
        <v>400</v>
      </c>
      <c r="P69" s="180">
        <v>41334</v>
      </c>
      <c r="Q69" s="180">
        <v>41346</v>
      </c>
      <c r="R69" s="166" t="s">
        <v>378</v>
      </c>
      <c r="S69" s="166" t="s">
        <v>505</v>
      </c>
      <c r="T69" s="166" t="s">
        <v>506</v>
      </c>
      <c r="U69" s="166" t="s">
        <v>507</v>
      </c>
      <c r="V69" s="166" t="s">
        <v>508</v>
      </c>
      <c r="W69" s="166" t="s">
        <v>509</v>
      </c>
      <c r="X69" s="166" t="s">
        <v>510</v>
      </c>
      <c r="Y69" s="166"/>
      <c r="Z69" s="174">
        <v>389</v>
      </c>
      <c r="AA69" s="175">
        <v>19773000</v>
      </c>
      <c r="AB69" s="174">
        <v>328</v>
      </c>
      <c r="AC69" s="175">
        <v>19773000</v>
      </c>
      <c r="AD69" s="175">
        <v>0</v>
      </c>
      <c r="AE69" s="175">
        <v>0</v>
      </c>
      <c r="AF69" s="175">
        <v>0</v>
      </c>
      <c r="AG69" s="175">
        <v>7909200</v>
      </c>
      <c r="AH69" s="175">
        <v>0</v>
      </c>
      <c r="AI69" s="175">
        <v>11863800</v>
      </c>
      <c r="AJ69" s="175">
        <v>0</v>
      </c>
      <c r="AK69" s="175">
        <v>0</v>
      </c>
      <c r="AL69" s="175">
        <v>0</v>
      </c>
      <c r="AM69" s="175">
        <v>0</v>
      </c>
      <c r="AN69" s="175">
        <v>0</v>
      </c>
      <c r="AO69" s="175">
        <v>0</v>
      </c>
      <c r="AP69" s="175">
        <f t="shared" ref="AP69:AP95" si="26">SUM(AD69:AO69)</f>
        <v>19773000</v>
      </c>
      <c r="AQ69" s="175">
        <f t="shared" ref="AQ69:AQ95" si="27">+AC69-AP69</f>
        <v>0</v>
      </c>
      <c r="AR69" s="176">
        <f t="shared" ref="AR69:AR95" si="28">AP69/AC69</f>
        <v>1</v>
      </c>
      <c r="AS69" s="176"/>
      <c r="AT69" s="174"/>
      <c r="AU69" s="174"/>
      <c r="AV69" s="175"/>
      <c r="AW69" s="174"/>
      <c r="AX69" s="174"/>
      <c r="AY69" s="174"/>
      <c r="AZ69" s="174"/>
      <c r="BA69" s="174">
        <v>0</v>
      </c>
      <c r="BB69" s="174">
        <v>0</v>
      </c>
      <c r="BC69" s="174">
        <v>0</v>
      </c>
      <c r="BD69" s="174">
        <v>0</v>
      </c>
      <c r="BE69" s="174">
        <v>0</v>
      </c>
      <c r="BF69" s="174">
        <v>0</v>
      </c>
      <c r="BG69" s="174">
        <v>0</v>
      </c>
      <c r="BH69" s="174">
        <v>0</v>
      </c>
      <c r="BI69" s="175">
        <f t="shared" si="21"/>
        <v>0</v>
      </c>
      <c r="BJ69" s="175">
        <f t="shared" si="22"/>
        <v>0</v>
      </c>
      <c r="BK69" s="176"/>
      <c r="BL69" s="170"/>
      <c r="BM69" s="170"/>
      <c r="BN69" s="170"/>
      <c r="BO69" s="172"/>
      <c r="BP69" s="172"/>
      <c r="BQ69" s="172"/>
      <c r="BR69" s="172"/>
      <c r="BS69" s="172"/>
      <c r="BT69" s="172"/>
      <c r="BU69" s="172"/>
      <c r="BV69" s="172"/>
      <c r="BW69" s="172"/>
      <c r="BX69" s="172"/>
      <c r="BY69" s="172"/>
      <c r="BZ69" s="172"/>
      <c r="CA69" s="172">
        <f t="shared" si="23"/>
        <v>0</v>
      </c>
      <c r="CB69" s="172">
        <f t="shared" si="24"/>
        <v>0</v>
      </c>
      <c r="CC69" s="494" t="e">
        <f t="shared" si="25"/>
        <v>#DIV/0!</v>
      </c>
      <c r="CD69" s="192"/>
      <c r="CE69" s="192"/>
      <c r="CF69" s="172"/>
      <c r="CG69" s="172"/>
      <c r="CH69" s="172"/>
      <c r="CI69" s="172"/>
      <c r="CJ69" s="172"/>
      <c r="CK69" s="172"/>
      <c r="CL69" s="172"/>
      <c r="CM69" s="172"/>
      <c r="CN69" s="172"/>
      <c r="CO69" s="172"/>
      <c r="CP69" s="172"/>
      <c r="CQ69" s="172"/>
      <c r="CR69" s="172"/>
      <c r="CS69" s="172">
        <v>0</v>
      </c>
      <c r="CT69" s="172">
        <v>0</v>
      </c>
      <c r="CU69" s="192" t="e">
        <v>#DIV/0!</v>
      </c>
    </row>
    <row r="70" spans="1:99" s="68" customFormat="1" x14ac:dyDescent="0.25">
      <c r="A70" s="491">
        <v>117</v>
      </c>
      <c r="B70" s="65" t="s">
        <v>128</v>
      </c>
      <c r="C70" s="491">
        <v>1161</v>
      </c>
      <c r="D70" s="65" t="s">
        <v>122</v>
      </c>
      <c r="E70" s="491">
        <v>1</v>
      </c>
      <c r="F70" s="585"/>
      <c r="G70" s="585"/>
      <c r="H70" s="585"/>
      <c r="I70" s="585"/>
      <c r="J70" s="587"/>
      <c r="K70" s="587"/>
      <c r="L70" s="166" t="s">
        <v>511</v>
      </c>
      <c r="M70" s="166" t="s">
        <v>493</v>
      </c>
      <c r="N70" s="166" t="s">
        <v>349</v>
      </c>
      <c r="O70" s="166" t="s">
        <v>356</v>
      </c>
      <c r="P70" s="180">
        <v>41375</v>
      </c>
      <c r="Q70" s="180">
        <v>41377</v>
      </c>
      <c r="R70" s="166" t="s">
        <v>512</v>
      </c>
      <c r="S70" s="166" t="s">
        <v>513</v>
      </c>
      <c r="T70" s="166" t="s">
        <v>514</v>
      </c>
      <c r="U70" s="166" t="s">
        <v>515</v>
      </c>
      <c r="V70" s="166">
        <v>80123303</v>
      </c>
      <c r="W70" s="166" t="s">
        <v>361</v>
      </c>
      <c r="X70" s="166" t="s">
        <v>510</v>
      </c>
      <c r="Y70" s="166" t="s">
        <v>516</v>
      </c>
      <c r="Z70" s="174">
        <v>483</v>
      </c>
      <c r="AA70" s="175">
        <v>488720</v>
      </c>
      <c r="AB70" s="174">
        <v>417</v>
      </c>
      <c r="AC70" s="175">
        <v>488720</v>
      </c>
      <c r="AD70" s="175">
        <v>0</v>
      </c>
      <c r="AE70" s="175">
        <v>0</v>
      </c>
      <c r="AF70" s="175">
        <v>0</v>
      </c>
      <c r="AG70" s="175">
        <v>0</v>
      </c>
      <c r="AH70" s="175">
        <v>0</v>
      </c>
      <c r="AI70" s="175">
        <v>488720</v>
      </c>
      <c r="AJ70" s="175">
        <v>0</v>
      </c>
      <c r="AK70" s="175">
        <v>0</v>
      </c>
      <c r="AL70" s="175">
        <v>0</v>
      </c>
      <c r="AM70" s="175">
        <v>0</v>
      </c>
      <c r="AN70" s="175">
        <v>0</v>
      </c>
      <c r="AO70" s="175">
        <v>0</v>
      </c>
      <c r="AP70" s="175">
        <f t="shared" si="26"/>
        <v>488720</v>
      </c>
      <c r="AQ70" s="175">
        <f t="shared" si="27"/>
        <v>0</v>
      </c>
      <c r="AR70" s="176">
        <f t="shared" si="28"/>
        <v>1</v>
      </c>
      <c r="AS70" s="176"/>
      <c r="AT70" s="174"/>
      <c r="AU70" s="174"/>
      <c r="AV70" s="175"/>
      <c r="AW70" s="174"/>
      <c r="AX70" s="174"/>
      <c r="AY70" s="174"/>
      <c r="AZ70" s="174"/>
      <c r="BA70" s="174">
        <v>0</v>
      </c>
      <c r="BB70" s="174">
        <v>0</v>
      </c>
      <c r="BC70" s="174">
        <v>0</v>
      </c>
      <c r="BD70" s="174">
        <v>0</v>
      </c>
      <c r="BE70" s="174">
        <v>0</v>
      </c>
      <c r="BF70" s="174">
        <v>0</v>
      </c>
      <c r="BG70" s="174">
        <v>0</v>
      </c>
      <c r="BH70" s="174">
        <v>0</v>
      </c>
      <c r="BI70" s="175">
        <f t="shared" si="21"/>
        <v>0</v>
      </c>
      <c r="BJ70" s="175">
        <f t="shared" si="22"/>
        <v>0</v>
      </c>
      <c r="BK70" s="176"/>
      <c r="BL70" s="170"/>
      <c r="BM70" s="170"/>
      <c r="BN70" s="170"/>
      <c r="BO70" s="172"/>
      <c r="BP70" s="172"/>
      <c r="BQ70" s="172"/>
      <c r="BR70" s="172"/>
      <c r="BS70" s="172"/>
      <c r="BT70" s="172"/>
      <c r="BU70" s="172"/>
      <c r="BV70" s="172"/>
      <c r="BW70" s="172"/>
      <c r="BX70" s="172"/>
      <c r="BY70" s="172"/>
      <c r="BZ70" s="172"/>
      <c r="CA70" s="172">
        <f t="shared" si="23"/>
        <v>0</v>
      </c>
      <c r="CB70" s="172">
        <f t="shared" si="24"/>
        <v>0</v>
      </c>
      <c r="CC70" s="494" t="e">
        <f t="shared" si="25"/>
        <v>#DIV/0!</v>
      </c>
      <c r="CD70" s="192"/>
      <c r="CE70" s="192"/>
      <c r="CF70" s="172"/>
      <c r="CG70" s="172"/>
      <c r="CH70" s="172"/>
      <c r="CI70" s="172"/>
      <c r="CJ70" s="172"/>
      <c r="CK70" s="172"/>
      <c r="CL70" s="172"/>
      <c r="CM70" s="172"/>
      <c r="CN70" s="172"/>
      <c r="CO70" s="172"/>
      <c r="CP70" s="172"/>
      <c r="CQ70" s="172"/>
      <c r="CR70" s="172"/>
      <c r="CS70" s="172">
        <v>0</v>
      </c>
      <c r="CT70" s="172">
        <v>0</v>
      </c>
      <c r="CU70" s="192" t="e">
        <v>#DIV/0!</v>
      </c>
    </row>
    <row r="71" spans="1:99" s="68" customFormat="1" x14ac:dyDescent="0.25">
      <c r="A71" s="491">
        <v>117</v>
      </c>
      <c r="B71" s="65" t="s">
        <v>128</v>
      </c>
      <c r="C71" s="491">
        <v>1161</v>
      </c>
      <c r="D71" s="65" t="s">
        <v>122</v>
      </c>
      <c r="E71" s="491">
        <v>1</v>
      </c>
      <c r="F71" s="585"/>
      <c r="G71" s="585"/>
      <c r="H71" s="585"/>
      <c r="I71" s="585"/>
      <c r="J71" s="587"/>
      <c r="K71" s="587"/>
      <c r="L71" s="166" t="s">
        <v>517</v>
      </c>
      <c r="M71" s="166" t="s">
        <v>493</v>
      </c>
      <c r="N71" s="166" t="s">
        <v>349</v>
      </c>
      <c r="O71" s="166" t="s">
        <v>356</v>
      </c>
      <c r="P71" s="191" t="s">
        <v>314</v>
      </c>
      <c r="Q71" s="180">
        <v>41445</v>
      </c>
      <c r="R71" s="166" t="s">
        <v>378</v>
      </c>
      <c r="S71" s="189" t="s">
        <v>518</v>
      </c>
      <c r="T71" s="166" t="s">
        <v>519</v>
      </c>
      <c r="U71" s="166" t="s">
        <v>520</v>
      </c>
      <c r="V71" s="166" t="s">
        <v>521</v>
      </c>
      <c r="W71" s="166">
        <v>600</v>
      </c>
      <c r="X71" s="191"/>
      <c r="Y71" s="166"/>
      <c r="Z71" s="174">
        <v>603</v>
      </c>
      <c r="AA71" s="175">
        <v>10027867</v>
      </c>
      <c r="AB71" s="174">
        <v>592</v>
      </c>
      <c r="AC71" s="175">
        <v>10027867</v>
      </c>
      <c r="AD71" s="175">
        <v>0</v>
      </c>
      <c r="AE71" s="175">
        <v>0</v>
      </c>
      <c r="AF71" s="175">
        <v>0</v>
      </c>
      <c r="AG71" s="175">
        <v>0</v>
      </c>
      <c r="AH71" s="175">
        <v>0</v>
      </c>
      <c r="AI71" s="175">
        <v>0</v>
      </c>
      <c r="AJ71" s="175">
        <v>0</v>
      </c>
      <c r="AK71" s="175">
        <v>0</v>
      </c>
      <c r="AL71" s="175">
        <v>0</v>
      </c>
      <c r="AM71" s="175">
        <v>0</v>
      </c>
      <c r="AN71" s="175">
        <v>0</v>
      </c>
      <c r="AO71" s="175">
        <v>10027867</v>
      </c>
      <c r="AP71" s="175">
        <f t="shared" si="26"/>
        <v>10027867</v>
      </c>
      <c r="AQ71" s="175">
        <f t="shared" si="27"/>
        <v>0</v>
      </c>
      <c r="AR71" s="176">
        <f t="shared" si="28"/>
        <v>1</v>
      </c>
      <c r="AS71" s="176"/>
      <c r="AT71" s="174"/>
      <c r="AU71" s="174"/>
      <c r="AV71" s="175"/>
      <c r="AW71" s="174"/>
      <c r="AX71" s="174"/>
      <c r="AY71" s="174"/>
      <c r="AZ71" s="174"/>
      <c r="BA71" s="174">
        <v>0</v>
      </c>
      <c r="BB71" s="174">
        <v>0</v>
      </c>
      <c r="BC71" s="174">
        <v>0</v>
      </c>
      <c r="BD71" s="174">
        <v>0</v>
      </c>
      <c r="BE71" s="174">
        <v>0</v>
      </c>
      <c r="BF71" s="174">
        <v>0</v>
      </c>
      <c r="BG71" s="174">
        <v>0</v>
      </c>
      <c r="BH71" s="174">
        <v>0</v>
      </c>
      <c r="BI71" s="175">
        <f t="shared" si="21"/>
        <v>0</v>
      </c>
      <c r="BJ71" s="175">
        <f t="shared" si="22"/>
        <v>0</v>
      </c>
      <c r="BK71" s="176"/>
      <c r="BL71" s="170"/>
      <c r="BM71" s="170"/>
      <c r="BN71" s="170"/>
      <c r="BO71" s="172"/>
      <c r="BP71" s="172"/>
      <c r="BQ71" s="172"/>
      <c r="BR71" s="172"/>
      <c r="BS71" s="172"/>
      <c r="BT71" s="172"/>
      <c r="BU71" s="172"/>
      <c r="BV71" s="172"/>
      <c r="BW71" s="172"/>
      <c r="BX71" s="172"/>
      <c r="BY71" s="172"/>
      <c r="BZ71" s="172"/>
      <c r="CA71" s="172">
        <f t="shared" si="23"/>
        <v>0</v>
      </c>
      <c r="CB71" s="172">
        <f t="shared" si="24"/>
        <v>0</v>
      </c>
      <c r="CC71" s="494" t="e">
        <f t="shared" si="25"/>
        <v>#DIV/0!</v>
      </c>
      <c r="CD71" s="192"/>
      <c r="CE71" s="192"/>
      <c r="CF71" s="172"/>
      <c r="CG71" s="172"/>
      <c r="CH71" s="172"/>
      <c r="CI71" s="172"/>
      <c r="CJ71" s="172"/>
      <c r="CK71" s="172"/>
      <c r="CL71" s="172"/>
      <c r="CM71" s="172"/>
      <c r="CN71" s="172"/>
      <c r="CO71" s="172"/>
      <c r="CP71" s="172"/>
      <c r="CQ71" s="172"/>
      <c r="CR71" s="172"/>
      <c r="CS71" s="172">
        <v>0</v>
      </c>
      <c r="CT71" s="172">
        <v>0</v>
      </c>
      <c r="CU71" s="192" t="e">
        <v>#DIV/0!</v>
      </c>
    </row>
    <row r="72" spans="1:99" s="68" customFormat="1" x14ac:dyDescent="0.25">
      <c r="A72" s="491">
        <v>117</v>
      </c>
      <c r="B72" s="65" t="s">
        <v>128</v>
      </c>
      <c r="C72" s="491">
        <v>1161</v>
      </c>
      <c r="D72" s="65" t="s">
        <v>122</v>
      </c>
      <c r="E72" s="491">
        <v>1</v>
      </c>
      <c r="F72" s="585"/>
      <c r="G72" s="585"/>
      <c r="H72" s="585"/>
      <c r="I72" s="585"/>
      <c r="J72" s="587"/>
      <c r="K72" s="587"/>
      <c r="L72" s="166" t="s">
        <v>522</v>
      </c>
      <c r="M72" s="166" t="s">
        <v>493</v>
      </c>
      <c r="N72" s="166" t="s">
        <v>319</v>
      </c>
      <c r="O72" s="166" t="s">
        <v>400</v>
      </c>
      <c r="P72" s="180">
        <v>41491</v>
      </c>
      <c r="Q72" s="180">
        <v>41495</v>
      </c>
      <c r="R72" s="166" t="s">
        <v>310</v>
      </c>
      <c r="S72" s="189" t="s">
        <v>523</v>
      </c>
      <c r="T72" s="181" t="s">
        <v>524</v>
      </c>
      <c r="U72" s="166" t="s">
        <v>525</v>
      </c>
      <c r="V72" s="182">
        <v>900442595</v>
      </c>
      <c r="W72" s="166">
        <v>4000</v>
      </c>
      <c r="X72" s="166" t="s">
        <v>315</v>
      </c>
      <c r="Y72" s="166"/>
      <c r="Z72" s="174">
        <v>639</v>
      </c>
      <c r="AA72" s="175">
        <v>44552975</v>
      </c>
      <c r="AB72" s="174">
        <v>626</v>
      </c>
      <c r="AC72" s="175">
        <v>44552975</v>
      </c>
      <c r="AD72" s="175">
        <v>0</v>
      </c>
      <c r="AE72" s="175">
        <v>0</v>
      </c>
      <c r="AF72" s="175">
        <v>0</v>
      </c>
      <c r="AG72" s="175">
        <v>0</v>
      </c>
      <c r="AH72" s="175">
        <v>0</v>
      </c>
      <c r="AI72" s="175">
        <v>0</v>
      </c>
      <c r="AJ72" s="175">
        <v>0</v>
      </c>
      <c r="AK72" s="175">
        <v>0</v>
      </c>
      <c r="AL72" s="175">
        <v>0</v>
      </c>
      <c r="AM72" s="175">
        <v>0</v>
      </c>
      <c r="AN72" s="175">
        <v>35000000</v>
      </c>
      <c r="AO72" s="175">
        <v>0</v>
      </c>
      <c r="AP72" s="175">
        <f t="shared" si="26"/>
        <v>35000000</v>
      </c>
      <c r="AQ72" s="175">
        <f t="shared" si="27"/>
        <v>9552975</v>
      </c>
      <c r="AR72" s="176">
        <f t="shared" si="28"/>
        <v>0.78558165868833674</v>
      </c>
      <c r="AS72" s="176"/>
      <c r="AT72" s="174">
        <v>95</v>
      </c>
      <c r="AU72" s="174">
        <v>102</v>
      </c>
      <c r="AV72" s="175">
        <v>9552975</v>
      </c>
      <c r="AW72" s="174">
        <v>0</v>
      </c>
      <c r="AX72" s="174">
        <v>0</v>
      </c>
      <c r="AY72" s="174">
        <v>0</v>
      </c>
      <c r="AZ72" s="174">
        <v>0</v>
      </c>
      <c r="BA72" s="174">
        <v>0</v>
      </c>
      <c r="BB72" s="174">
        <v>9552975</v>
      </c>
      <c r="BC72" s="174">
        <v>0</v>
      </c>
      <c r="BD72" s="174">
        <v>0</v>
      </c>
      <c r="BE72" s="174">
        <v>0</v>
      </c>
      <c r="BF72" s="174">
        <v>0</v>
      </c>
      <c r="BG72" s="174">
        <v>0</v>
      </c>
      <c r="BH72" s="174">
        <v>0</v>
      </c>
      <c r="BI72" s="175">
        <f t="shared" si="21"/>
        <v>9552975</v>
      </c>
      <c r="BJ72" s="175">
        <f t="shared" si="22"/>
        <v>0</v>
      </c>
      <c r="BK72" s="176">
        <f t="shared" ref="BK72:BK88" si="29">+BI72/AV72</f>
        <v>1</v>
      </c>
      <c r="BL72" s="170"/>
      <c r="BM72" s="170"/>
      <c r="BN72" s="170"/>
      <c r="BO72" s="172"/>
      <c r="BP72" s="172"/>
      <c r="BQ72" s="172"/>
      <c r="BR72" s="172"/>
      <c r="BS72" s="172"/>
      <c r="BT72" s="172"/>
      <c r="BU72" s="172"/>
      <c r="BV72" s="172"/>
      <c r="BW72" s="172"/>
      <c r="BX72" s="172"/>
      <c r="BY72" s="172"/>
      <c r="BZ72" s="172"/>
      <c r="CA72" s="172">
        <f t="shared" si="23"/>
        <v>0</v>
      </c>
      <c r="CB72" s="172">
        <f t="shared" si="24"/>
        <v>0</v>
      </c>
      <c r="CC72" s="494" t="e">
        <f t="shared" si="25"/>
        <v>#DIV/0!</v>
      </c>
      <c r="CD72" s="192"/>
      <c r="CE72" s="192"/>
      <c r="CF72" s="172"/>
      <c r="CG72" s="172"/>
      <c r="CH72" s="172"/>
      <c r="CI72" s="172"/>
      <c r="CJ72" s="172"/>
      <c r="CK72" s="172"/>
      <c r="CL72" s="172"/>
      <c r="CM72" s="172"/>
      <c r="CN72" s="172"/>
      <c r="CO72" s="172"/>
      <c r="CP72" s="172"/>
      <c r="CQ72" s="172"/>
      <c r="CR72" s="172"/>
      <c r="CS72" s="172">
        <v>0</v>
      </c>
      <c r="CT72" s="172">
        <v>0</v>
      </c>
      <c r="CU72" s="192" t="e">
        <v>#DIV/0!</v>
      </c>
    </row>
    <row r="73" spans="1:99" s="68" customFormat="1" x14ac:dyDescent="0.25">
      <c r="A73" s="491">
        <v>117</v>
      </c>
      <c r="B73" s="65" t="s">
        <v>128</v>
      </c>
      <c r="C73" s="491">
        <v>1161</v>
      </c>
      <c r="D73" s="65" t="s">
        <v>122</v>
      </c>
      <c r="E73" s="491">
        <v>1</v>
      </c>
      <c r="F73" s="585"/>
      <c r="G73" s="585"/>
      <c r="H73" s="585"/>
      <c r="I73" s="585"/>
      <c r="J73" s="587"/>
      <c r="K73" s="587"/>
      <c r="L73" s="166" t="s">
        <v>526</v>
      </c>
      <c r="M73" s="166" t="s">
        <v>493</v>
      </c>
      <c r="N73" s="189" t="s">
        <v>319</v>
      </c>
      <c r="O73" s="166" t="s">
        <v>400</v>
      </c>
      <c r="P73" s="180">
        <v>41586</v>
      </c>
      <c r="Q73" s="180">
        <v>41603</v>
      </c>
      <c r="R73" s="166" t="s">
        <v>512</v>
      </c>
      <c r="S73" s="189" t="s">
        <v>527</v>
      </c>
      <c r="T73" s="166" t="s">
        <v>528</v>
      </c>
      <c r="U73" s="166" t="s">
        <v>529</v>
      </c>
      <c r="V73" s="189">
        <v>900164390</v>
      </c>
      <c r="W73" s="173"/>
      <c r="X73" s="173"/>
      <c r="Y73" s="166"/>
      <c r="Z73" s="174">
        <v>815</v>
      </c>
      <c r="AA73" s="175">
        <v>119587333</v>
      </c>
      <c r="AB73" s="174">
        <v>790</v>
      </c>
      <c r="AC73" s="175">
        <v>119587333</v>
      </c>
      <c r="AD73" s="175">
        <v>0</v>
      </c>
      <c r="AE73" s="175">
        <v>0</v>
      </c>
      <c r="AF73" s="175">
        <v>0</v>
      </c>
      <c r="AG73" s="175">
        <v>0</v>
      </c>
      <c r="AH73" s="175">
        <v>0</v>
      </c>
      <c r="AI73" s="175">
        <v>0</v>
      </c>
      <c r="AJ73" s="175">
        <v>0</v>
      </c>
      <c r="AK73" s="175">
        <v>0</v>
      </c>
      <c r="AL73" s="175">
        <v>0</v>
      </c>
      <c r="AM73" s="175">
        <v>0</v>
      </c>
      <c r="AN73" s="175">
        <v>0</v>
      </c>
      <c r="AO73" s="175">
        <v>41855566</v>
      </c>
      <c r="AP73" s="175">
        <f t="shared" si="26"/>
        <v>41855566</v>
      </c>
      <c r="AQ73" s="175">
        <f t="shared" si="27"/>
        <v>77731767</v>
      </c>
      <c r="AR73" s="176">
        <f t="shared" si="28"/>
        <v>0.34999999540085069</v>
      </c>
      <c r="AS73" s="176"/>
      <c r="AT73" s="174">
        <v>97</v>
      </c>
      <c r="AU73" s="174">
        <v>104</v>
      </c>
      <c r="AV73" s="175">
        <v>77731767</v>
      </c>
      <c r="AW73" s="174">
        <v>0</v>
      </c>
      <c r="AX73" s="174">
        <v>0</v>
      </c>
      <c r="AY73" s="174">
        <v>0</v>
      </c>
      <c r="AZ73" s="174">
        <v>0</v>
      </c>
      <c r="BA73" s="174">
        <v>0</v>
      </c>
      <c r="BB73" s="174">
        <v>0</v>
      </c>
      <c r="BC73" s="174">
        <v>0</v>
      </c>
      <c r="BD73" s="174">
        <v>0</v>
      </c>
      <c r="BE73" s="174">
        <v>0</v>
      </c>
      <c r="BF73" s="174">
        <v>70539366</v>
      </c>
      <c r="BG73" s="174">
        <v>0</v>
      </c>
      <c r="BH73" s="174">
        <v>0</v>
      </c>
      <c r="BI73" s="175">
        <f t="shared" si="21"/>
        <v>70539366</v>
      </c>
      <c r="BJ73" s="175">
        <f t="shared" si="22"/>
        <v>7192401</v>
      </c>
      <c r="BK73" s="176">
        <f t="shared" si="29"/>
        <v>0.90747153605809583</v>
      </c>
      <c r="BL73" s="170">
        <v>32</v>
      </c>
      <c r="BM73" s="170">
        <v>388</v>
      </c>
      <c r="BN73" s="170">
        <v>7192401</v>
      </c>
      <c r="BO73" s="172">
        <v>0</v>
      </c>
      <c r="BP73" s="172">
        <v>0</v>
      </c>
      <c r="BQ73" s="172">
        <v>0</v>
      </c>
      <c r="BR73" s="172">
        <v>0</v>
      </c>
      <c r="BS73" s="172">
        <v>0</v>
      </c>
      <c r="BT73" s="172">
        <v>0</v>
      </c>
      <c r="BU73" s="172">
        <v>0</v>
      </c>
      <c r="BV73" s="172">
        <v>0</v>
      </c>
      <c r="BW73" s="172">
        <v>0</v>
      </c>
      <c r="BX73" s="172">
        <v>0</v>
      </c>
      <c r="BY73" s="172">
        <v>0</v>
      </c>
      <c r="BZ73" s="172">
        <v>0</v>
      </c>
      <c r="CA73" s="172">
        <f t="shared" si="23"/>
        <v>0</v>
      </c>
      <c r="CB73" s="172">
        <f t="shared" si="24"/>
        <v>7192401</v>
      </c>
      <c r="CC73" s="494">
        <f t="shared" si="25"/>
        <v>0</v>
      </c>
      <c r="CD73" s="192"/>
      <c r="CE73" s="192"/>
      <c r="CF73" s="172"/>
      <c r="CG73" s="172"/>
      <c r="CH73" s="172"/>
      <c r="CI73" s="172"/>
      <c r="CJ73" s="172"/>
      <c r="CK73" s="172"/>
      <c r="CL73" s="172"/>
      <c r="CM73" s="172"/>
      <c r="CN73" s="172"/>
      <c r="CO73" s="172"/>
      <c r="CP73" s="172"/>
      <c r="CQ73" s="172"/>
      <c r="CR73" s="172"/>
      <c r="CS73" s="172">
        <v>0</v>
      </c>
      <c r="CT73" s="172">
        <v>0</v>
      </c>
      <c r="CU73" s="192" t="e">
        <v>#DIV/0!</v>
      </c>
    </row>
    <row r="74" spans="1:99" s="68" customFormat="1" x14ac:dyDescent="0.25">
      <c r="A74" s="491">
        <v>117</v>
      </c>
      <c r="B74" s="65" t="s">
        <v>128</v>
      </c>
      <c r="C74" s="491">
        <v>1161</v>
      </c>
      <c r="D74" s="65" t="s">
        <v>122</v>
      </c>
      <c r="E74" s="491">
        <v>1</v>
      </c>
      <c r="F74" s="585"/>
      <c r="G74" s="585"/>
      <c r="H74" s="585"/>
      <c r="I74" s="585"/>
      <c r="J74" s="587"/>
      <c r="K74" s="587"/>
      <c r="L74" s="166" t="s">
        <v>530</v>
      </c>
      <c r="M74" s="166" t="s">
        <v>493</v>
      </c>
      <c r="N74" s="166" t="s">
        <v>329</v>
      </c>
      <c r="O74" s="166" t="s">
        <v>320</v>
      </c>
      <c r="P74" s="180">
        <v>41635</v>
      </c>
      <c r="Q74" s="173"/>
      <c r="R74" s="166" t="s">
        <v>500</v>
      </c>
      <c r="S74" s="166" t="s">
        <v>531</v>
      </c>
      <c r="T74" s="166" t="s">
        <v>532</v>
      </c>
      <c r="U74" s="166" t="s">
        <v>533</v>
      </c>
      <c r="V74" s="166">
        <v>52355755</v>
      </c>
      <c r="W74" s="173"/>
      <c r="X74" s="166" t="s">
        <v>315</v>
      </c>
      <c r="Y74" s="166"/>
      <c r="Z74" s="174">
        <v>836</v>
      </c>
      <c r="AA74" s="175">
        <v>8400000</v>
      </c>
      <c r="AB74" s="174">
        <v>885</v>
      </c>
      <c r="AC74" s="175">
        <v>8200000</v>
      </c>
      <c r="AD74" s="175">
        <v>0</v>
      </c>
      <c r="AE74" s="175">
        <v>0</v>
      </c>
      <c r="AF74" s="175">
        <v>0</v>
      </c>
      <c r="AG74" s="175">
        <v>0</v>
      </c>
      <c r="AH74" s="175">
        <v>0</v>
      </c>
      <c r="AI74" s="175">
        <v>0</v>
      </c>
      <c r="AJ74" s="175">
        <v>0</v>
      </c>
      <c r="AK74" s="175">
        <v>0</v>
      </c>
      <c r="AL74" s="175">
        <v>0</v>
      </c>
      <c r="AM74" s="175">
        <v>0</v>
      </c>
      <c r="AN74" s="175">
        <v>0</v>
      </c>
      <c r="AO74" s="175">
        <v>0</v>
      </c>
      <c r="AP74" s="175">
        <f t="shared" si="26"/>
        <v>0</v>
      </c>
      <c r="AQ74" s="175">
        <f t="shared" si="27"/>
        <v>8200000</v>
      </c>
      <c r="AR74" s="176">
        <f t="shared" si="28"/>
        <v>0</v>
      </c>
      <c r="AS74" s="176"/>
      <c r="AT74" s="174">
        <v>182</v>
      </c>
      <c r="AU74" s="174">
        <v>182</v>
      </c>
      <c r="AV74" s="175">
        <v>8200000</v>
      </c>
      <c r="AW74" s="174">
        <v>0</v>
      </c>
      <c r="AX74" s="174">
        <v>0</v>
      </c>
      <c r="AY74" s="174">
        <v>0</v>
      </c>
      <c r="AZ74" s="174">
        <v>2050000</v>
      </c>
      <c r="BA74" s="174">
        <v>0</v>
      </c>
      <c r="BB74" s="174">
        <v>4100000</v>
      </c>
      <c r="BC74" s="174">
        <v>0</v>
      </c>
      <c r="BD74" s="174">
        <v>0</v>
      </c>
      <c r="BE74" s="174">
        <v>2050000</v>
      </c>
      <c r="BF74" s="174">
        <v>0</v>
      </c>
      <c r="BG74" s="174">
        <v>0</v>
      </c>
      <c r="BH74" s="174">
        <v>0</v>
      </c>
      <c r="BI74" s="175">
        <f t="shared" si="21"/>
        <v>8200000</v>
      </c>
      <c r="BJ74" s="175">
        <f t="shared" si="22"/>
        <v>0</v>
      </c>
      <c r="BK74" s="176">
        <f t="shared" si="29"/>
        <v>1</v>
      </c>
      <c r="BL74" s="170"/>
      <c r="BM74" s="170"/>
      <c r="BN74" s="170"/>
      <c r="BO74" s="172"/>
      <c r="BP74" s="172"/>
      <c r="BQ74" s="172"/>
      <c r="BR74" s="172"/>
      <c r="BS74" s="172"/>
      <c r="BT74" s="172"/>
      <c r="BU74" s="172"/>
      <c r="BV74" s="172"/>
      <c r="BW74" s="172"/>
      <c r="BX74" s="172"/>
      <c r="BY74" s="172"/>
      <c r="BZ74" s="172"/>
      <c r="CA74" s="172">
        <f t="shared" si="23"/>
        <v>0</v>
      </c>
      <c r="CB74" s="172">
        <f t="shared" si="24"/>
        <v>0</v>
      </c>
      <c r="CC74" s="494" t="e">
        <f t="shared" si="25"/>
        <v>#DIV/0!</v>
      </c>
      <c r="CD74" s="192"/>
      <c r="CE74" s="192"/>
      <c r="CF74" s="172"/>
      <c r="CG74" s="172"/>
      <c r="CH74" s="172"/>
      <c r="CI74" s="172"/>
      <c r="CJ74" s="172"/>
      <c r="CK74" s="172"/>
      <c r="CL74" s="172"/>
      <c r="CM74" s="172"/>
      <c r="CN74" s="172"/>
      <c r="CO74" s="172"/>
      <c r="CP74" s="172"/>
      <c r="CQ74" s="172"/>
      <c r="CR74" s="172"/>
      <c r="CS74" s="172">
        <v>0</v>
      </c>
      <c r="CT74" s="172">
        <v>0</v>
      </c>
      <c r="CU74" s="192" t="e">
        <v>#DIV/0!</v>
      </c>
    </row>
    <row r="75" spans="1:99" s="68" customFormat="1" x14ac:dyDescent="0.25">
      <c r="A75" s="491">
        <v>117</v>
      </c>
      <c r="B75" s="65" t="s">
        <v>128</v>
      </c>
      <c r="C75" s="491">
        <v>1161</v>
      </c>
      <c r="D75" s="65" t="s">
        <v>122</v>
      </c>
      <c r="E75" s="491">
        <v>1</v>
      </c>
      <c r="F75" s="585"/>
      <c r="G75" s="585"/>
      <c r="H75" s="585"/>
      <c r="I75" s="585"/>
      <c r="J75" s="587"/>
      <c r="K75" s="587"/>
      <c r="L75" s="166" t="s">
        <v>534</v>
      </c>
      <c r="M75" s="166" t="s">
        <v>493</v>
      </c>
      <c r="N75" s="166" t="s">
        <v>329</v>
      </c>
      <c r="O75" s="166" t="s">
        <v>320</v>
      </c>
      <c r="P75" s="180">
        <v>41635</v>
      </c>
      <c r="Q75" s="180">
        <v>41653</v>
      </c>
      <c r="R75" s="166" t="s">
        <v>500</v>
      </c>
      <c r="S75" s="166" t="s">
        <v>535</v>
      </c>
      <c r="T75" s="166" t="s">
        <v>536</v>
      </c>
      <c r="U75" s="166" t="s">
        <v>537</v>
      </c>
      <c r="V75" s="166">
        <v>1030535004</v>
      </c>
      <c r="W75" s="173"/>
      <c r="X75" s="166" t="s">
        <v>315</v>
      </c>
      <c r="Y75" s="166"/>
      <c r="Z75" s="174">
        <v>837</v>
      </c>
      <c r="AA75" s="175">
        <v>8400000000</v>
      </c>
      <c r="AB75" s="174">
        <v>887</v>
      </c>
      <c r="AC75" s="175">
        <v>8000000</v>
      </c>
      <c r="AD75" s="175">
        <v>0</v>
      </c>
      <c r="AE75" s="175">
        <v>0</v>
      </c>
      <c r="AF75" s="175">
        <v>0</v>
      </c>
      <c r="AG75" s="175">
        <v>0</v>
      </c>
      <c r="AH75" s="175">
        <v>0</v>
      </c>
      <c r="AI75" s="175">
        <v>0</v>
      </c>
      <c r="AJ75" s="175">
        <v>0</v>
      </c>
      <c r="AK75" s="175">
        <v>0</v>
      </c>
      <c r="AL75" s="175">
        <v>0</v>
      </c>
      <c r="AM75" s="175">
        <v>0</v>
      </c>
      <c r="AN75" s="175">
        <v>0</v>
      </c>
      <c r="AO75" s="175">
        <v>0</v>
      </c>
      <c r="AP75" s="175">
        <f t="shared" si="26"/>
        <v>0</v>
      </c>
      <c r="AQ75" s="175">
        <f t="shared" si="27"/>
        <v>8000000</v>
      </c>
      <c r="AR75" s="176">
        <f t="shared" si="28"/>
        <v>0</v>
      </c>
      <c r="AS75" s="176"/>
      <c r="AT75" s="174">
        <v>183</v>
      </c>
      <c r="AU75" s="174">
        <v>183</v>
      </c>
      <c r="AV75" s="175">
        <v>7933333</v>
      </c>
      <c r="AW75" s="174">
        <v>0</v>
      </c>
      <c r="AX75" s="174">
        <v>0</v>
      </c>
      <c r="AY75" s="174">
        <v>2000000</v>
      </c>
      <c r="AZ75" s="174">
        <v>0</v>
      </c>
      <c r="BA75" s="174">
        <v>0</v>
      </c>
      <c r="BB75" s="174">
        <v>2000000</v>
      </c>
      <c r="BC75" s="174">
        <v>0</v>
      </c>
      <c r="BD75" s="174">
        <v>2000000</v>
      </c>
      <c r="BE75" s="174">
        <v>0</v>
      </c>
      <c r="BF75" s="174">
        <v>0</v>
      </c>
      <c r="BG75" s="174">
        <v>1933333</v>
      </c>
      <c r="BH75" s="174">
        <v>0</v>
      </c>
      <c r="BI75" s="175">
        <f t="shared" si="21"/>
        <v>7933333</v>
      </c>
      <c r="BJ75" s="175">
        <f t="shared" si="22"/>
        <v>0</v>
      </c>
      <c r="BK75" s="176">
        <f t="shared" si="29"/>
        <v>1</v>
      </c>
      <c r="BL75" s="170"/>
      <c r="BM75" s="170"/>
      <c r="BN75" s="170"/>
      <c r="BO75" s="172"/>
      <c r="BP75" s="172"/>
      <c r="BQ75" s="172"/>
      <c r="BR75" s="172"/>
      <c r="BS75" s="172"/>
      <c r="BT75" s="172"/>
      <c r="BU75" s="172"/>
      <c r="BV75" s="172"/>
      <c r="BW75" s="172"/>
      <c r="BX75" s="172"/>
      <c r="BY75" s="172"/>
      <c r="BZ75" s="172"/>
      <c r="CA75" s="172">
        <f t="shared" si="23"/>
        <v>0</v>
      </c>
      <c r="CB75" s="172">
        <f t="shared" si="24"/>
        <v>0</v>
      </c>
      <c r="CC75" s="494" t="e">
        <f t="shared" si="25"/>
        <v>#DIV/0!</v>
      </c>
      <c r="CD75" s="192"/>
      <c r="CE75" s="192"/>
      <c r="CF75" s="172"/>
      <c r="CG75" s="172"/>
      <c r="CH75" s="172"/>
      <c r="CI75" s="172"/>
      <c r="CJ75" s="172"/>
      <c r="CK75" s="172"/>
      <c r="CL75" s="172"/>
      <c r="CM75" s="172"/>
      <c r="CN75" s="172"/>
      <c r="CO75" s="172"/>
      <c r="CP75" s="172"/>
      <c r="CQ75" s="172"/>
      <c r="CR75" s="172"/>
      <c r="CS75" s="172">
        <v>0</v>
      </c>
      <c r="CT75" s="172">
        <v>0</v>
      </c>
      <c r="CU75" s="192" t="e">
        <v>#DIV/0!</v>
      </c>
    </row>
    <row r="76" spans="1:99" s="68" customFormat="1" x14ac:dyDescent="0.25">
      <c r="A76" s="491">
        <v>117</v>
      </c>
      <c r="B76" s="65" t="s">
        <v>128</v>
      </c>
      <c r="C76" s="491">
        <v>1161</v>
      </c>
      <c r="D76" s="65" t="s">
        <v>122</v>
      </c>
      <c r="E76" s="491">
        <v>1</v>
      </c>
      <c r="F76" s="585"/>
      <c r="G76" s="585"/>
      <c r="H76" s="585"/>
      <c r="I76" s="585"/>
      <c r="J76" s="587"/>
      <c r="K76" s="587"/>
      <c r="L76" s="166" t="s">
        <v>538</v>
      </c>
      <c r="M76" s="166" t="s">
        <v>493</v>
      </c>
      <c r="N76" s="166" t="s">
        <v>329</v>
      </c>
      <c r="O76" s="166" t="s">
        <v>356</v>
      </c>
      <c r="P76" s="180">
        <v>41634</v>
      </c>
      <c r="Q76" s="173"/>
      <c r="R76" s="166" t="s">
        <v>500</v>
      </c>
      <c r="S76" s="166" t="s">
        <v>539</v>
      </c>
      <c r="T76" s="166" t="s">
        <v>540</v>
      </c>
      <c r="U76" s="166" t="s">
        <v>541</v>
      </c>
      <c r="V76" s="166">
        <v>900175374</v>
      </c>
      <c r="W76" s="173"/>
      <c r="X76" s="166" t="s">
        <v>315</v>
      </c>
      <c r="Y76" s="166"/>
      <c r="Z76" s="174">
        <v>841</v>
      </c>
      <c r="AA76" s="175">
        <v>137929031</v>
      </c>
      <c r="AB76" s="174">
        <v>879</v>
      </c>
      <c r="AC76" s="175">
        <v>137929031</v>
      </c>
      <c r="AD76" s="175">
        <v>0</v>
      </c>
      <c r="AE76" s="175">
        <v>0</v>
      </c>
      <c r="AF76" s="175">
        <v>0</v>
      </c>
      <c r="AG76" s="175">
        <v>0</v>
      </c>
      <c r="AH76" s="175">
        <v>0</v>
      </c>
      <c r="AI76" s="175">
        <v>0</v>
      </c>
      <c r="AJ76" s="175">
        <v>0</v>
      </c>
      <c r="AK76" s="175">
        <v>0</v>
      </c>
      <c r="AL76" s="175">
        <v>0</v>
      </c>
      <c r="AM76" s="175">
        <v>0</v>
      </c>
      <c r="AN76" s="175">
        <v>0</v>
      </c>
      <c r="AO76" s="175">
        <v>0</v>
      </c>
      <c r="AP76" s="175">
        <f t="shared" si="26"/>
        <v>0</v>
      </c>
      <c r="AQ76" s="175">
        <f t="shared" si="27"/>
        <v>137929031</v>
      </c>
      <c r="AR76" s="176">
        <f t="shared" si="28"/>
        <v>0</v>
      </c>
      <c r="AS76" s="176"/>
      <c r="AT76" s="174">
        <v>180</v>
      </c>
      <c r="AU76" s="174">
        <v>180</v>
      </c>
      <c r="AV76" s="175">
        <v>137929031</v>
      </c>
      <c r="AW76" s="174">
        <v>0</v>
      </c>
      <c r="AX76" s="174">
        <v>0</v>
      </c>
      <c r="AY76" s="174">
        <v>0</v>
      </c>
      <c r="AZ76" s="174">
        <v>0</v>
      </c>
      <c r="BA76" s="174">
        <v>0</v>
      </c>
      <c r="BB76" s="174">
        <v>41378709</v>
      </c>
      <c r="BC76" s="174">
        <v>0</v>
      </c>
      <c r="BD76" s="174">
        <v>0</v>
      </c>
      <c r="BE76" s="174">
        <v>0</v>
      </c>
      <c r="BF76" s="174">
        <v>0</v>
      </c>
      <c r="BG76" s="174">
        <v>0</v>
      </c>
      <c r="BH76" s="174">
        <v>0</v>
      </c>
      <c r="BI76" s="175">
        <f t="shared" si="21"/>
        <v>41378709</v>
      </c>
      <c r="BJ76" s="175">
        <f t="shared" si="22"/>
        <v>96550322</v>
      </c>
      <c r="BK76" s="176">
        <f t="shared" si="29"/>
        <v>0.29999999782496839</v>
      </c>
      <c r="BL76" s="170">
        <v>46</v>
      </c>
      <c r="BM76" s="170">
        <v>34</v>
      </c>
      <c r="BN76" s="170">
        <v>96550322</v>
      </c>
      <c r="BO76" s="172">
        <v>0</v>
      </c>
      <c r="BP76" s="172">
        <v>96550322</v>
      </c>
      <c r="BQ76" s="172">
        <v>0</v>
      </c>
      <c r="BR76" s="172">
        <v>0</v>
      </c>
      <c r="BS76" s="172">
        <v>0</v>
      </c>
      <c r="BT76" s="172">
        <v>0</v>
      </c>
      <c r="BU76" s="172">
        <v>0</v>
      </c>
      <c r="BV76" s="172">
        <v>0</v>
      </c>
      <c r="BW76" s="172">
        <v>0</v>
      </c>
      <c r="BX76" s="172">
        <v>0</v>
      </c>
      <c r="BY76" s="172">
        <v>0</v>
      </c>
      <c r="BZ76" s="172">
        <v>0</v>
      </c>
      <c r="CA76" s="172">
        <f t="shared" si="23"/>
        <v>96550322</v>
      </c>
      <c r="CB76" s="172">
        <f t="shared" si="24"/>
        <v>0</v>
      </c>
      <c r="CC76" s="494">
        <f t="shared" si="25"/>
        <v>1</v>
      </c>
      <c r="CD76" s="192"/>
      <c r="CE76" s="192"/>
      <c r="CF76" s="172"/>
      <c r="CG76" s="172"/>
      <c r="CH76" s="172"/>
      <c r="CI76" s="172"/>
      <c r="CJ76" s="172"/>
      <c r="CK76" s="172"/>
      <c r="CL76" s="172"/>
      <c r="CM76" s="172"/>
      <c r="CN76" s="172"/>
      <c r="CO76" s="172"/>
      <c r="CP76" s="172"/>
      <c r="CQ76" s="172"/>
      <c r="CR76" s="172"/>
      <c r="CS76" s="172">
        <v>0</v>
      </c>
      <c r="CT76" s="172">
        <v>0</v>
      </c>
      <c r="CU76" s="192" t="e">
        <v>#DIV/0!</v>
      </c>
    </row>
    <row r="77" spans="1:99" s="68" customFormat="1" x14ac:dyDescent="0.25">
      <c r="A77" s="491">
        <v>117</v>
      </c>
      <c r="B77" s="65" t="s">
        <v>128</v>
      </c>
      <c r="C77" s="491">
        <v>1161</v>
      </c>
      <c r="D77" s="65" t="s">
        <v>122</v>
      </c>
      <c r="E77" s="491">
        <v>1</v>
      </c>
      <c r="F77" s="585"/>
      <c r="G77" s="585"/>
      <c r="H77" s="585"/>
      <c r="I77" s="585"/>
      <c r="J77" s="587"/>
      <c r="K77" s="587"/>
      <c r="L77" s="166" t="s">
        <v>542</v>
      </c>
      <c r="M77" s="166" t="s">
        <v>493</v>
      </c>
      <c r="N77" s="166" t="s">
        <v>329</v>
      </c>
      <c r="O77" s="166" t="s">
        <v>320</v>
      </c>
      <c r="P77" s="180">
        <v>41635</v>
      </c>
      <c r="Q77" s="180">
        <v>41653</v>
      </c>
      <c r="R77" s="166" t="s">
        <v>310</v>
      </c>
      <c r="S77" s="166" t="s">
        <v>543</v>
      </c>
      <c r="T77" s="166" t="s">
        <v>544</v>
      </c>
      <c r="U77" s="166" t="s">
        <v>515</v>
      </c>
      <c r="V77" s="166">
        <v>80123303</v>
      </c>
      <c r="W77" s="173"/>
      <c r="X77" s="166" t="s">
        <v>315</v>
      </c>
      <c r="Y77" s="166"/>
      <c r="Z77" s="174">
        <v>845</v>
      </c>
      <c r="AA77" s="175">
        <v>3800000</v>
      </c>
      <c r="AB77" s="174">
        <v>878</v>
      </c>
      <c r="AC77" s="175">
        <v>3700000</v>
      </c>
      <c r="AD77" s="175">
        <v>0</v>
      </c>
      <c r="AE77" s="175">
        <v>0</v>
      </c>
      <c r="AF77" s="175">
        <v>0</v>
      </c>
      <c r="AG77" s="175">
        <v>0</v>
      </c>
      <c r="AH77" s="175">
        <v>0</v>
      </c>
      <c r="AI77" s="175">
        <v>0</v>
      </c>
      <c r="AJ77" s="175">
        <v>0</v>
      </c>
      <c r="AK77" s="175">
        <v>0</v>
      </c>
      <c r="AL77" s="175">
        <v>0</v>
      </c>
      <c r="AM77" s="175">
        <v>0</v>
      </c>
      <c r="AN77" s="175">
        <v>0</v>
      </c>
      <c r="AO77" s="175">
        <v>0</v>
      </c>
      <c r="AP77" s="175">
        <f t="shared" si="26"/>
        <v>0</v>
      </c>
      <c r="AQ77" s="175">
        <f t="shared" si="27"/>
        <v>3700000</v>
      </c>
      <c r="AR77" s="176">
        <f t="shared" si="28"/>
        <v>0</v>
      </c>
      <c r="AS77" s="176"/>
      <c r="AT77" s="174">
        <v>179</v>
      </c>
      <c r="AU77" s="174">
        <v>179</v>
      </c>
      <c r="AV77" s="175">
        <v>3700000</v>
      </c>
      <c r="AW77" s="174">
        <v>0</v>
      </c>
      <c r="AX77" s="174">
        <v>0</v>
      </c>
      <c r="AY77" s="174">
        <v>1850000</v>
      </c>
      <c r="AZ77" s="174">
        <v>0</v>
      </c>
      <c r="BA77" s="174">
        <v>1850000</v>
      </c>
      <c r="BB77" s="174">
        <v>0</v>
      </c>
      <c r="BC77" s="174">
        <v>0</v>
      </c>
      <c r="BD77" s="174">
        <v>0</v>
      </c>
      <c r="BE77" s="174">
        <v>0</v>
      </c>
      <c r="BF77" s="174">
        <v>0</v>
      </c>
      <c r="BG77" s="174">
        <v>0</v>
      </c>
      <c r="BH77" s="174">
        <v>0</v>
      </c>
      <c r="BI77" s="175">
        <f t="shared" si="21"/>
        <v>3700000</v>
      </c>
      <c r="BJ77" s="175">
        <f t="shared" si="22"/>
        <v>0</v>
      </c>
      <c r="BK77" s="176">
        <f t="shared" si="29"/>
        <v>1</v>
      </c>
      <c r="BL77" s="170"/>
      <c r="BM77" s="170"/>
      <c r="BN77" s="170"/>
      <c r="BO77" s="172"/>
      <c r="BP77" s="172"/>
      <c r="BQ77" s="172"/>
      <c r="BR77" s="172"/>
      <c r="BS77" s="172"/>
      <c r="BT77" s="172"/>
      <c r="BU77" s="172"/>
      <c r="BV77" s="172"/>
      <c r="BW77" s="172"/>
      <c r="BX77" s="172"/>
      <c r="BY77" s="172"/>
      <c r="BZ77" s="172"/>
      <c r="CA77" s="172">
        <f t="shared" si="23"/>
        <v>0</v>
      </c>
      <c r="CB77" s="172">
        <f t="shared" si="24"/>
        <v>0</v>
      </c>
      <c r="CC77" s="494" t="e">
        <f t="shared" si="25"/>
        <v>#DIV/0!</v>
      </c>
      <c r="CD77" s="192"/>
      <c r="CE77" s="192"/>
      <c r="CF77" s="172"/>
      <c r="CG77" s="172"/>
      <c r="CH77" s="172"/>
      <c r="CI77" s="172"/>
      <c r="CJ77" s="172"/>
      <c r="CK77" s="172"/>
      <c r="CL77" s="172"/>
      <c r="CM77" s="172"/>
      <c r="CN77" s="172"/>
      <c r="CO77" s="172"/>
      <c r="CP77" s="172"/>
      <c r="CQ77" s="172"/>
      <c r="CR77" s="172"/>
      <c r="CS77" s="172">
        <v>0</v>
      </c>
      <c r="CT77" s="172">
        <v>0</v>
      </c>
      <c r="CU77" s="192" t="e">
        <v>#DIV/0!</v>
      </c>
    </row>
    <row r="78" spans="1:99" s="68" customFormat="1" x14ac:dyDescent="0.25">
      <c r="A78" s="491">
        <v>117</v>
      </c>
      <c r="B78" s="65" t="s">
        <v>128</v>
      </c>
      <c r="C78" s="491">
        <v>1161</v>
      </c>
      <c r="D78" s="65" t="s">
        <v>122</v>
      </c>
      <c r="E78" s="491">
        <v>1</v>
      </c>
      <c r="F78" s="585"/>
      <c r="G78" s="585"/>
      <c r="H78" s="585"/>
      <c r="I78" s="585"/>
      <c r="J78" s="587"/>
      <c r="K78" s="587"/>
      <c r="L78" s="166" t="s">
        <v>545</v>
      </c>
      <c r="M78" s="166" t="s">
        <v>493</v>
      </c>
      <c r="N78" s="166" t="s">
        <v>409</v>
      </c>
      <c r="O78" s="166" t="s">
        <v>356</v>
      </c>
      <c r="P78" s="180">
        <v>41631</v>
      </c>
      <c r="Q78" s="180">
        <v>41653</v>
      </c>
      <c r="R78" s="166" t="s">
        <v>500</v>
      </c>
      <c r="S78" s="166" t="s">
        <v>546</v>
      </c>
      <c r="T78" s="166" t="s">
        <v>540</v>
      </c>
      <c r="U78" s="166" t="s">
        <v>547</v>
      </c>
      <c r="V78" s="166">
        <v>830059289</v>
      </c>
      <c r="W78" s="173"/>
      <c r="X78" s="166" t="s">
        <v>315</v>
      </c>
      <c r="Y78" s="166"/>
      <c r="Z78" s="174">
        <v>823</v>
      </c>
      <c r="AA78" s="175">
        <v>118219000</v>
      </c>
      <c r="AB78" s="174">
        <v>871</v>
      </c>
      <c r="AC78" s="175">
        <v>105387999</v>
      </c>
      <c r="AD78" s="175">
        <v>0</v>
      </c>
      <c r="AE78" s="175">
        <v>0</v>
      </c>
      <c r="AF78" s="175">
        <v>0</v>
      </c>
      <c r="AG78" s="175">
        <v>0</v>
      </c>
      <c r="AH78" s="175">
        <v>0</v>
      </c>
      <c r="AI78" s="175">
        <v>0</v>
      </c>
      <c r="AJ78" s="175">
        <v>0</v>
      </c>
      <c r="AK78" s="175">
        <v>0</v>
      </c>
      <c r="AL78" s="175">
        <v>0</v>
      </c>
      <c r="AM78" s="175">
        <v>0</v>
      </c>
      <c r="AN78" s="175">
        <v>0</v>
      </c>
      <c r="AO78" s="175">
        <v>0</v>
      </c>
      <c r="AP78" s="175">
        <f t="shared" si="26"/>
        <v>0</v>
      </c>
      <c r="AQ78" s="175">
        <f t="shared" si="27"/>
        <v>105387999</v>
      </c>
      <c r="AR78" s="176">
        <f t="shared" si="28"/>
        <v>0</v>
      </c>
      <c r="AS78" s="176"/>
      <c r="AT78" s="174">
        <v>177</v>
      </c>
      <c r="AU78" s="174">
        <v>177</v>
      </c>
      <c r="AV78" s="175">
        <v>88062999</v>
      </c>
      <c r="AW78" s="174">
        <v>0</v>
      </c>
      <c r="AX78" s="174">
        <v>0</v>
      </c>
      <c r="AY78" s="174">
        <v>0</v>
      </c>
      <c r="AZ78" s="174">
        <v>0</v>
      </c>
      <c r="BA78" s="174">
        <v>0</v>
      </c>
      <c r="BB78" s="174">
        <v>0</v>
      </c>
      <c r="BC78" s="174">
        <v>0</v>
      </c>
      <c r="BD78" s="174">
        <v>0</v>
      </c>
      <c r="BE78" s="174">
        <v>0</v>
      </c>
      <c r="BF78" s="174">
        <v>58927999</v>
      </c>
      <c r="BG78" s="174">
        <v>29135000</v>
      </c>
      <c r="BH78" s="174">
        <v>0</v>
      </c>
      <c r="BI78" s="175">
        <f t="shared" si="21"/>
        <v>88062999</v>
      </c>
      <c r="BJ78" s="175">
        <f t="shared" si="22"/>
        <v>0</v>
      </c>
      <c r="BK78" s="176">
        <f t="shared" si="29"/>
        <v>1</v>
      </c>
      <c r="BL78" s="170"/>
      <c r="BM78" s="170"/>
      <c r="BN78" s="170"/>
      <c r="BO78" s="172"/>
      <c r="BP78" s="172"/>
      <c r="BQ78" s="172"/>
      <c r="BR78" s="172"/>
      <c r="BS78" s="172"/>
      <c r="BT78" s="172"/>
      <c r="BU78" s="172"/>
      <c r="BV78" s="172"/>
      <c r="BW78" s="172"/>
      <c r="BX78" s="172"/>
      <c r="BY78" s="172"/>
      <c r="BZ78" s="172"/>
      <c r="CA78" s="172">
        <f t="shared" si="23"/>
        <v>0</v>
      </c>
      <c r="CB78" s="172">
        <f t="shared" si="24"/>
        <v>0</v>
      </c>
      <c r="CC78" s="494" t="e">
        <f t="shared" si="25"/>
        <v>#DIV/0!</v>
      </c>
      <c r="CD78" s="192"/>
      <c r="CE78" s="192"/>
      <c r="CF78" s="172"/>
      <c r="CG78" s="172"/>
      <c r="CH78" s="172"/>
      <c r="CI78" s="172"/>
      <c r="CJ78" s="172"/>
      <c r="CK78" s="172"/>
      <c r="CL78" s="172"/>
      <c r="CM78" s="172"/>
      <c r="CN78" s="172"/>
      <c r="CO78" s="172"/>
      <c r="CP78" s="172"/>
      <c r="CQ78" s="172"/>
      <c r="CR78" s="172"/>
      <c r="CS78" s="172">
        <v>0</v>
      </c>
      <c r="CT78" s="172">
        <v>0</v>
      </c>
      <c r="CU78" s="192" t="e">
        <v>#DIV/0!</v>
      </c>
    </row>
    <row r="79" spans="1:99" s="68" customFormat="1" x14ac:dyDescent="0.25">
      <c r="A79" s="491">
        <v>117</v>
      </c>
      <c r="B79" s="65" t="s">
        <v>128</v>
      </c>
      <c r="C79" s="491">
        <v>1161</v>
      </c>
      <c r="D79" s="65" t="s">
        <v>122</v>
      </c>
      <c r="E79" s="491">
        <v>1</v>
      </c>
      <c r="F79" s="585"/>
      <c r="G79" s="585"/>
      <c r="H79" s="585"/>
      <c r="I79" s="585"/>
      <c r="J79" s="587"/>
      <c r="K79" s="587"/>
      <c r="L79" s="166" t="s">
        <v>548</v>
      </c>
      <c r="M79" s="166" t="s">
        <v>493</v>
      </c>
      <c r="N79" s="166" t="s">
        <v>329</v>
      </c>
      <c r="O79" s="166" t="s">
        <v>356</v>
      </c>
      <c r="P79" s="180">
        <v>41635</v>
      </c>
      <c r="Q79" s="180">
        <v>41653</v>
      </c>
      <c r="R79" s="166" t="s">
        <v>310</v>
      </c>
      <c r="S79" s="166" t="s">
        <v>549</v>
      </c>
      <c r="T79" s="166" t="s">
        <v>375</v>
      </c>
      <c r="U79" s="166" t="s">
        <v>547</v>
      </c>
      <c r="V79" s="166">
        <v>830059289</v>
      </c>
      <c r="W79" s="173"/>
      <c r="X79" s="166" t="s">
        <v>315</v>
      </c>
      <c r="Y79" s="166"/>
      <c r="Z79" s="174">
        <v>749</v>
      </c>
      <c r="AA79" s="175">
        <v>43202500</v>
      </c>
      <c r="AB79" s="174">
        <v>874</v>
      </c>
      <c r="AC79" s="175">
        <v>42080760</v>
      </c>
      <c r="AD79" s="175">
        <v>0</v>
      </c>
      <c r="AE79" s="175">
        <v>0</v>
      </c>
      <c r="AF79" s="175">
        <v>0</v>
      </c>
      <c r="AG79" s="175">
        <v>0</v>
      </c>
      <c r="AH79" s="175">
        <v>0</v>
      </c>
      <c r="AI79" s="175">
        <v>0</v>
      </c>
      <c r="AJ79" s="175">
        <v>0</v>
      </c>
      <c r="AK79" s="175">
        <v>0</v>
      </c>
      <c r="AL79" s="175">
        <v>0</v>
      </c>
      <c r="AM79" s="175">
        <v>0</v>
      </c>
      <c r="AN79" s="175">
        <v>0</v>
      </c>
      <c r="AO79" s="175">
        <v>0</v>
      </c>
      <c r="AP79" s="175">
        <f t="shared" si="26"/>
        <v>0</v>
      </c>
      <c r="AQ79" s="175">
        <f t="shared" si="27"/>
        <v>42080760</v>
      </c>
      <c r="AR79" s="176">
        <f t="shared" si="28"/>
        <v>0</v>
      </c>
      <c r="AS79" s="176"/>
      <c r="AT79" s="174">
        <v>178</v>
      </c>
      <c r="AU79" s="174">
        <v>178</v>
      </c>
      <c r="AV79" s="175">
        <v>42080760</v>
      </c>
      <c r="AW79" s="174">
        <v>0</v>
      </c>
      <c r="AX79" s="174">
        <v>0</v>
      </c>
      <c r="AY79" s="174">
        <v>0</v>
      </c>
      <c r="AZ79" s="174">
        <v>0</v>
      </c>
      <c r="BA79" s="174">
        <v>0</v>
      </c>
      <c r="BB79" s="174">
        <v>10031600</v>
      </c>
      <c r="BC79" s="174">
        <v>0</v>
      </c>
      <c r="BD79" s="174">
        <v>0</v>
      </c>
      <c r="BE79" s="174">
        <v>31768960</v>
      </c>
      <c r="BF79" s="174">
        <v>0</v>
      </c>
      <c r="BG79" s="174">
        <v>0</v>
      </c>
      <c r="BH79" s="174">
        <v>0</v>
      </c>
      <c r="BI79" s="175">
        <f t="shared" si="21"/>
        <v>41800560</v>
      </c>
      <c r="BJ79" s="175">
        <f t="shared" si="22"/>
        <v>280200</v>
      </c>
      <c r="BK79" s="176">
        <f t="shared" si="29"/>
        <v>0.99334137501318898</v>
      </c>
      <c r="BL79" s="170">
        <v>45</v>
      </c>
      <c r="BM79" s="170">
        <v>33</v>
      </c>
      <c r="BN79" s="170">
        <v>0</v>
      </c>
      <c r="BO79" s="172">
        <v>0</v>
      </c>
      <c r="BP79" s="172">
        <v>0</v>
      </c>
      <c r="BQ79" s="172">
        <v>0</v>
      </c>
      <c r="BR79" s="172">
        <v>0</v>
      </c>
      <c r="BS79" s="172">
        <v>0</v>
      </c>
      <c r="BT79" s="172">
        <v>0</v>
      </c>
      <c r="BU79" s="172">
        <v>0</v>
      </c>
      <c r="BV79" s="172">
        <v>0</v>
      </c>
      <c r="BW79" s="172">
        <v>0</v>
      </c>
      <c r="BX79" s="172">
        <v>0</v>
      </c>
      <c r="BY79" s="172">
        <v>0</v>
      </c>
      <c r="BZ79" s="172">
        <v>0</v>
      </c>
      <c r="CA79" s="172">
        <f t="shared" si="23"/>
        <v>0</v>
      </c>
      <c r="CB79" s="172">
        <f t="shared" si="24"/>
        <v>0</v>
      </c>
      <c r="CC79" s="494" t="e">
        <f t="shared" si="25"/>
        <v>#DIV/0!</v>
      </c>
      <c r="CD79" s="192"/>
      <c r="CE79" s="192"/>
      <c r="CF79" s="172"/>
      <c r="CG79" s="172"/>
      <c r="CH79" s="172"/>
      <c r="CI79" s="172"/>
      <c r="CJ79" s="172"/>
      <c r="CK79" s="172"/>
      <c r="CL79" s="172"/>
      <c r="CM79" s="172"/>
      <c r="CN79" s="172"/>
      <c r="CO79" s="172"/>
      <c r="CP79" s="172"/>
      <c r="CQ79" s="172"/>
      <c r="CR79" s="172"/>
      <c r="CS79" s="172">
        <v>0</v>
      </c>
      <c r="CT79" s="172">
        <v>0</v>
      </c>
      <c r="CU79" s="192" t="e">
        <v>#DIV/0!</v>
      </c>
    </row>
    <row r="80" spans="1:99" s="68" customFormat="1" x14ac:dyDescent="0.25">
      <c r="A80" s="491">
        <v>117</v>
      </c>
      <c r="B80" s="65" t="s">
        <v>128</v>
      </c>
      <c r="C80" s="491">
        <v>1161</v>
      </c>
      <c r="D80" s="65" t="s">
        <v>122</v>
      </c>
      <c r="E80" s="491">
        <v>1</v>
      </c>
      <c r="F80" s="585"/>
      <c r="G80" s="585"/>
      <c r="H80" s="585"/>
      <c r="I80" s="585"/>
      <c r="J80" s="587"/>
      <c r="K80" s="587"/>
      <c r="L80" s="166" t="s">
        <v>550</v>
      </c>
      <c r="M80" s="166" t="s">
        <v>493</v>
      </c>
      <c r="N80" s="166" t="s">
        <v>329</v>
      </c>
      <c r="O80" s="166" t="s">
        <v>356</v>
      </c>
      <c r="P80" s="180">
        <v>41631</v>
      </c>
      <c r="Q80" s="180">
        <v>41659</v>
      </c>
      <c r="R80" s="166" t="s">
        <v>500</v>
      </c>
      <c r="S80" s="166" t="s">
        <v>551</v>
      </c>
      <c r="T80" s="166" t="s">
        <v>540</v>
      </c>
      <c r="U80" s="166" t="s">
        <v>552</v>
      </c>
      <c r="V80" s="166">
        <v>900116219</v>
      </c>
      <c r="W80" s="173"/>
      <c r="X80" s="166" t="s">
        <v>315</v>
      </c>
      <c r="Y80" s="166"/>
      <c r="Z80" s="174">
        <v>752</v>
      </c>
      <c r="AA80" s="175">
        <v>117835000</v>
      </c>
      <c r="AB80" s="174">
        <v>870</v>
      </c>
      <c r="AC80" s="175">
        <v>114506000</v>
      </c>
      <c r="AD80" s="175">
        <v>0</v>
      </c>
      <c r="AE80" s="175">
        <v>0</v>
      </c>
      <c r="AF80" s="175">
        <v>0</v>
      </c>
      <c r="AG80" s="175">
        <v>0</v>
      </c>
      <c r="AH80" s="175">
        <v>0</v>
      </c>
      <c r="AI80" s="175">
        <v>0</v>
      </c>
      <c r="AJ80" s="175">
        <v>0</v>
      </c>
      <c r="AK80" s="175">
        <v>0</v>
      </c>
      <c r="AL80" s="175">
        <v>0</v>
      </c>
      <c r="AM80" s="175">
        <v>0</v>
      </c>
      <c r="AN80" s="175">
        <v>0</v>
      </c>
      <c r="AO80" s="175">
        <v>0</v>
      </c>
      <c r="AP80" s="175">
        <f t="shared" si="26"/>
        <v>0</v>
      </c>
      <c r="AQ80" s="175">
        <f t="shared" si="27"/>
        <v>114506000</v>
      </c>
      <c r="AR80" s="176">
        <f t="shared" si="28"/>
        <v>0</v>
      </c>
      <c r="AS80" s="176"/>
      <c r="AT80" s="174">
        <v>176</v>
      </c>
      <c r="AU80" s="174">
        <v>176</v>
      </c>
      <c r="AV80" s="175">
        <v>114506000</v>
      </c>
      <c r="AW80" s="174">
        <v>0</v>
      </c>
      <c r="AX80" s="174">
        <v>0</v>
      </c>
      <c r="AY80" s="174">
        <v>0</v>
      </c>
      <c r="AZ80" s="174">
        <v>0</v>
      </c>
      <c r="BA80" s="174">
        <v>34351800</v>
      </c>
      <c r="BB80" s="174">
        <v>6020000</v>
      </c>
      <c r="BC80" s="174">
        <v>1710000</v>
      </c>
      <c r="BD80" s="174">
        <v>0</v>
      </c>
      <c r="BE80" s="174">
        <v>14050000</v>
      </c>
      <c r="BF80" s="174">
        <v>0</v>
      </c>
      <c r="BG80" s="174">
        <v>0</v>
      </c>
      <c r="BH80" s="174">
        <v>58374200</v>
      </c>
      <c r="BI80" s="175">
        <f t="shared" si="21"/>
        <v>114506000</v>
      </c>
      <c r="BJ80" s="175">
        <f t="shared" si="22"/>
        <v>0</v>
      </c>
      <c r="BK80" s="176">
        <f t="shared" si="29"/>
        <v>1</v>
      </c>
      <c r="BL80" s="170"/>
      <c r="BM80" s="170"/>
      <c r="BN80" s="170"/>
      <c r="BO80" s="172"/>
      <c r="BP80" s="172"/>
      <c r="BQ80" s="172"/>
      <c r="BR80" s="172"/>
      <c r="BS80" s="172"/>
      <c r="BT80" s="172"/>
      <c r="BU80" s="172"/>
      <c r="BV80" s="172"/>
      <c r="BW80" s="172"/>
      <c r="BX80" s="172"/>
      <c r="BY80" s="172"/>
      <c r="BZ80" s="172"/>
      <c r="CA80" s="172">
        <f t="shared" si="23"/>
        <v>0</v>
      </c>
      <c r="CB80" s="172">
        <f t="shared" si="24"/>
        <v>0</v>
      </c>
      <c r="CC80" s="494" t="e">
        <f t="shared" si="25"/>
        <v>#DIV/0!</v>
      </c>
      <c r="CD80" s="192"/>
      <c r="CE80" s="192"/>
      <c r="CF80" s="172"/>
      <c r="CG80" s="172"/>
      <c r="CH80" s="172"/>
      <c r="CI80" s="172"/>
      <c r="CJ80" s="172"/>
      <c r="CK80" s="172"/>
      <c r="CL80" s="172"/>
      <c r="CM80" s="172"/>
      <c r="CN80" s="172"/>
      <c r="CO80" s="172"/>
      <c r="CP80" s="172"/>
      <c r="CQ80" s="172"/>
      <c r="CR80" s="172"/>
      <c r="CS80" s="172">
        <v>0</v>
      </c>
      <c r="CT80" s="172">
        <v>0</v>
      </c>
      <c r="CU80" s="192" t="e">
        <v>#DIV/0!</v>
      </c>
    </row>
    <row r="81" spans="1:99" s="68" customFormat="1" ht="13.5" customHeight="1" x14ac:dyDescent="0.25">
      <c r="A81" s="491">
        <v>118</v>
      </c>
      <c r="B81" s="65" t="s">
        <v>134</v>
      </c>
      <c r="C81" s="491">
        <v>1163</v>
      </c>
      <c r="D81" s="65" t="s">
        <v>136</v>
      </c>
      <c r="E81" s="491">
        <v>1</v>
      </c>
      <c r="F81" s="584" t="s">
        <v>53</v>
      </c>
      <c r="G81" s="584">
        <v>4500</v>
      </c>
      <c r="H81" s="584" t="s">
        <v>61</v>
      </c>
      <c r="I81" s="584" t="s">
        <v>137</v>
      </c>
      <c r="J81" s="598"/>
      <c r="K81" s="598"/>
      <c r="L81" s="166" t="s">
        <v>553</v>
      </c>
      <c r="M81" s="166" t="s">
        <v>493</v>
      </c>
      <c r="N81" s="166" t="s">
        <v>319</v>
      </c>
      <c r="O81" s="166" t="s">
        <v>400</v>
      </c>
      <c r="P81" s="180">
        <v>41572</v>
      </c>
      <c r="Q81" s="180">
        <v>41619</v>
      </c>
      <c r="R81" s="166" t="s">
        <v>500</v>
      </c>
      <c r="S81" s="166" t="s">
        <v>554</v>
      </c>
      <c r="T81" s="166" t="s">
        <v>555</v>
      </c>
      <c r="U81" s="166" t="s">
        <v>487</v>
      </c>
      <c r="V81" s="166">
        <v>822004163</v>
      </c>
      <c r="W81" s="173"/>
      <c r="X81" s="173"/>
      <c r="Y81" s="166"/>
      <c r="Z81" s="174">
        <v>747</v>
      </c>
      <c r="AA81" s="175">
        <v>107750500</v>
      </c>
      <c r="AB81" s="174">
        <v>765</v>
      </c>
      <c r="AC81" s="175">
        <v>107750500</v>
      </c>
      <c r="AD81" s="175">
        <v>0</v>
      </c>
      <c r="AE81" s="175">
        <v>0</v>
      </c>
      <c r="AF81" s="175">
        <v>0</v>
      </c>
      <c r="AG81" s="175">
        <v>0</v>
      </c>
      <c r="AH81" s="175">
        <v>0</v>
      </c>
      <c r="AI81" s="175">
        <v>0</v>
      </c>
      <c r="AJ81" s="175">
        <v>0</v>
      </c>
      <c r="AK81" s="175">
        <v>0</v>
      </c>
      <c r="AL81" s="175">
        <v>0</v>
      </c>
      <c r="AM81" s="175">
        <v>0</v>
      </c>
      <c r="AN81" s="175">
        <v>0</v>
      </c>
      <c r="AO81" s="175">
        <v>0</v>
      </c>
      <c r="AP81" s="175">
        <f t="shared" si="26"/>
        <v>0</v>
      </c>
      <c r="AQ81" s="175">
        <f t="shared" si="27"/>
        <v>107750500</v>
      </c>
      <c r="AR81" s="176">
        <f t="shared" si="28"/>
        <v>0</v>
      </c>
      <c r="AS81" s="176"/>
      <c r="AT81" s="174">
        <v>186</v>
      </c>
      <c r="AU81" s="174">
        <v>186</v>
      </c>
      <c r="AV81" s="175">
        <v>107750500</v>
      </c>
      <c r="AW81" s="174">
        <v>0</v>
      </c>
      <c r="AX81" s="174">
        <v>0</v>
      </c>
      <c r="AY81" s="174">
        <v>0</v>
      </c>
      <c r="AZ81" s="174">
        <v>0</v>
      </c>
      <c r="BA81" s="174">
        <v>0</v>
      </c>
      <c r="BB81" s="174">
        <v>0</v>
      </c>
      <c r="BC81" s="174">
        <v>0</v>
      </c>
      <c r="BD81" s="174">
        <v>107750500</v>
      </c>
      <c r="BE81" s="174">
        <v>0</v>
      </c>
      <c r="BF81" s="174">
        <v>0</v>
      </c>
      <c r="BG81" s="174">
        <v>0</v>
      </c>
      <c r="BH81" s="174">
        <v>0</v>
      </c>
      <c r="BI81" s="175">
        <f t="shared" si="21"/>
        <v>107750500</v>
      </c>
      <c r="BJ81" s="175">
        <f t="shared" si="22"/>
        <v>0</v>
      </c>
      <c r="BK81" s="176">
        <f t="shared" si="29"/>
        <v>1</v>
      </c>
      <c r="BL81" s="170"/>
      <c r="BM81" s="170"/>
      <c r="BN81" s="170"/>
      <c r="BO81" s="172"/>
      <c r="BP81" s="172"/>
      <c r="BQ81" s="172"/>
      <c r="BR81" s="172"/>
      <c r="BS81" s="172"/>
      <c r="BT81" s="172"/>
      <c r="BU81" s="172"/>
      <c r="BV81" s="172"/>
      <c r="BW81" s="172"/>
      <c r="BX81" s="172"/>
      <c r="BY81" s="172"/>
      <c r="BZ81" s="172"/>
      <c r="CA81" s="172">
        <f t="shared" si="23"/>
        <v>0</v>
      </c>
      <c r="CB81" s="172">
        <f t="shared" si="24"/>
        <v>0</v>
      </c>
      <c r="CC81" s="494" t="e">
        <f t="shared" si="25"/>
        <v>#DIV/0!</v>
      </c>
      <c r="CD81" s="192"/>
      <c r="CE81" s="192"/>
      <c r="CF81" s="172"/>
      <c r="CG81" s="172"/>
      <c r="CH81" s="172"/>
      <c r="CI81" s="172"/>
      <c r="CJ81" s="172"/>
      <c r="CK81" s="172"/>
      <c r="CL81" s="172"/>
      <c r="CM81" s="172"/>
      <c r="CN81" s="172"/>
      <c r="CO81" s="172"/>
      <c r="CP81" s="172"/>
      <c r="CQ81" s="172"/>
      <c r="CR81" s="172"/>
      <c r="CS81" s="172">
        <v>0</v>
      </c>
      <c r="CT81" s="172">
        <v>0</v>
      </c>
      <c r="CU81" s="192" t="e">
        <v>#DIV/0!</v>
      </c>
    </row>
    <row r="82" spans="1:99" s="68" customFormat="1" x14ac:dyDescent="0.25">
      <c r="A82" s="491">
        <v>118</v>
      </c>
      <c r="B82" s="65" t="s">
        <v>134</v>
      </c>
      <c r="C82" s="491">
        <v>1163</v>
      </c>
      <c r="D82" s="65" t="s">
        <v>136</v>
      </c>
      <c r="E82" s="491">
        <v>1</v>
      </c>
      <c r="F82" s="585"/>
      <c r="G82" s="585"/>
      <c r="H82" s="585"/>
      <c r="I82" s="585"/>
      <c r="J82" s="599"/>
      <c r="K82" s="599"/>
      <c r="L82" s="166" t="s">
        <v>556</v>
      </c>
      <c r="M82" s="166" t="s">
        <v>493</v>
      </c>
      <c r="N82" s="166" t="s">
        <v>319</v>
      </c>
      <c r="O82" s="166" t="s">
        <v>400</v>
      </c>
      <c r="P82" s="180">
        <v>41586</v>
      </c>
      <c r="Q82" s="180">
        <v>41299</v>
      </c>
      <c r="R82" s="166" t="s">
        <v>310</v>
      </c>
      <c r="S82" s="189" t="s">
        <v>557</v>
      </c>
      <c r="T82" s="166" t="s">
        <v>555</v>
      </c>
      <c r="U82" s="166" t="s">
        <v>558</v>
      </c>
      <c r="V82" s="189">
        <v>900270576</v>
      </c>
      <c r="W82" s="173"/>
      <c r="X82" s="173"/>
      <c r="Y82" s="166"/>
      <c r="Z82" s="174">
        <v>800</v>
      </c>
      <c r="AA82" s="175">
        <v>115688250</v>
      </c>
      <c r="AB82" s="174">
        <v>793</v>
      </c>
      <c r="AC82" s="175">
        <v>115688250</v>
      </c>
      <c r="AD82" s="175">
        <v>0</v>
      </c>
      <c r="AE82" s="175">
        <v>0</v>
      </c>
      <c r="AF82" s="175">
        <v>0</v>
      </c>
      <c r="AG82" s="175">
        <v>0</v>
      </c>
      <c r="AH82" s="175">
        <v>0</v>
      </c>
      <c r="AI82" s="175">
        <v>0</v>
      </c>
      <c r="AJ82" s="175">
        <v>0</v>
      </c>
      <c r="AK82" s="175">
        <v>0</v>
      </c>
      <c r="AL82" s="175">
        <v>0</v>
      </c>
      <c r="AM82" s="175">
        <v>0</v>
      </c>
      <c r="AN82" s="175">
        <v>0</v>
      </c>
      <c r="AO82" s="175">
        <v>46275300</v>
      </c>
      <c r="AP82" s="175">
        <f t="shared" si="26"/>
        <v>46275300</v>
      </c>
      <c r="AQ82" s="175">
        <f t="shared" si="27"/>
        <v>69412950</v>
      </c>
      <c r="AR82" s="176">
        <f t="shared" si="28"/>
        <v>0.4</v>
      </c>
      <c r="AS82" s="176"/>
      <c r="AT82" s="174">
        <v>191</v>
      </c>
      <c r="AU82" s="174">
        <v>191</v>
      </c>
      <c r="AV82" s="175">
        <v>65113050</v>
      </c>
      <c r="AW82" s="174">
        <v>0</v>
      </c>
      <c r="AX82" s="174">
        <v>0</v>
      </c>
      <c r="AY82" s="174">
        <v>65113050</v>
      </c>
      <c r="AZ82" s="174">
        <v>0</v>
      </c>
      <c r="BA82" s="174">
        <v>0</v>
      </c>
      <c r="BB82" s="174">
        <v>0</v>
      </c>
      <c r="BC82" s="174">
        <v>0</v>
      </c>
      <c r="BD82" s="174">
        <v>0</v>
      </c>
      <c r="BE82" s="174">
        <v>0</v>
      </c>
      <c r="BF82" s="174">
        <v>0</v>
      </c>
      <c r="BG82" s="174">
        <v>0</v>
      </c>
      <c r="BH82" s="174">
        <v>0</v>
      </c>
      <c r="BI82" s="175">
        <f t="shared" si="21"/>
        <v>65113050</v>
      </c>
      <c r="BJ82" s="175">
        <f t="shared" si="22"/>
        <v>0</v>
      </c>
      <c r="BK82" s="176">
        <f t="shared" si="29"/>
        <v>1</v>
      </c>
      <c r="BL82" s="170"/>
      <c r="BM82" s="170"/>
      <c r="BN82" s="170"/>
      <c r="BO82" s="172"/>
      <c r="BP82" s="172"/>
      <c r="BQ82" s="172"/>
      <c r="BR82" s="172"/>
      <c r="BS82" s="172"/>
      <c r="BT82" s="172"/>
      <c r="BU82" s="172"/>
      <c r="BV82" s="172"/>
      <c r="BW82" s="172"/>
      <c r="BX82" s="172"/>
      <c r="BY82" s="172"/>
      <c r="BZ82" s="172"/>
      <c r="CA82" s="172">
        <f t="shared" si="23"/>
        <v>0</v>
      </c>
      <c r="CB82" s="172">
        <f t="shared" si="24"/>
        <v>0</v>
      </c>
      <c r="CC82" s="494" t="e">
        <f t="shared" si="25"/>
        <v>#DIV/0!</v>
      </c>
      <c r="CD82" s="192"/>
      <c r="CE82" s="192"/>
      <c r="CF82" s="172"/>
      <c r="CG82" s="172"/>
      <c r="CH82" s="172"/>
      <c r="CI82" s="172"/>
      <c r="CJ82" s="172"/>
      <c r="CK82" s="172"/>
      <c r="CL82" s="172"/>
      <c r="CM82" s="172"/>
      <c r="CN82" s="172"/>
      <c r="CO82" s="172"/>
      <c r="CP82" s="172"/>
      <c r="CQ82" s="172"/>
      <c r="CR82" s="172"/>
      <c r="CS82" s="172">
        <v>0</v>
      </c>
      <c r="CT82" s="172">
        <v>0</v>
      </c>
      <c r="CU82" s="192" t="e">
        <v>#DIV/0!</v>
      </c>
    </row>
    <row r="83" spans="1:99" s="68" customFormat="1" x14ac:dyDescent="0.25">
      <c r="A83" s="491">
        <v>118</v>
      </c>
      <c r="B83" s="65" t="s">
        <v>134</v>
      </c>
      <c r="C83" s="491">
        <v>1163</v>
      </c>
      <c r="D83" s="65" t="s">
        <v>136</v>
      </c>
      <c r="E83" s="491">
        <v>1</v>
      </c>
      <c r="F83" s="585"/>
      <c r="G83" s="585"/>
      <c r="H83" s="585"/>
      <c r="I83" s="585"/>
      <c r="J83" s="599"/>
      <c r="K83" s="599"/>
      <c r="L83" s="166" t="s">
        <v>559</v>
      </c>
      <c r="M83" s="166" t="s">
        <v>493</v>
      </c>
      <c r="N83" s="166" t="s">
        <v>391</v>
      </c>
      <c r="O83" s="166" t="s">
        <v>320</v>
      </c>
      <c r="P83" s="180">
        <v>41586</v>
      </c>
      <c r="Q83" s="180">
        <v>41603</v>
      </c>
      <c r="R83" s="166" t="s">
        <v>441</v>
      </c>
      <c r="S83" s="189" t="s">
        <v>560</v>
      </c>
      <c r="T83" s="166" t="s">
        <v>561</v>
      </c>
      <c r="U83" s="166" t="s">
        <v>562</v>
      </c>
      <c r="V83" s="166">
        <v>79468854</v>
      </c>
      <c r="W83" s="173"/>
      <c r="X83" s="173"/>
      <c r="Y83" s="166"/>
      <c r="Z83" s="174">
        <v>811</v>
      </c>
      <c r="AA83" s="175">
        <v>6300000</v>
      </c>
      <c r="AB83" s="174">
        <v>787</v>
      </c>
      <c r="AC83" s="175">
        <v>6300000</v>
      </c>
      <c r="AD83" s="175">
        <v>0</v>
      </c>
      <c r="AE83" s="175">
        <v>0</v>
      </c>
      <c r="AF83" s="175">
        <v>0</v>
      </c>
      <c r="AG83" s="175">
        <v>0</v>
      </c>
      <c r="AH83" s="175">
        <v>0</v>
      </c>
      <c r="AI83" s="175">
        <v>0</v>
      </c>
      <c r="AJ83" s="175">
        <v>0</v>
      </c>
      <c r="AK83" s="175">
        <v>0</v>
      </c>
      <c r="AL83" s="175">
        <v>0</v>
      </c>
      <c r="AM83" s="175">
        <v>0</v>
      </c>
      <c r="AN83" s="175">
        <v>0</v>
      </c>
      <c r="AO83" s="175">
        <v>0</v>
      </c>
      <c r="AP83" s="175">
        <f t="shared" si="26"/>
        <v>0</v>
      </c>
      <c r="AQ83" s="175">
        <f t="shared" si="27"/>
        <v>6300000</v>
      </c>
      <c r="AR83" s="176">
        <f t="shared" si="28"/>
        <v>0</v>
      </c>
      <c r="AS83" s="176"/>
      <c r="AT83" s="174">
        <v>189</v>
      </c>
      <c r="AU83" s="174">
        <v>189</v>
      </c>
      <c r="AV83" s="175">
        <v>6300000</v>
      </c>
      <c r="AW83" s="174">
        <v>0</v>
      </c>
      <c r="AX83" s="174">
        <v>0</v>
      </c>
      <c r="AY83" s="174">
        <v>0</v>
      </c>
      <c r="AZ83" s="174">
        <v>2100000</v>
      </c>
      <c r="BA83" s="174">
        <v>0</v>
      </c>
      <c r="BB83" s="174">
        <v>0</v>
      </c>
      <c r="BC83" s="174">
        <v>0</v>
      </c>
      <c r="BD83" s="174">
        <v>0</v>
      </c>
      <c r="BE83" s="174">
        <v>0</v>
      </c>
      <c r="BF83" s="174">
        <v>0</v>
      </c>
      <c r="BG83" s="174">
        <v>0</v>
      </c>
      <c r="BH83" s="174">
        <v>4200000</v>
      </c>
      <c r="BI83" s="175">
        <f t="shared" si="21"/>
        <v>6300000</v>
      </c>
      <c r="BJ83" s="175">
        <f t="shared" si="22"/>
        <v>0</v>
      </c>
      <c r="BK83" s="176">
        <f t="shared" si="29"/>
        <v>1</v>
      </c>
      <c r="BL83" s="170"/>
      <c r="BM83" s="170"/>
      <c r="BN83" s="170"/>
      <c r="BO83" s="172"/>
      <c r="BP83" s="172"/>
      <c r="BQ83" s="172"/>
      <c r="BR83" s="172"/>
      <c r="BS83" s="172"/>
      <c r="BT83" s="172"/>
      <c r="BU83" s="172"/>
      <c r="BV83" s="172"/>
      <c r="BW83" s="172"/>
      <c r="BX83" s="172"/>
      <c r="BY83" s="172"/>
      <c r="BZ83" s="172"/>
      <c r="CA83" s="172">
        <f t="shared" si="23"/>
        <v>0</v>
      </c>
      <c r="CB83" s="172">
        <f t="shared" si="24"/>
        <v>0</v>
      </c>
      <c r="CC83" s="494" t="e">
        <f t="shared" si="25"/>
        <v>#DIV/0!</v>
      </c>
      <c r="CD83" s="192"/>
      <c r="CE83" s="192"/>
      <c r="CF83" s="172"/>
      <c r="CG83" s="172"/>
      <c r="CH83" s="172"/>
      <c r="CI83" s="172"/>
      <c r="CJ83" s="172"/>
      <c r="CK83" s="172"/>
      <c r="CL83" s="172"/>
      <c r="CM83" s="172"/>
      <c r="CN83" s="172"/>
      <c r="CO83" s="172"/>
      <c r="CP83" s="172"/>
      <c r="CQ83" s="172"/>
      <c r="CR83" s="172"/>
      <c r="CS83" s="172">
        <v>0</v>
      </c>
      <c r="CT83" s="172">
        <v>0</v>
      </c>
      <c r="CU83" s="192" t="e">
        <v>#DIV/0!</v>
      </c>
    </row>
    <row r="84" spans="1:99" s="68" customFormat="1" x14ac:dyDescent="0.25">
      <c r="A84" s="491">
        <v>118</v>
      </c>
      <c r="B84" s="65" t="s">
        <v>134</v>
      </c>
      <c r="C84" s="491">
        <v>1163</v>
      </c>
      <c r="D84" s="65" t="s">
        <v>136</v>
      </c>
      <c r="E84" s="491">
        <v>1</v>
      </c>
      <c r="F84" s="585"/>
      <c r="G84" s="585"/>
      <c r="H84" s="585"/>
      <c r="I84" s="585"/>
      <c r="J84" s="599"/>
      <c r="K84" s="599"/>
      <c r="L84" s="166" t="s">
        <v>563</v>
      </c>
      <c r="M84" s="166" t="s">
        <v>493</v>
      </c>
      <c r="N84" s="166" t="s">
        <v>319</v>
      </c>
      <c r="O84" s="166" t="s">
        <v>400</v>
      </c>
      <c r="P84" s="180">
        <v>41586</v>
      </c>
      <c r="Q84" s="180">
        <v>41603</v>
      </c>
      <c r="R84" s="166" t="s">
        <v>441</v>
      </c>
      <c r="S84" s="166" t="s">
        <v>564</v>
      </c>
      <c r="T84" s="166" t="s">
        <v>565</v>
      </c>
      <c r="U84" s="166" t="s">
        <v>552</v>
      </c>
      <c r="V84" s="189">
        <v>900116219</v>
      </c>
      <c r="W84" s="173"/>
      <c r="X84" s="173"/>
      <c r="Y84" s="166"/>
      <c r="Z84" s="174">
        <v>810</v>
      </c>
      <c r="AA84" s="175">
        <v>169202500</v>
      </c>
      <c r="AB84" s="174">
        <v>781</v>
      </c>
      <c r="AC84" s="175">
        <v>169202500</v>
      </c>
      <c r="AD84" s="175">
        <v>0</v>
      </c>
      <c r="AE84" s="175">
        <v>0</v>
      </c>
      <c r="AF84" s="175">
        <v>0</v>
      </c>
      <c r="AG84" s="175">
        <v>0</v>
      </c>
      <c r="AH84" s="175">
        <v>0</v>
      </c>
      <c r="AI84" s="175">
        <v>0</v>
      </c>
      <c r="AJ84" s="175">
        <v>0</v>
      </c>
      <c r="AK84" s="175">
        <v>0</v>
      </c>
      <c r="AL84" s="175">
        <v>0</v>
      </c>
      <c r="AM84" s="175">
        <v>0</v>
      </c>
      <c r="AN84" s="175">
        <v>0</v>
      </c>
      <c r="AO84" s="175">
        <v>0</v>
      </c>
      <c r="AP84" s="175">
        <f t="shared" si="26"/>
        <v>0</v>
      </c>
      <c r="AQ84" s="175">
        <f t="shared" si="27"/>
        <v>169202500</v>
      </c>
      <c r="AR84" s="176">
        <f t="shared" si="28"/>
        <v>0</v>
      </c>
      <c r="AS84" s="176"/>
      <c r="AT84" s="174">
        <v>188</v>
      </c>
      <c r="AU84" s="174">
        <v>188</v>
      </c>
      <c r="AV84" s="175">
        <v>169202500</v>
      </c>
      <c r="AW84" s="174">
        <v>0</v>
      </c>
      <c r="AX84" s="174">
        <v>0</v>
      </c>
      <c r="AY84" s="174">
        <v>0</v>
      </c>
      <c r="AZ84" s="174">
        <v>0</v>
      </c>
      <c r="BA84" s="174">
        <v>64972500</v>
      </c>
      <c r="BB84" s="174">
        <v>0</v>
      </c>
      <c r="BC84" s="174">
        <v>104230000</v>
      </c>
      <c r="BD84" s="174">
        <v>0</v>
      </c>
      <c r="BE84" s="174">
        <v>0</v>
      </c>
      <c r="BF84" s="174">
        <v>0</v>
      </c>
      <c r="BG84" s="174">
        <v>0</v>
      </c>
      <c r="BH84" s="174">
        <v>0</v>
      </c>
      <c r="BI84" s="175">
        <f t="shared" si="21"/>
        <v>169202500</v>
      </c>
      <c r="BJ84" s="175">
        <f t="shared" si="22"/>
        <v>0</v>
      </c>
      <c r="BK84" s="176">
        <f t="shared" si="29"/>
        <v>1</v>
      </c>
      <c r="BL84" s="170"/>
      <c r="BM84" s="170"/>
      <c r="BN84" s="170"/>
      <c r="BO84" s="172"/>
      <c r="BP84" s="172"/>
      <c r="BQ84" s="172"/>
      <c r="BR84" s="172"/>
      <c r="BS84" s="172"/>
      <c r="BT84" s="172"/>
      <c r="BU84" s="172"/>
      <c r="BV84" s="172"/>
      <c r="BW84" s="172"/>
      <c r="BX84" s="172"/>
      <c r="BY84" s="172"/>
      <c r="BZ84" s="172"/>
      <c r="CA84" s="172">
        <f t="shared" si="23"/>
        <v>0</v>
      </c>
      <c r="CB84" s="172">
        <f t="shared" si="24"/>
        <v>0</v>
      </c>
      <c r="CC84" s="494" t="e">
        <f t="shared" si="25"/>
        <v>#DIV/0!</v>
      </c>
      <c r="CD84" s="192"/>
      <c r="CE84" s="192"/>
      <c r="CF84" s="172"/>
      <c r="CG84" s="172"/>
      <c r="CH84" s="172"/>
      <c r="CI84" s="172"/>
      <c r="CJ84" s="172"/>
      <c r="CK84" s="172"/>
      <c r="CL84" s="172"/>
      <c r="CM84" s="172"/>
      <c r="CN84" s="172"/>
      <c r="CO84" s="172"/>
      <c r="CP84" s="172"/>
      <c r="CQ84" s="172"/>
      <c r="CR84" s="172"/>
      <c r="CS84" s="172">
        <v>0</v>
      </c>
      <c r="CT84" s="172">
        <v>0</v>
      </c>
      <c r="CU84" s="192" t="e">
        <v>#DIV/0!</v>
      </c>
    </row>
    <row r="85" spans="1:99" s="68" customFormat="1" x14ac:dyDescent="0.25">
      <c r="A85" s="491">
        <v>118</v>
      </c>
      <c r="B85" s="65" t="s">
        <v>134</v>
      </c>
      <c r="C85" s="491">
        <v>1163</v>
      </c>
      <c r="D85" s="65" t="s">
        <v>136</v>
      </c>
      <c r="E85" s="491">
        <v>1</v>
      </c>
      <c r="F85" s="585"/>
      <c r="G85" s="585"/>
      <c r="H85" s="585"/>
      <c r="I85" s="585"/>
      <c r="J85" s="599"/>
      <c r="K85" s="599"/>
      <c r="L85" s="166" t="s">
        <v>566</v>
      </c>
      <c r="M85" s="166" t="s">
        <v>493</v>
      </c>
      <c r="N85" s="166" t="s">
        <v>319</v>
      </c>
      <c r="O85" s="166" t="s">
        <v>400</v>
      </c>
      <c r="P85" s="173" t="s">
        <v>314</v>
      </c>
      <c r="Q85" s="180">
        <v>41579</v>
      </c>
      <c r="R85" s="166" t="s">
        <v>357</v>
      </c>
      <c r="S85" s="189" t="s">
        <v>567</v>
      </c>
      <c r="T85" s="166" t="s">
        <v>555</v>
      </c>
      <c r="U85" s="166" t="s">
        <v>552</v>
      </c>
      <c r="V85" s="189">
        <v>900116219</v>
      </c>
      <c r="W85" s="173"/>
      <c r="X85" s="173"/>
      <c r="Y85" s="166"/>
      <c r="Z85" s="174"/>
      <c r="AA85" s="175">
        <v>129292293</v>
      </c>
      <c r="AB85" s="174">
        <v>768</v>
      </c>
      <c r="AC85" s="175">
        <v>129292293</v>
      </c>
      <c r="AD85" s="175">
        <v>0</v>
      </c>
      <c r="AE85" s="175">
        <v>0</v>
      </c>
      <c r="AF85" s="175">
        <v>0</v>
      </c>
      <c r="AG85" s="175">
        <v>0</v>
      </c>
      <c r="AH85" s="175">
        <v>0</v>
      </c>
      <c r="AI85" s="175">
        <v>0</v>
      </c>
      <c r="AJ85" s="175">
        <v>0</v>
      </c>
      <c r="AK85" s="175">
        <v>0</v>
      </c>
      <c r="AL85" s="175">
        <v>0</v>
      </c>
      <c r="AM85" s="175">
        <v>0</v>
      </c>
      <c r="AN85" s="175">
        <v>0</v>
      </c>
      <c r="AO85" s="175">
        <v>38787688</v>
      </c>
      <c r="AP85" s="175">
        <f t="shared" si="26"/>
        <v>38787688</v>
      </c>
      <c r="AQ85" s="175">
        <f t="shared" si="27"/>
        <v>90504605</v>
      </c>
      <c r="AR85" s="176">
        <f t="shared" si="28"/>
        <v>0.3000000007734413</v>
      </c>
      <c r="AS85" s="176"/>
      <c r="AT85" s="174">
        <v>187</v>
      </c>
      <c r="AU85" s="174">
        <v>187</v>
      </c>
      <c r="AV85" s="175">
        <v>90504605</v>
      </c>
      <c r="AW85" s="174">
        <v>0</v>
      </c>
      <c r="AX85" s="174">
        <v>0</v>
      </c>
      <c r="AY85" s="174">
        <v>25885580</v>
      </c>
      <c r="AZ85" s="174">
        <v>28520000</v>
      </c>
      <c r="BA85" s="174">
        <v>9080000</v>
      </c>
      <c r="BB85" s="174">
        <v>27019025</v>
      </c>
      <c r="BC85" s="174">
        <v>0</v>
      </c>
      <c r="BD85" s="174">
        <v>0</v>
      </c>
      <c r="BE85" s="174">
        <v>0</v>
      </c>
      <c r="BF85" s="174">
        <v>0</v>
      </c>
      <c r="BG85" s="174">
        <v>0</v>
      </c>
      <c r="BH85" s="174">
        <v>0</v>
      </c>
      <c r="BI85" s="175">
        <f t="shared" si="21"/>
        <v>90504605</v>
      </c>
      <c r="BJ85" s="175">
        <f t="shared" si="22"/>
        <v>0</v>
      </c>
      <c r="BK85" s="176">
        <f t="shared" si="29"/>
        <v>1</v>
      </c>
      <c r="BL85" s="170"/>
      <c r="BM85" s="170"/>
      <c r="BN85" s="170"/>
      <c r="BO85" s="172"/>
      <c r="BP85" s="172"/>
      <c r="BQ85" s="172"/>
      <c r="BR85" s="172"/>
      <c r="BS85" s="172"/>
      <c r="BT85" s="172"/>
      <c r="BU85" s="172"/>
      <c r="BV85" s="172"/>
      <c r="BW85" s="172"/>
      <c r="BX85" s="172"/>
      <c r="BY85" s="172"/>
      <c r="BZ85" s="172"/>
      <c r="CA85" s="172">
        <f t="shared" si="23"/>
        <v>0</v>
      </c>
      <c r="CB85" s="172">
        <f t="shared" si="24"/>
        <v>0</v>
      </c>
      <c r="CC85" s="494" t="e">
        <f t="shared" si="25"/>
        <v>#DIV/0!</v>
      </c>
      <c r="CD85" s="192"/>
      <c r="CE85" s="192"/>
      <c r="CF85" s="172"/>
      <c r="CG85" s="172"/>
      <c r="CH85" s="172"/>
      <c r="CI85" s="172"/>
      <c r="CJ85" s="172"/>
      <c r="CK85" s="172"/>
      <c r="CL85" s="172"/>
      <c r="CM85" s="172"/>
      <c r="CN85" s="172"/>
      <c r="CO85" s="172"/>
      <c r="CP85" s="172"/>
      <c r="CQ85" s="172"/>
      <c r="CR85" s="172"/>
      <c r="CS85" s="172">
        <v>0</v>
      </c>
      <c r="CT85" s="172">
        <v>0</v>
      </c>
      <c r="CU85" s="192" t="e">
        <v>#DIV/0!</v>
      </c>
    </row>
    <row r="86" spans="1:99" s="68" customFormat="1" x14ac:dyDescent="0.25">
      <c r="A86" s="491">
        <v>118</v>
      </c>
      <c r="B86" s="65" t="s">
        <v>134</v>
      </c>
      <c r="C86" s="491">
        <v>1163</v>
      </c>
      <c r="D86" s="65" t="s">
        <v>136</v>
      </c>
      <c r="E86" s="491">
        <v>1</v>
      </c>
      <c r="F86" s="585"/>
      <c r="G86" s="585"/>
      <c r="H86" s="585"/>
      <c r="I86" s="585"/>
      <c r="J86" s="599"/>
      <c r="K86" s="599"/>
      <c r="L86" s="166" t="s">
        <v>568</v>
      </c>
      <c r="M86" s="166" t="s">
        <v>493</v>
      </c>
      <c r="N86" s="166" t="s">
        <v>391</v>
      </c>
      <c r="O86" s="166" t="s">
        <v>320</v>
      </c>
      <c r="P86" s="180">
        <v>41586</v>
      </c>
      <c r="Q86" s="180">
        <v>41603</v>
      </c>
      <c r="R86" s="166" t="s">
        <v>441</v>
      </c>
      <c r="S86" s="166" t="s">
        <v>569</v>
      </c>
      <c r="T86" s="166" t="s">
        <v>570</v>
      </c>
      <c r="U86" s="166" t="s">
        <v>571</v>
      </c>
      <c r="V86" s="189">
        <v>20687100</v>
      </c>
      <c r="W86" s="173"/>
      <c r="X86" s="173"/>
      <c r="Y86" s="166"/>
      <c r="Z86" s="174">
        <v>801</v>
      </c>
      <c r="AA86" s="175">
        <v>4000000</v>
      </c>
      <c r="AB86" s="174">
        <v>794</v>
      </c>
      <c r="AC86" s="175">
        <v>4000000</v>
      </c>
      <c r="AD86" s="175">
        <v>0</v>
      </c>
      <c r="AE86" s="175">
        <v>0</v>
      </c>
      <c r="AF86" s="175">
        <v>0</v>
      </c>
      <c r="AG86" s="175">
        <v>0</v>
      </c>
      <c r="AH86" s="175">
        <v>0</v>
      </c>
      <c r="AI86" s="175">
        <v>0</v>
      </c>
      <c r="AJ86" s="175">
        <v>0</v>
      </c>
      <c r="AK86" s="175">
        <v>0</v>
      </c>
      <c r="AL86" s="175">
        <v>0</v>
      </c>
      <c r="AM86" s="175">
        <v>0</v>
      </c>
      <c r="AN86" s="175">
        <v>0</v>
      </c>
      <c r="AO86" s="175">
        <v>0</v>
      </c>
      <c r="AP86" s="175">
        <f t="shared" si="26"/>
        <v>0</v>
      </c>
      <c r="AQ86" s="175">
        <f t="shared" si="27"/>
        <v>4000000</v>
      </c>
      <c r="AR86" s="176">
        <f t="shared" si="28"/>
        <v>0</v>
      </c>
      <c r="AS86" s="176"/>
      <c r="AT86" s="174">
        <v>166</v>
      </c>
      <c r="AU86" s="174">
        <v>165</v>
      </c>
      <c r="AV86" s="175">
        <v>4000000</v>
      </c>
      <c r="AW86" s="174">
        <v>0</v>
      </c>
      <c r="AX86" s="174">
        <v>2000000</v>
      </c>
      <c r="AY86" s="174">
        <v>2000000</v>
      </c>
      <c r="AZ86" s="174">
        <v>0</v>
      </c>
      <c r="BA86" s="174">
        <v>0</v>
      </c>
      <c r="BB86" s="174">
        <v>0</v>
      </c>
      <c r="BC86" s="174">
        <v>0</v>
      </c>
      <c r="BD86" s="174">
        <v>0</v>
      </c>
      <c r="BE86" s="174">
        <v>0</v>
      </c>
      <c r="BF86" s="174">
        <v>0</v>
      </c>
      <c r="BG86" s="174">
        <v>0</v>
      </c>
      <c r="BH86" s="174">
        <v>0</v>
      </c>
      <c r="BI86" s="175">
        <f t="shared" si="21"/>
        <v>4000000</v>
      </c>
      <c r="BJ86" s="175">
        <f t="shared" si="22"/>
        <v>0</v>
      </c>
      <c r="BK86" s="176">
        <f t="shared" si="29"/>
        <v>1</v>
      </c>
      <c r="BL86" s="170"/>
      <c r="BM86" s="170"/>
      <c r="BN86" s="170"/>
      <c r="BO86" s="172"/>
      <c r="BP86" s="172"/>
      <c r="BQ86" s="172"/>
      <c r="BR86" s="172"/>
      <c r="BS86" s="172"/>
      <c r="BT86" s="172"/>
      <c r="BU86" s="172"/>
      <c r="BV86" s="172"/>
      <c r="BW86" s="172"/>
      <c r="BX86" s="172"/>
      <c r="BY86" s="172"/>
      <c r="BZ86" s="172"/>
      <c r="CA86" s="172">
        <f t="shared" si="23"/>
        <v>0</v>
      </c>
      <c r="CB86" s="172">
        <f t="shared" si="24"/>
        <v>0</v>
      </c>
      <c r="CC86" s="494" t="e">
        <f t="shared" si="25"/>
        <v>#DIV/0!</v>
      </c>
      <c r="CD86" s="192"/>
      <c r="CE86" s="192"/>
      <c r="CF86" s="172"/>
      <c r="CG86" s="172"/>
      <c r="CH86" s="172"/>
      <c r="CI86" s="172"/>
      <c r="CJ86" s="172"/>
      <c r="CK86" s="172"/>
      <c r="CL86" s="172"/>
      <c r="CM86" s="172"/>
      <c r="CN86" s="172"/>
      <c r="CO86" s="172"/>
      <c r="CP86" s="172"/>
      <c r="CQ86" s="172"/>
      <c r="CR86" s="172"/>
      <c r="CS86" s="172">
        <v>0</v>
      </c>
      <c r="CT86" s="172">
        <v>0</v>
      </c>
      <c r="CU86" s="192" t="e">
        <v>#DIV/0!</v>
      </c>
    </row>
    <row r="87" spans="1:99" s="68" customFormat="1" x14ac:dyDescent="0.25">
      <c r="A87" s="491">
        <v>118</v>
      </c>
      <c r="B87" s="65" t="s">
        <v>134</v>
      </c>
      <c r="C87" s="491">
        <v>1163</v>
      </c>
      <c r="D87" s="65" t="s">
        <v>136</v>
      </c>
      <c r="E87" s="491">
        <v>1</v>
      </c>
      <c r="F87" s="585"/>
      <c r="G87" s="585"/>
      <c r="H87" s="585"/>
      <c r="I87" s="585"/>
      <c r="J87" s="599"/>
      <c r="K87" s="599"/>
      <c r="L87" s="166" t="s">
        <v>572</v>
      </c>
      <c r="M87" s="166" t="s">
        <v>493</v>
      </c>
      <c r="N87" s="166" t="s">
        <v>329</v>
      </c>
      <c r="O87" s="166" t="s">
        <v>320</v>
      </c>
      <c r="P87" s="180">
        <v>41619</v>
      </c>
      <c r="Q87" s="180">
        <v>41619</v>
      </c>
      <c r="R87" s="166" t="s">
        <v>500</v>
      </c>
      <c r="S87" s="166" t="s">
        <v>573</v>
      </c>
      <c r="T87" s="166" t="s">
        <v>574</v>
      </c>
      <c r="U87" s="166" t="s">
        <v>575</v>
      </c>
      <c r="V87" s="166">
        <v>54254827</v>
      </c>
      <c r="W87" s="173"/>
      <c r="X87" s="166" t="s">
        <v>315</v>
      </c>
      <c r="Y87" s="166"/>
      <c r="Z87" s="174">
        <v>840</v>
      </c>
      <c r="AA87" s="175">
        <v>4505000</v>
      </c>
      <c r="AB87" s="174">
        <v>841</v>
      </c>
      <c r="AC87" s="175">
        <v>4480000</v>
      </c>
      <c r="AD87" s="175">
        <v>0</v>
      </c>
      <c r="AE87" s="175">
        <v>0</v>
      </c>
      <c r="AF87" s="175">
        <v>0</v>
      </c>
      <c r="AG87" s="175">
        <v>0</v>
      </c>
      <c r="AH87" s="175">
        <v>0</v>
      </c>
      <c r="AI87" s="175">
        <v>0</v>
      </c>
      <c r="AJ87" s="175">
        <v>0</v>
      </c>
      <c r="AK87" s="175">
        <v>0</v>
      </c>
      <c r="AL87" s="175">
        <v>0</v>
      </c>
      <c r="AM87" s="175">
        <v>0</v>
      </c>
      <c r="AN87" s="175">
        <v>0</v>
      </c>
      <c r="AO87" s="175">
        <v>0</v>
      </c>
      <c r="AP87" s="175">
        <f t="shared" si="26"/>
        <v>0</v>
      </c>
      <c r="AQ87" s="175">
        <f t="shared" si="27"/>
        <v>4480000</v>
      </c>
      <c r="AR87" s="176">
        <f t="shared" si="28"/>
        <v>0</v>
      </c>
      <c r="AS87" s="176"/>
      <c r="AT87" s="174">
        <v>192</v>
      </c>
      <c r="AU87" s="174">
        <v>192</v>
      </c>
      <c r="AV87" s="175">
        <v>4480000</v>
      </c>
      <c r="AW87" s="174">
        <v>0</v>
      </c>
      <c r="AX87" s="174">
        <v>0</v>
      </c>
      <c r="AY87" s="174">
        <v>0</v>
      </c>
      <c r="AZ87" s="174">
        <v>0</v>
      </c>
      <c r="BA87" s="174">
        <v>0</v>
      </c>
      <c r="BB87" s="174">
        <v>0</v>
      </c>
      <c r="BC87" s="174">
        <v>0</v>
      </c>
      <c r="BD87" s="174">
        <v>0</v>
      </c>
      <c r="BE87" s="174">
        <v>0</v>
      </c>
      <c r="BF87" s="174">
        <v>4480000</v>
      </c>
      <c r="BG87" s="174">
        <v>0</v>
      </c>
      <c r="BH87" s="174">
        <v>0</v>
      </c>
      <c r="BI87" s="175">
        <f t="shared" si="21"/>
        <v>4480000</v>
      </c>
      <c r="BJ87" s="175">
        <f t="shared" si="22"/>
        <v>0</v>
      </c>
      <c r="BK87" s="176">
        <f t="shared" si="29"/>
        <v>1</v>
      </c>
      <c r="BL87" s="170"/>
      <c r="BM87" s="170"/>
      <c r="BN87" s="170"/>
      <c r="BO87" s="172"/>
      <c r="BP87" s="172"/>
      <c r="BQ87" s="172"/>
      <c r="BR87" s="172"/>
      <c r="BS87" s="172"/>
      <c r="BT87" s="172"/>
      <c r="BU87" s="172"/>
      <c r="BV87" s="172"/>
      <c r="BW87" s="172"/>
      <c r="BX87" s="172"/>
      <c r="BY87" s="172"/>
      <c r="BZ87" s="172"/>
      <c r="CA87" s="172">
        <f t="shared" si="23"/>
        <v>0</v>
      </c>
      <c r="CB87" s="172">
        <f t="shared" si="24"/>
        <v>0</v>
      </c>
      <c r="CC87" s="494" t="e">
        <f t="shared" si="25"/>
        <v>#DIV/0!</v>
      </c>
      <c r="CD87" s="192"/>
      <c r="CE87" s="192"/>
      <c r="CF87" s="172"/>
      <c r="CG87" s="172"/>
      <c r="CH87" s="172"/>
      <c r="CI87" s="172"/>
      <c r="CJ87" s="172"/>
      <c r="CK87" s="172"/>
      <c r="CL87" s="172"/>
      <c r="CM87" s="172"/>
      <c r="CN87" s="172"/>
      <c r="CO87" s="172"/>
      <c r="CP87" s="172"/>
      <c r="CQ87" s="172"/>
      <c r="CR87" s="172"/>
      <c r="CS87" s="172">
        <v>0</v>
      </c>
      <c r="CT87" s="172">
        <v>0</v>
      </c>
      <c r="CU87" s="192" t="e">
        <v>#DIV/0!</v>
      </c>
    </row>
    <row r="88" spans="1:99" s="68" customFormat="1" x14ac:dyDescent="0.25">
      <c r="A88" s="491">
        <v>118</v>
      </c>
      <c r="B88" s="65" t="s">
        <v>134</v>
      </c>
      <c r="C88" s="491">
        <v>1163</v>
      </c>
      <c r="D88" s="65" t="s">
        <v>136</v>
      </c>
      <c r="E88" s="491">
        <v>1</v>
      </c>
      <c r="F88" s="585"/>
      <c r="G88" s="585"/>
      <c r="H88" s="585"/>
      <c r="I88" s="585"/>
      <c r="J88" s="599"/>
      <c r="K88" s="599"/>
      <c r="L88" s="166" t="s">
        <v>576</v>
      </c>
      <c r="M88" s="166" t="s">
        <v>493</v>
      </c>
      <c r="N88" s="166" t="s">
        <v>391</v>
      </c>
      <c r="O88" s="166" t="s">
        <v>320</v>
      </c>
      <c r="P88" s="180">
        <v>41586</v>
      </c>
      <c r="Q88" s="173"/>
      <c r="R88" s="166" t="s">
        <v>357</v>
      </c>
      <c r="S88" s="166" t="s">
        <v>577</v>
      </c>
      <c r="T88" s="166" t="s">
        <v>578</v>
      </c>
      <c r="U88" s="166" t="s">
        <v>579</v>
      </c>
      <c r="V88" s="189">
        <v>80881784</v>
      </c>
      <c r="W88" s="173"/>
      <c r="X88" s="173"/>
      <c r="Y88" s="166"/>
      <c r="Z88" s="174">
        <v>816</v>
      </c>
      <c r="AA88" s="175">
        <v>7500000</v>
      </c>
      <c r="AB88" s="174">
        <v>788</v>
      </c>
      <c r="AC88" s="175">
        <v>7500000</v>
      </c>
      <c r="AD88" s="175">
        <v>0</v>
      </c>
      <c r="AE88" s="175">
        <v>0</v>
      </c>
      <c r="AF88" s="175">
        <v>0</v>
      </c>
      <c r="AG88" s="175">
        <v>0</v>
      </c>
      <c r="AH88" s="175">
        <v>0</v>
      </c>
      <c r="AI88" s="175">
        <v>0</v>
      </c>
      <c r="AJ88" s="175">
        <v>0</v>
      </c>
      <c r="AK88" s="175">
        <v>0</v>
      </c>
      <c r="AL88" s="175">
        <v>0</v>
      </c>
      <c r="AM88" s="175">
        <v>0</v>
      </c>
      <c r="AN88" s="175">
        <v>0</v>
      </c>
      <c r="AO88" s="175">
        <v>0</v>
      </c>
      <c r="AP88" s="175">
        <f t="shared" si="26"/>
        <v>0</v>
      </c>
      <c r="AQ88" s="175">
        <f t="shared" si="27"/>
        <v>7500000</v>
      </c>
      <c r="AR88" s="176">
        <f t="shared" si="28"/>
        <v>0</v>
      </c>
      <c r="AS88" s="176"/>
      <c r="AT88" s="174">
        <v>190</v>
      </c>
      <c r="AU88" s="174">
        <v>190</v>
      </c>
      <c r="AV88" s="175">
        <v>7500000</v>
      </c>
      <c r="AW88" s="174">
        <v>0</v>
      </c>
      <c r="AX88" s="174">
        <v>0</v>
      </c>
      <c r="AY88" s="174">
        <v>1500000</v>
      </c>
      <c r="AZ88" s="174">
        <v>3000000</v>
      </c>
      <c r="BA88" s="174">
        <v>1500000</v>
      </c>
      <c r="BB88" s="174">
        <v>0</v>
      </c>
      <c r="BC88" s="174">
        <v>0</v>
      </c>
      <c r="BD88" s="174">
        <v>0</v>
      </c>
      <c r="BE88" s="174">
        <v>0</v>
      </c>
      <c r="BF88" s="174">
        <v>0</v>
      </c>
      <c r="BG88" s="174">
        <v>0</v>
      </c>
      <c r="BH88" s="174">
        <v>1500000</v>
      </c>
      <c r="BI88" s="175">
        <f t="shared" si="21"/>
        <v>7500000</v>
      </c>
      <c r="BJ88" s="175">
        <f t="shared" si="22"/>
        <v>0</v>
      </c>
      <c r="BK88" s="176">
        <f t="shared" si="29"/>
        <v>1</v>
      </c>
      <c r="BL88" s="170"/>
      <c r="BM88" s="170"/>
      <c r="BN88" s="170"/>
      <c r="BO88" s="172"/>
      <c r="BP88" s="172"/>
      <c r="BQ88" s="172"/>
      <c r="BR88" s="172"/>
      <c r="BS88" s="172"/>
      <c r="BT88" s="172"/>
      <c r="BU88" s="172"/>
      <c r="BV88" s="172"/>
      <c r="BW88" s="172"/>
      <c r="BX88" s="172"/>
      <c r="BY88" s="172"/>
      <c r="BZ88" s="172"/>
      <c r="CA88" s="172">
        <f t="shared" si="23"/>
        <v>0</v>
      </c>
      <c r="CB88" s="172">
        <f t="shared" si="24"/>
        <v>0</v>
      </c>
      <c r="CC88" s="494" t="e">
        <f t="shared" si="25"/>
        <v>#DIV/0!</v>
      </c>
      <c r="CD88" s="192"/>
      <c r="CE88" s="192"/>
      <c r="CF88" s="172"/>
      <c r="CG88" s="172"/>
      <c r="CH88" s="172"/>
      <c r="CI88" s="172"/>
      <c r="CJ88" s="172"/>
      <c r="CK88" s="172"/>
      <c r="CL88" s="172"/>
      <c r="CM88" s="172"/>
      <c r="CN88" s="172"/>
      <c r="CO88" s="172"/>
      <c r="CP88" s="172"/>
      <c r="CQ88" s="172"/>
      <c r="CR88" s="172"/>
      <c r="CS88" s="172">
        <v>0</v>
      </c>
      <c r="CT88" s="172">
        <v>0</v>
      </c>
      <c r="CU88" s="192" t="e">
        <v>#DIV/0!</v>
      </c>
    </row>
    <row r="89" spans="1:99" s="68" customFormat="1" ht="13.5" customHeight="1" x14ac:dyDescent="0.25">
      <c r="A89" s="491">
        <v>119</v>
      </c>
      <c r="B89" s="65" t="s">
        <v>139</v>
      </c>
      <c r="C89" s="491">
        <v>1161</v>
      </c>
      <c r="D89" s="65" t="s">
        <v>122</v>
      </c>
      <c r="E89" s="491">
        <v>2</v>
      </c>
      <c r="F89" s="584" t="s">
        <v>53</v>
      </c>
      <c r="G89" s="584">
        <v>350</v>
      </c>
      <c r="H89" s="584" t="s">
        <v>141</v>
      </c>
      <c r="I89" s="584" t="s">
        <v>142</v>
      </c>
      <c r="J89" s="600"/>
      <c r="K89" s="600"/>
      <c r="L89" s="166" t="s">
        <v>580</v>
      </c>
      <c r="M89" s="166" t="s">
        <v>493</v>
      </c>
      <c r="N89" s="166" t="s">
        <v>329</v>
      </c>
      <c r="O89" s="166" t="s">
        <v>400</v>
      </c>
      <c r="P89" s="180">
        <v>41448</v>
      </c>
      <c r="Q89" s="180">
        <v>41448</v>
      </c>
      <c r="R89" s="166" t="s">
        <v>310</v>
      </c>
      <c r="S89" s="166">
        <v>138</v>
      </c>
      <c r="T89" s="166" t="s">
        <v>581</v>
      </c>
      <c r="U89" s="166" t="s">
        <v>582</v>
      </c>
      <c r="V89" s="166" t="s">
        <v>583</v>
      </c>
      <c r="W89" s="166">
        <v>250</v>
      </c>
      <c r="X89" s="166" t="s">
        <v>510</v>
      </c>
      <c r="Y89" s="166"/>
      <c r="Z89" s="174">
        <v>605</v>
      </c>
      <c r="AA89" s="175">
        <v>92500000</v>
      </c>
      <c r="AB89" s="174">
        <v>593</v>
      </c>
      <c r="AC89" s="175">
        <v>92500000</v>
      </c>
      <c r="AD89" s="175">
        <v>0</v>
      </c>
      <c r="AE89" s="175">
        <v>0</v>
      </c>
      <c r="AF89" s="175">
        <v>0</v>
      </c>
      <c r="AG89" s="175">
        <v>0</v>
      </c>
      <c r="AH89" s="175">
        <v>0</v>
      </c>
      <c r="AI89" s="175">
        <v>0</v>
      </c>
      <c r="AJ89" s="175">
        <v>0</v>
      </c>
      <c r="AK89" s="175">
        <v>0</v>
      </c>
      <c r="AL89" s="175">
        <v>54366000</v>
      </c>
      <c r="AM89" s="175">
        <v>0</v>
      </c>
      <c r="AN89" s="175">
        <v>38134000</v>
      </c>
      <c r="AO89" s="175">
        <v>0</v>
      </c>
      <c r="AP89" s="175">
        <f t="shared" si="26"/>
        <v>92500000</v>
      </c>
      <c r="AQ89" s="175">
        <f t="shared" si="27"/>
        <v>0</v>
      </c>
      <c r="AR89" s="176">
        <f t="shared" si="28"/>
        <v>1</v>
      </c>
      <c r="AS89" s="176"/>
      <c r="AT89" s="174"/>
      <c r="AU89" s="174"/>
      <c r="AV89" s="175"/>
      <c r="AW89" s="174"/>
      <c r="AX89" s="174"/>
      <c r="AY89" s="174"/>
      <c r="AZ89" s="174"/>
      <c r="BA89" s="174">
        <v>0</v>
      </c>
      <c r="BB89" s="174">
        <v>0</v>
      </c>
      <c r="BC89" s="174">
        <v>0</v>
      </c>
      <c r="BD89" s="174">
        <v>0</v>
      </c>
      <c r="BE89" s="174">
        <v>0</v>
      </c>
      <c r="BF89" s="174">
        <v>0</v>
      </c>
      <c r="BG89" s="174">
        <v>0</v>
      </c>
      <c r="BH89" s="174">
        <v>0</v>
      </c>
      <c r="BI89" s="175">
        <f t="shared" si="21"/>
        <v>0</v>
      </c>
      <c r="BJ89" s="175">
        <f t="shared" si="22"/>
        <v>0</v>
      </c>
      <c r="BK89" s="176"/>
      <c r="BL89" s="170"/>
      <c r="BM89" s="170"/>
      <c r="BN89" s="170"/>
      <c r="BO89" s="172"/>
      <c r="BP89" s="172"/>
      <c r="BQ89" s="172"/>
      <c r="BR89" s="172"/>
      <c r="BS89" s="172"/>
      <c r="BT89" s="172"/>
      <c r="BU89" s="172"/>
      <c r="BV89" s="172"/>
      <c r="BW89" s="172"/>
      <c r="BX89" s="172"/>
      <c r="BY89" s="172"/>
      <c r="BZ89" s="172"/>
      <c r="CA89" s="172">
        <f t="shared" si="23"/>
        <v>0</v>
      </c>
      <c r="CB89" s="172">
        <f t="shared" si="24"/>
        <v>0</v>
      </c>
      <c r="CC89" s="494" t="e">
        <f t="shared" si="25"/>
        <v>#DIV/0!</v>
      </c>
      <c r="CD89" s="192"/>
      <c r="CE89" s="192"/>
      <c r="CF89" s="172"/>
      <c r="CG89" s="172"/>
      <c r="CH89" s="172"/>
      <c r="CI89" s="172"/>
      <c r="CJ89" s="172"/>
      <c r="CK89" s="172"/>
      <c r="CL89" s="172"/>
      <c r="CM89" s="172"/>
      <c r="CN89" s="172"/>
      <c r="CO89" s="172"/>
      <c r="CP89" s="172"/>
      <c r="CQ89" s="172"/>
      <c r="CR89" s="172"/>
      <c r="CS89" s="172">
        <v>0</v>
      </c>
      <c r="CT89" s="172">
        <v>0</v>
      </c>
      <c r="CU89" s="192" t="e">
        <v>#DIV/0!</v>
      </c>
    </row>
    <row r="90" spans="1:99" s="68" customFormat="1" x14ac:dyDescent="0.25">
      <c r="A90" s="491">
        <v>119</v>
      </c>
      <c r="B90" s="65" t="s">
        <v>139</v>
      </c>
      <c r="C90" s="491">
        <v>1161</v>
      </c>
      <c r="D90" s="65" t="s">
        <v>122</v>
      </c>
      <c r="E90" s="491">
        <v>2</v>
      </c>
      <c r="F90" s="585"/>
      <c r="G90" s="585"/>
      <c r="H90" s="585"/>
      <c r="I90" s="585"/>
      <c r="J90" s="601"/>
      <c r="K90" s="601"/>
      <c r="L90" s="166" t="s">
        <v>584</v>
      </c>
      <c r="M90" s="166" t="s">
        <v>493</v>
      </c>
      <c r="N90" s="191" t="s">
        <v>314</v>
      </c>
      <c r="O90" s="166" t="s">
        <v>320</v>
      </c>
      <c r="P90" s="180">
        <v>41463</v>
      </c>
      <c r="Q90" s="180">
        <v>41463</v>
      </c>
      <c r="R90" s="179" t="s">
        <v>310</v>
      </c>
      <c r="S90" s="179" t="s">
        <v>585</v>
      </c>
      <c r="T90" s="181" t="s">
        <v>586</v>
      </c>
      <c r="U90" s="166" t="s">
        <v>587</v>
      </c>
      <c r="V90" s="179">
        <v>40037804</v>
      </c>
      <c r="W90" s="166" t="s">
        <v>361</v>
      </c>
      <c r="X90" s="166" t="s">
        <v>315</v>
      </c>
      <c r="Y90" s="166"/>
      <c r="Z90" s="174">
        <v>615</v>
      </c>
      <c r="AA90" s="175">
        <v>4625000</v>
      </c>
      <c r="AB90" s="174">
        <v>597</v>
      </c>
      <c r="AC90" s="175">
        <v>4625000</v>
      </c>
      <c r="AD90" s="175">
        <v>0</v>
      </c>
      <c r="AE90" s="175">
        <v>0</v>
      </c>
      <c r="AF90" s="175">
        <v>0</v>
      </c>
      <c r="AG90" s="175">
        <v>0</v>
      </c>
      <c r="AH90" s="175">
        <v>0</v>
      </c>
      <c r="AI90" s="175">
        <v>0</v>
      </c>
      <c r="AJ90" s="175">
        <v>0</v>
      </c>
      <c r="AK90" s="175">
        <v>2312500</v>
      </c>
      <c r="AL90" s="175">
        <v>2312500</v>
      </c>
      <c r="AM90" s="175">
        <v>0</v>
      </c>
      <c r="AN90" s="175">
        <v>0</v>
      </c>
      <c r="AO90" s="175">
        <v>0</v>
      </c>
      <c r="AP90" s="175">
        <f t="shared" si="26"/>
        <v>4625000</v>
      </c>
      <c r="AQ90" s="175">
        <f t="shared" si="27"/>
        <v>0</v>
      </c>
      <c r="AR90" s="176">
        <f t="shared" si="28"/>
        <v>1</v>
      </c>
      <c r="AS90" s="176"/>
      <c r="AT90" s="174"/>
      <c r="AU90" s="174"/>
      <c r="AV90" s="175"/>
      <c r="AW90" s="174"/>
      <c r="AX90" s="174"/>
      <c r="AY90" s="174"/>
      <c r="AZ90" s="174"/>
      <c r="BA90" s="174">
        <v>0</v>
      </c>
      <c r="BB90" s="174">
        <v>0</v>
      </c>
      <c r="BC90" s="174">
        <v>0</v>
      </c>
      <c r="BD90" s="174">
        <v>0</v>
      </c>
      <c r="BE90" s="174">
        <v>0</v>
      </c>
      <c r="BF90" s="174">
        <v>0</v>
      </c>
      <c r="BG90" s="174">
        <v>0</v>
      </c>
      <c r="BH90" s="174">
        <v>0</v>
      </c>
      <c r="BI90" s="175">
        <f t="shared" si="21"/>
        <v>0</v>
      </c>
      <c r="BJ90" s="175">
        <f t="shared" si="22"/>
        <v>0</v>
      </c>
      <c r="BK90" s="176"/>
      <c r="BL90" s="170"/>
      <c r="BM90" s="170"/>
      <c r="BN90" s="170"/>
      <c r="BO90" s="172"/>
      <c r="BP90" s="172"/>
      <c r="BQ90" s="172"/>
      <c r="BR90" s="172"/>
      <c r="BS90" s="172"/>
      <c r="BT90" s="172"/>
      <c r="BU90" s="172"/>
      <c r="BV90" s="172"/>
      <c r="BW90" s="172"/>
      <c r="BX90" s="172"/>
      <c r="BY90" s="172"/>
      <c r="BZ90" s="172"/>
      <c r="CA90" s="172">
        <f t="shared" si="23"/>
        <v>0</v>
      </c>
      <c r="CB90" s="172">
        <f t="shared" si="24"/>
        <v>0</v>
      </c>
      <c r="CC90" s="494" t="e">
        <f t="shared" si="25"/>
        <v>#DIV/0!</v>
      </c>
      <c r="CD90" s="192"/>
      <c r="CE90" s="192"/>
      <c r="CF90" s="172"/>
      <c r="CG90" s="172"/>
      <c r="CH90" s="172"/>
      <c r="CI90" s="172"/>
      <c r="CJ90" s="172"/>
      <c r="CK90" s="172"/>
      <c r="CL90" s="172"/>
      <c r="CM90" s="172"/>
      <c r="CN90" s="172"/>
      <c r="CO90" s="172"/>
      <c r="CP90" s="172"/>
      <c r="CQ90" s="172"/>
      <c r="CR90" s="172"/>
      <c r="CS90" s="172">
        <v>0</v>
      </c>
      <c r="CT90" s="172">
        <v>0</v>
      </c>
      <c r="CU90" s="192" t="e">
        <v>#DIV/0!</v>
      </c>
    </row>
    <row r="91" spans="1:99" s="68" customFormat="1" x14ac:dyDescent="0.25">
      <c r="A91" s="491">
        <v>119</v>
      </c>
      <c r="B91" s="65" t="s">
        <v>139</v>
      </c>
      <c r="C91" s="491">
        <v>1161</v>
      </c>
      <c r="D91" s="65" t="s">
        <v>122</v>
      </c>
      <c r="E91" s="491">
        <v>2</v>
      </c>
      <c r="F91" s="585"/>
      <c r="G91" s="585"/>
      <c r="H91" s="585"/>
      <c r="I91" s="585"/>
      <c r="J91" s="601"/>
      <c r="K91" s="601"/>
      <c r="L91" s="166" t="s">
        <v>588</v>
      </c>
      <c r="M91" s="166" t="s">
        <v>493</v>
      </c>
      <c r="N91" s="166" t="s">
        <v>319</v>
      </c>
      <c r="O91" s="166" t="s">
        <v>400</v>
      </c>
      <c r="P91" s="180">
        <v>41586</v>
      </c>
      <c r="Q91" s="191"/>
      <c r="R91" s="166" t="s">
        <v>357</v>
      </c>
      <c r="S91" s="166" t="s">
        <v>589</v>
      </c>
      <c r="T91" s="166" t="s">
        <v>590</v>
      </c>
      <c r="U91" s="166" t="s">
        <v>381</v>
      </c>
      <c r="V91" s="166">
        <v>900078097</v>
      </c>
      <c r="W91" s="191"/>
      <c r="X91" s="191"/>
      <c r="Y91" s="166"/>
      <c r="Z91" s="174">
        <v>807</v>
      </c>
      <c r="AA91" s="175">
        <v>140500000</v>
      </c>
      <c r="AB91" s="174">
        <v>792</v>
      </c>
      <c r="AC91" s="175">
        <v>140500000</v>
      </c>
      <c r="AD91" s="175">
        <v>0</v>
      </c>
      <c r="AE91" s="175">
        <v>0</v>
      </c>
      <c r="AF91" s="175">
        <v>0</v>
      </c>
      <c r="AG91" s="175">
        <v>0</v>
      </c>
      <c r="AH91" s="175">
        <v>0</v>
      </c>
      <c r="AI91" s="175">
        <v>0</v>
      </c>
      <c r="AJ91" s="175">
        <v>0</v>
      </c>
      <c r="AK91" s="175">
        <v>0</v>
      </c>
      <c r="AL91" s="175">
        <v>0</v>
      </c>
      <c r="AM91" s="175">
        <v>0</v>
      </c>
      <c r="AN91" s="175">
        <v>0</v>
      </c>
      <c r="AO91" s="175">
        <v>0</v>
      </c>
      <c r="AP91" s="175">
        <f t="shared" si="26"/>
        <v>0</v>
      </c>
      <c r="AQ91" s="175">
        <f t="shared" si="27"/>
        <v>140500000</v>
      </c>
      <c r="AR91" s="176">
        <f t="shared" si="28"/>
        <v>0</v>
      </c>
      <c r="AS91" s="176"/>
      <c r="AT91" s="174">
        <v>100</v>
      </c>
      <c r="AU91" s="174">
        <v>105</v>
      </c>
      <c r="AV91" s="175">
        <v>140500000</v>
      </c>
      <c r="AW91" s="174">
        <v>0</v>
      </c>
      <c r="AX91" s="174">
        <v>0</v>
      </c>
      <c r="AY91" s="174">
        <v>0</v>
      </c>
      <c r="AZ91" s="174">
        <v>0</v>
      </c>
      <c r="BA91" s="174">
        <v>0</v>
      </c>
      <c r="BB91" s="174">
        <v>8680000</v>
      </c>
      <c r="BC91" s="174">
        <v>0</v>
      </c>
      <c r="BD91" s="174">
        <v>0</v>
      </c>
      <c r="BE91" s="174">
        <v>16998000</v>
      </c>
      <c r="BF91" s="174">
        <v>0</v>
      </c>
      <c r="BG91" s="174">
        <v>0</v>
      </c>
      <c r="BH91" s="174">
        <v>0</v>
      </c>
      <c r="BI91" s="175">
        <f t="shared" si="21"/>
        <v>25678000</v>
      </c>
      <c r="BJ91" s="175">
        <f t="shared" si="22"/>
        <v>114822000</v>
      </c>
      <c r="BK91" s="176">
        <f>+BI91/AV91</f>
        <v>0.18276156583629893</v>
      </c>
      <c r="BL91" s="170">
        <v>33</v>
      </c>
      <c r="BM91" s="170">
        <v>381</v>
      </c>
      <c r="BN91" s="170">
        <v>109037400</v>
      </c>
      <c r="BO91" s="172">
        <v>0</v>
      </c>
      <c r="BP91" s="172">
        <v>0</v>
      </c>
      <c r="BQ91" s="172">
        <v>0</v>
      </c>
      <c r="BR91" s="172">
        <v>109037400</v>
      </c>
      <c r="BS91" s="172">
        <v>0</v>
      </c>
      <c r="BT91" s="172">
        <v>0</v>
      </c>
      <c r="BU91" s="172">
        <v>0</v>
      </c>
      <c r="BV91" s="172">
        <v>0</v>
      </c>
      <c r="BW91" s="172">
        <v>0</v>
      </c>
      <c r="BX91" s="172">
        <v>0</v>
      </c>
      <c r="BY91" s="172">
        <v>0</v>
      </c>
      <c r="BZ91" s="172">
        <v>0</v>
      </c>
      <c r="CA91" s="172">
        <f t="shared" si="23"/>
        <v>109037400</v>
      </c>
      <c r="CB91" s="172">
        <f t="shared" si="24"/>
        <v>0</v>
      </c>
      <c r="CC91" s="494">
        <f t="shared" si="25"/>
        <v>1</v>
      </c>
      <c r="CD91" s="192"/>
      <c r="CE91" s="192"/>
      <c r="CF91" s="172"/>
      <c r="CG91" s="172"/>
      <c r="CH91" s="172"/>
      <c r="CI91" s="172"/>
      <c r="CJ91" s="172"/>
      <c r="CK91" s="172"/>
      <c r="CL91" s="172"/>
      <c r="CM91" s="172"/>
      <c r="CN91" s="172"/>
      <c r="CO91" s="172"/>
      <c r="CP91" s="172"/>
      <c r="CQ91" s="172"/>
      <c r="CR91" s="172"/>
      <c r="CS91" s="172">
        <v>0</v>
      </c>
      <c r="CT91" s="172">
        <v>0</v>
      </c>
      <c r="CU91" s="192" t="e">
        <v>#DIV/0!</v>
      </c>
    </row>
    <row r="92" spans="1:99" s="68" customFormat="1" x14ac:dyDescent="0.25">
      <c r="A92" s="491">
        <v>119</v>
      </c>
      <c r="B92" s="65" t="s">
        <v>139</v>
      </c>
      <c r="C92" s="491">
        <v>1161</v>
      </c>
      <c r="D92" s="65" t="s">
        <v>122</v>
      </c>
      <c r="E92" s="491">
        <v>2</v>
      </c>
      <c r="F92" s="585"/>
      <c r="G92" s="585"/>
      <c r="H92" s="585"/>
      <c r="I92" s="585"/>
      <c r="J92" s="601"/>
      <c r="K92" s="601"/>
      <c r="L92" s="166" t="s">
        <v>591</v>
      </c>
      <c r="M92" s="166" t="s">
        <v>493</v>
      </c>
      <c r="N92" s="166" t="s">
        <v>391</v>
      </c>
      <c r="O92" s="166" t="s">
        <v>320</v>
      </c>
      <c r="P92" s="180">
        <v>41568</v>
      </c>
      <c r="Q92" s="180">
        <v>41631</v>
      </c>
      <c r="R92" s="166" t="s">
        <v>441</v>
      </c>
      <c r="S92" s="189" t="s">
        <v>592</v>
      </c>
      <c r="T92" s="166" t="s">
        <v>593</v>
      </c>
      <c r="U92" s="166" t="s">
        <v>594</v>
      </c>
      <c r="V92" s="166">
        <v>79781116</v>
      </c>
      <c r="W92" s="191"/>
      <c r="X92" s="191"/>
      <c r="Y92" s="166"/>
      <c r="Z92" s="174">
        <v>766</v>
      </c>
      <c r="AA92" s="175">
        <v>6000000</v>
      </c>
      <c r="AB92" s="174">
        <v>797</v>
      </c>
      <c r="AC92" s="175">
        <v>6000000</v>
      </c>
      <c r="AD92" s="175">
        <v>0</v>
      </c>
      <c r="AE92" s="175">
        <v>0</v>
      </c>
      <c r="AF92" s="175">
        <v>0</v>
      </c>
      <c r="AG92" s="175">
        <v>0</v>
      </c>
      <c r="AH92" s="175">
        <v>0</v>
      </c>
      <c r="AI92" s="175">
        <v>0</v>
      </c>
      <c r="AJ92" s="175">
        <v>0</v>
      </c>
      <c r="AK92" s="175">
        <v>0</v>
      </c>
      <c r="AL92" s="175">
        <v>0</v>
      </c>
      <c r="AM92" s="175">
        <v>0</v>
      </c>
      <c r="AN92" s="175">
        <v>0</v>
      </c>
      <c r="AO92" s="175">
        <v>0</v>
      </c>
      <c r="AP92" s="175">
        <f t="shared" si="26"/>
        <v>0</v>
      </c>
      <c r="AQ92" s="175">
        <f t="shared" si="27"/>
        <v>6000000</v>
      </c>
      <c r="AR92" s="176">
        <f t="shared" si="28"/>
        <v>0</v>
      </c>
      <c r="AS92" s="176"/>
      <c r="AT92" s="174">
        <v>175</v>
      </c>
      <c r="AU92" s="174">
        <v>175</v>
      </c>
      <c r="AV92" s="175">
        <v>6000000</v>
      </c>
      <c r="AW92" s="174">
        <v>0</v>
      </c>
      <c r="AX92" s="174">
        <v>0</v>
      </c>
      <c r="AY92" s="174">
        <v>2000000</v>
      </c>
      <c r="AZ92" s="174">
        <v>0</v>
      </c>
      <c r="BA92" s="174">
        <v>0</v>
      </c>
      <c r="BB92" s="174">
        <v>4000000</v>
      </c>
      <c r="BC92" s="174">
        <v>0</v>
      </c>
      <c r="BD92" s="174">
        <v>0</v>
      </c>
      <c r="BE92" s="174">
        <v>0</v>
      </c>
      <c r="BF92" s="174">
        <v>0</v>
      </c>
      <c r="BG92" s="174">
        <v>0</v>
      </c>
      <c r="BH92" s="174">
        <v>0</v>
      </c>
      <c r="BI92" s="175">
        <f t="shared" si="21"/>
        <v>6000000</v>
      </c>
      <c r="BJ92" s="175">
        <f t="shared" si="22"/>
        <v>0</v>
      </c>
      <c r="BK92" s="176">
        <f>+BI92/AV92</f>
        <v>1</v>
      </c>
      <c r="BL92" s="170"/>
      <c r="BM92" s="170"/>
      <c r="BN92" s="170"/>
      <c r="BO92" s="172"/>
      <c r="BP92" s="172"/>
      <c r="BQ92" s="172"/>
      <c r="BR92" s="172"/>
      <c r="BS92" s="172"/>
      <c r="BT92" s="172"/>
      <c r="BU92" s="172"/>
      <c r="BV92" s="172"/>
      <c r="BW92" s="172"/>
      <c r="BX92" s="172"/>
      <c r="BY92" s="172"/>
      <c r="BZ92" s="172"/>
      <c r="CA92" s="172">
        <f t="shared" si="23"/>
        <v>0</v>
      </c>
      <c r="CB92" s="172">
        <f t="shared" si="24"/>
        <v>0</v>
      </c>
      <c r="CC92" s="494" t="e">
        <f t="shared" si="25"/>
        <v>#DIV/0!</v>
      </c>
      <c r="CD92" s="192"/>
      <c r="CE92" s="192"/>
      <c r="CF92" s="172"/>
      <c r="CG92" s="172"/>
      <c r="CH92" s="172"/>
      <c r="CI92" s="172"/>
      <c r="CJ92" s="172"/>
      <c r="CK92" s="172"/>
      <c r="CL92" s="172"/>
      <c r="CM92" s="172"/>
      <c r="CN92" s="172"/>
      <c r="CO92" s="172"/>
      <c r="CP92" s="172"/>
      <c r="CQ92" s="172"/>
      <c r="CR92" s="172"/>
      <c r="CS92" s="172">
        <v>0</v>
      </c>
      <c r="CT92" s="172">
        <v>0</v>
      </c>
      <c r="CU92" s="192" t="e">
        <v>#DIV/0!</v>
      </c>
    </row>
    <row r="93" spans="1:99" s="68" customFormat="1" x14ac:dyDescent="0.25">
      <c r="A93" s="491">
        <v>119</v>
      </c>
      <c r="B93" s="65" t="s">
        <v>139</v>
      </c>
      <c r="C93" s="491">
        <v>1161</v>
      </c>
      <c r="D93" s="65" t="s">
        <v>122</v>
      </c>
      <c r="E93" s="491">
        <v>2</v>
      </c>
      <c r="F93" s="585"/>
      <c r="G93" s="585"/>
      <c r="H93" s="585"/>
      <c r="I93" s="585"/>
      <c r="J93" s="601"/>
      <c r="K93" s="601"/>
      <c r="L93" s="166" t="s">
        <v>595</v>
      </c>
      <c r="M93" s="166" t="s">
        <v>493</v>
      </c>
      <c r="N93" s="166" t="s">
        <v>329</v>
      </c>
      <c r="O93" s="166" t="s">
        <v>320</v>
      </c>
      <c r="P93" s="180">
        <v>41627</v>
      </c>
      <c r="Q93" s="180">
        <v>41288</v>
      </c>
      <c r="R93" s="166" t="s">
        <v>357</v>
      </c>
      <c r="S93" s="166" t="s">
        <v>596</v>
      </c>
      <c r="T93" s="166" t="s">
        <v>597</v>
      </c>
      <c r="U93" s="166" t="s">
        <v>598</v>
      </c>
      <c r="V93" s="166">
        <v>79471015</v>
      </c>
      <c r="W93" s="191"/>
      <c r="X93" s="166" t="s">
        <v>315</v>
      </c>
      <c r="Y93" s="166"/>
      <c r="Z93" s="174">
        <v>834</v>
      </c>
      <c r="AA93" s="175">
        <v>9500000</v>
      </c>
      <c r="AB93" s="174">
        <v>902</v>
      </c>
      <c r="AC93" s="175">
        <v>7500000</v>
      </c>
      <c r="AD93" s="175">
        <v>0</v>
      </c>
      <c r="AE93" s="175">
        <v>0</v>
      </c>
      <c r="AF93" s="175">
        <v>0</v>
      </c>
      <c r="AG93" s="175">
        <v>0</v>
      </c>
      <c r="AH93" s="175">
        <v>0</v>
      </c>
      <c r="AI93" s="175">
        <v>0</v>
      </c>
      <c r="AJ93" s="175">
        <v>0</v>
      </c>
      <c r="AK93" s="175">
        <v>0</v>
      </c>
      <c r="AL93" s="175">
        <v>0</v>
      </c>
      <c r="AM93" s="175">
        <v>0</v>
      </c>
      <c r="AN93" s="175">
        <v>0</v>
      </c>
      <c r="AO93" s="175">
        <v>0</v>
      </c>
      <c r="AP93" s="175">
        <f t="shared" si="26"/>
        <v>0</v>
      </c>
      <c r="AQ93" s="175">
        <f t="shared" si="27"/>
        <v>7500000</v>
      </c>
      <c r="AR93" s="176">
        <f t="shared" si="28"/>
        <v>0</v>
      </c>
      <c r="AS93" s="176"/>
      <c r="AT93" s="174">
        <v>184</v>
      </c>
      <c r="AU93" s="174">
        <v>184</v>
      </c>
      <c r="AV93" s="175">
        <v>7500000</v>
      </c>
      <c r="AW93" s="174">
        <v>0</v>
      </c>
      <c r="AX93" s="174">
        <v>0</v>
      </c>
      <c r="AY93" s="174">
        <v>0</v>
      </c>
      <c r="AZ93" s="174">
        <v>0</v>
      </c>
      <c r="BA93" s="174">
        <v>0</v>
      </c>
      <c r="BB93" s="174">
        <v>1500000</v>
      </c>
      <c r="BC93" s="174">
        <v>0</v>
      </c>
      <c r="BD93" s="174">
        <v>0</v>
      </c>
      <c r="BE93" s="174">
        <v>3000000</v>
      </c>
      <c r="BF93" s="174">
        <v>0</v>
      </c>
      <c r="BG93" s="174">
        <v>0</v>
      </c>
      <c r="BH93" s="174">
        <v>0</v>
      </c>
      <c r="BI93" s="175">
        <f t="shared" si="21"/>
        <v>4500000</v>
      </c>
      <c r="BJ93" s="175">
        <f t="shared" si="22"/>
        <v>3000000</v>
      </c>
      <c r="BK93" s="176">
        <f>+BI93/AV93</f>
        <v>0.6</v>
      </c>
      <c r="BL93" s="170">
        <v>47</v>
      </c>
      <c r="BM93" s="170">
        <v>35</v>
      </c>
      <c r="BN93" s="170">
        <v>3000000</v>
      </c>
      <c r="BO93" s="172">
        <v>0</v>
      </c>
      <c r="BP93" s="172">
        <v>0</v>
      </c>
      <c r="BQ93" s="172">
        <v>0</v>
      </c>
      <c r="BR93" s="172">
        <v>0</v>
      </c>
      <c r="BS93" s="172">
        <v>3000000</v>
      </c>
      <c r="BT93" s="172">
        <v>0</v>
      </c>
      <c r="BU93" s="172">
        <v>0</v>
      </c>
      <c r="BV93" s="172">
        <v>0</v>
      </c>
      <c r="BW93" s="172">
        <v>0</v>
      </c>
      <c r="BX93" s="172">
        <v>0</v>
      </c>
      <c r="BY93" s="172">
        <v>0</v>
      </c>
      <c r="BZ93" s="172">
        <v>0</v>
      </c>
      <c r="CA93" s="172">
        <f t="shared" si="23"/>
        <v>3000000</v>
      </c>
      <c r="CB93" s="172">
        <f t="shared" si="24"/>
        <v>0</v>
      </c>
      <c r="CC93" s="494">
        <f t="shared" si="25"/>
        <v>1</v>
      </c>
      <c r="CD93" s="192"/>
      <c r="CE93" s="192"/>
      <c r="CF93" s="172"/>
      <c r="CG93" s="172"/>
      <c r="CH93" s="172"/>
      <c r="CI93" s="172"/>
      <c r="CJ93" s="172"/>
      <c r="CK93" s="172"/>
      <c r="CL93" s="172"/>
      <c r="CM93" s="172"/>
      <c r="CN93" s="172"/>
      <c r="CO93" s="172"/>
      <c r="CP93" s="172"/>
      <c r="CQ93" s="172"/>
      <c r="CR93" s="172"/>
      <c r="CS93" s="172">
        <v>0</v>
      </c>
      <c r="CT93" s="172">
        <v>0</v>
      </c>
      <c r="CU93" s="192" t="e">
        <v>#DIV/0!</v>
      </c>
    </row>
    <row r="94" spans="1:99" s="68" customFormat="1" x14ac:dyDescent="0.25">
      <c r="A94" s="491">
        <v>119</v>
      </c>
      <c r="B94" s="65" t="s">
        <v>139</v>
      </c>
      <c r="C94" s="491">
        <v>1161</v>
      </c>
      <c r="D94" s="65" t="s">
        <v>122</v>
      </c>
      <c r="E94" s="491">
        <v>2</v>
      </c>
      <c r="F94" s="585"/>
      <c r="G94" s="585"/>
      <c r="H94" s="585"/>
      <c r="I94" s="585"/>
      <c r="J94" s="601"/>
      <c r="K94" s="601"/>
      <c r="L94" s="166" t="s">
        <v>599</v>
      </c>
      <c r="M94" s="166" t="s">
        <v>493</v>
      </c>
      <c r="N94" s="166" t="s">
        <v>336</v>
      </c>
      <c r="O94" s="166" t="s">
        <v>400</v>
      </c>
      <c r="P94" s="180">
        <v>41639</v>
      </c>
      <c r="Q94" s="180">
        <v>41688</v>
      </c>
      <c r="R94" s="166" t="s">
        <v>600</v>
      </c>
      <c r="S94" s="166" t="s">
        <v>601</v>
      </c>
      <c r="T94" s="166" t="s">
        <v>602</v>
      </c>
      <c r="U94" s="166" t="s">
        <v>603</v>
      </c>
      <c r="V94" s="166">
        <v>800078560</v>
      </c>
      <c r="W94" s="191"/>
      <c r="X94" s="166" t="s">
        <v>315</v>
      </c>
      <c r="Y94" s="166"/>
      <c r="Z94" s="174">
        <v>948</v>
      </c>
      <c r="AA94" s="175">
        <v>47730000</v>
      </c>
      <c r="AB94" s="174">
        <v>954</v>
      </c>
      <c r="AC94" s="175">
        <v>47730000</v>
      </c>
      <c r="AD94" s="175">
        <v>0</v>
      </c>
      <c r="AE94" s="175">
        <v>0</v>
      </c>
      <c r="AF94" s="175">
        <v>0</v>
      </c>
      <c r="AG94" s="175">
        <v>0</v>
      </c>
      <c r="AH94" s="175">
        <v>0</v>
      </c>
      <c r="AI94" s="175">
        <v>0</v>
      </c>
      <c r="AJ94" s="175">
        <v>0</v>
      </c>
      <c r="AK94" s="175">
        <v>0</v>
      </c>
      <c r="AL94" s="175">
        <v>0</v>
      </c>
      <c r="AM94" s="175">
        <v>0</v>
      </c>
      <c r="AN94" s="175">
        <v>0</v>
      </c>
      <c r="AO94" s="175">
        <v>0</v>
      </c>
      <c r="AP94" s="175">
        <f t="shared" si="26"/>
        <v>0</v>
      </c>
      <c r="AQ94" s="175">
        <f t="shared" si="27"/>
        <v>47730000</v>
      </c>
      <c r="AR94" s="176">
        <f t="shared" si="28"/>
        <v>0</v>
      </c>
      <c r="AS94" s="176"/>
      <c r="AT94" s="174">
        <v>185</v>
      </c>
      <c r="AU94" s="174">
        <v>185</v>
      </c>
      <c r="AV94" s="175">
        <v>47730000</v>
      </c>
      <c r="AW94" s="174">
        <v>0</v>
      </c>
      <c r="AX94" s="174">
        <v>0</v>
      </c>
      <c r="AY94" s="174">
        <v>0</v>
      </c>
      <c r="AZ94" s="174">
        <v>0</v>
      </c>
      <c r="BA94" s="174">
        <v>728125</v>
      </c>
      <c r="BB94" s="174">
        <v>47001875</v>
      </c>
      <c r="BC94" s="174">
        <v>0</v>
      </c>
      <c r="BD94" s="174">
        <v>0</v>
      </c>
      <c r="BE94" s="174">
        <v>0</v>
      </c>
      <c r="BF94" s="174">
        <v>0</v>
      </c>
      <c r="BG94" s="174">
        <v>0</v>
      </c>
      <c r="BH94" s="174">
        <v>0</v>
      </c>
      <c r="BI94" s="175">
        <f t="shared" si="21"/>
        <v>47730000</v>
      </c>
      <c r="BJ94" s="175">
        <f t="shared" si="22"/>
        <v>0</v>
      </c>
      <c r="BK94" s="176">
        <f>+BI94/AV94</f>
        <v>1</v>
      </c>
      <c r="BL94" s="170"/>
      <c r="BM94" s="170"/>
      <c r="BN94" s="170"/>
      <c r="BO94" s="172"/>
      <c r="BP94" s="172"/>
      <c r="BQ94" s="172"/>
      <c r="BR94" s="172"/>
      <c r="BS94" s="172"/>
      <c r="BT94" s="172"/>
      <c r="BU94" s="172"/>
      <c r="BV94" s="172"/>
      <c r="BW94" s="172"/>
      <c r="BX94" s="172"/>
      <c r="BY94" s="172"/>
      <c r="BZ94" s="172"/>
      <c r="CA94" s="172">
        <f t="shared" si="23"/>
        <v>0</v>
      </c>
      <c r="CB94" s="172">
        <f t="shared" si="24"/>
        <v>0</v>
      </c>
      <c r="CC94" s="494" t="e">
        <f t="shared" si="25"/>
        <v>#DIV/0!</v>
      </c>
      <c r="CD94" s="192"/>
      <c r="CE94" s="192"/>
      <c r="CF94" s="172"/>
      <c r="CG94" s="172"/>
      <c r="CH94" s="172"/>
      <c r="CI94" s="172"/>
      <c r="CJ94" s="172"/>
      <c r="CK94" s="172"/>
      <c r="CL94" s="172"/>
      <c r="CM94" s="172"/>
      <c r="CN94" s="172"/>
      <c r="CO94" s="172"/>
      <c r="CP94" s="172"/>
      <c r="CQ94" s="172"/>
      <c r="CR94" s="172"/>
      <c r="CS94" s="172">
        <v>0</v>
      </c>
      <c r="CT94" s="172">
        <v>0</v>
      </c>
      <c r="CU94" s="192" t="e">
        <v>#DIV/0!</v>
      </c>
    </row>
    <row r="95" spans="1:99" s="68" customFormat="1" x14ac:dyDescent="0.25">
      <c r="A95" s="491">
        <v>119</v>
      </c>
      <c r="B95" s="65" t="s">
        <v>139</v>
      </c>
      <c r="C95" s="491">
        <v>1161</v>
      </c>
      <c r="D95" s="65" t="s">
        <v>122</v>
      </c>
      <c r="E95" s="491">
        <v>2</v>
      </c>
      <c r="F95" s="585"/>
      <c r="G95" s="585"/>
      <c r="H95" s="585"/>
      <c r="I95" s="585"/>
      <c r="J95" s="601"/>
      <c r="K95" s="601"/>
      <c r="L95" s="166" t="s">
        <v>604</v>
      </c>
      <c r="M95" s="166" t="s">
        <v>493</v>
      </c>
      <c r="N95" s="166" t="s">
        <v>430</v>
      </c>
      <c r="O95" s="166" t="s">
        <v>400</v>
      </c>
      <c r="P95" s="180">
        <v>41577</v>
      </c>
      <c r="Q95" s="180">
        <v>41596</v>
      </c>
      <c r="R95" s="166" t="s">
        <v>441</v>
      </c>
      <c r="S95" s="166" t="s">
        <v>605</v>
      </c>
      <c r="T95" s="166" t="s">
        <v>606</v>
      </c>
      <c r="U95" s="166" t="s">
        <v>582</v>
      </c>
      <c r="V95" s="166" t="s">
        <v>607</v>
      </c>
      <c r="W95" s="166">
        <v>235</v>
      </c>
      <c r="X95" s="166" t="s">
        <v>498</v>
      </c>
      <c r="Y95" s="166"/>
      <c r="Z95" s="174">
        <v>742</v>
      </c>
      <c r="AA95" s="175">
        <v>189450000</v>
      </c>
      <c r="AB95" s="174">
        <v>764</v>
      </c>
      <c r="AC95" s="175">
        <v>189450000</v>
      </c>
      <c r="AD95" s="175">
        <v>0</v>
      </c>
      <c r="AE95" s="175">
        <v>0</v>
      </c>
      <c r="AF95" s="175">
        <v>0</v>
      </c>
      <c r="AG95" s="175">
        <v>0</v>
      </c>
      <c r="AH95" s="175">
        <v>0</v>
      </c>
      <c r="AI95" s="175">
        <v>0</v>
      </c>
      <c r="AJ95" s="175">
        <v>0</v>
      </c>
      <c r="AK95" s="175">
        <v>0</v>
      </c>
      <c r="AL95" s="175">
        <v>0</v>
      </c>
      <c r="AM95" s="175">
        <v>0</v>
      </c>
      <c r="AN95" s="175">
        <v>0</v>
      </c>
      <c r="AO95" s="175">
        <v>19037500</v>
      </c>
      <c r="AP95" s="175">
        <f t="shared" si="26"/>
        <v>19037500</v>
      </c>
      <c r="AQ95" s="175">
        <f t="shared" si="27"/>
        <v>170412500</v>
      </c>
      <c r="AR95" s="176">
        <f t="shared" si="28"/>
        <v>0.10048825547637899</v>
      </c>
      <c r="AS95" s="176"/>
      <c r="AT95" s="174">
        <v>96</v>
      </c>
      <c r="AU95" s="174">
        <v>103</v>
      </c>
      <c r="AV95" s="175">
        <v>170412500</v>
      </c>
      <c r="AW95" s="174">
        <v>0</v>
      </c>
      <c r="AX95" s="174">
        <v>68315625</v>
      </c>
      <c r="AY95" s="174">
        <v>22110000</v>
      </c>
      <c r="AZ95" s="174">
        <v>34702500</v>
      </c>
      <c r="BA95" s="174">
        <v>45284375</v>
      </c>
      <c r="BB95" s="174">
        <v>0</v>
      </c>
      <c r="BC95" s="174">
        <v>0</v>
      </c>
      <c r="BD95" s="174">
        <v>0</v>
      </c>
      <c r="BE95" s="174">
        <v>0</v>
      </c>
      <c r="BF95" s="174">
        <v>0</v>
      </c>
      <c r="BG95" s="174">
        <v>0</v>
      </c>
      <c r="BH95" s="174">
        <v>0</v>
      </c>
      <c r="BI95" s="175">
        <f t="shared" si="21"/>
        <v>170412500</v>
      </c>
      <c r="BJ95" s="175">
        <f t="shared" si="22"/>
        <v>0</v>
      </c>
      <c r="BK95" s="176">
        <f>+BI95/AV95</f>
        <v>1</v>
      </c>
      <c r="BL95" s="170"/>
      <c r="BM95" s="170"/>
      <c r="BN95" s="170"/>
      <c r="BO95" s="172"/>
      <c r="BP95" s="172"/>
      <c r="BQ95" s="172"/>
      <c r="BR95" s="172"/>
      <c r="BS95" s="172"/>
      <c r="BT95" s="172"/>
      <c r="BU95" s="172"/>
      <c r="BV95" s="172"/>
      <c r="BW95" s="172"/>
      <c r="BX95" s="172"/>
      <c r="BY95" s="172"/>
      <c r="BZ95" s="172"/>
      <c r="CA95" s="172">
        <f t="shared" si="23"/>
        <v>0</v>
      </c>
      <c r="CB95" s="172">
        <f t="shared" si="24"/>
        <v>0</v>
      </c>
      <c r="CC95" s="494" t="e">
        <f t="shared" si="25"/>
        <v>#DIV/0!</v>
      </c>
      <c r="CD95" s="192"/>
      <c r="CE95" s="192"/>
      <c r="CF95" s="172"/>
      <c r="CG95" s="172"/>
      <c r="CH95" s="172"/>
      <c r="CI95" s="172"/>
      <c r="CJ95" s="172"/>
      <c r="CK95" s="172"/>
      <c r="CL95" s="172"/>
      <c r="CM95" s="172"/>
      <c r="CN95" s="172"/>
      <c r="CO95" s="172"/>
      <c r="CP95" s="172"/>
      <c r="CQ95" s="172"/>
      <c r="CR95" s="172"/>
      <c r="CS95" s="172">
        <v>0</v>
      </c>
      <c r="CT95" s="172">
        <v>0</v>
      </c>
      <c r="CU95" s="192" t="e">
        <v>#DIV/0!</v>
      </c>
    </row>
    <row r="96" spans="1:99" s="68" customFormat="1" x14ac:dyDescent="0.25">
      <c r="A96" s="490">
        <v>120</v>
      </c>
      <c r="B96" s="63" t="s">
        <v>144</v>
      </c>
      <c r="C96" s="490">
        <v>1161</v>
      </c>
      <c r="D96" s="63" t="s">
        <v>122</v>
      </c>
      <c r="E96" s="490">
        <v>4</v>
      </c>
      <c r="F96" s="559" t="s">
        <v>45</v>
      </c>
      <c r="G96" s="559">
        <v>4</v>
      </c>
      <c r="H96" s="559" t="s">
        <v>146</v>
      </c>
      <c r="I96" s="559" t="s">
        <v>147</v>
      </c>
      <c r="J96" s="560"/>
      <c r="K96" s="560"/>
      <c r="L96" s="166"/>
      <c r="M96" s="166"/>
      <c r="N96" s="166"/>
      <c r="O96" s="166"/>
      <c r="P96" s="180"/>
      <c r="Q96" s="180"/>
      <c r="R96" s="166"/>
      <c r="S96" s="166"/>
      <c r="T96" s="166"/>
      <c r="U96" s="166"/>
      <c r="V96" s="166"/>
      <c r="W96" s="166"/>
      <c r="X96" s="166"/>
      <c r="Y96" s="166"/>
      <c r="Z96" s="174"/>
      <c r="AA96" s="175"/>
      <c r="AB96" s="174"/>
      <c r="AC96" s="175"/>
      <c r="AD96" s="175"/>
      <c r="AE96" s="175"/>
      <c r="AF96" s="175"/>
      <c r="AG96" s="175"/>
      <c r="AH96" s="175"/>
      <c r="AI96" s="175"/>
      <c r="AJ96" s="175"/>
      <c r="AK96" s="175"/>
      <c r="AL96" s="175"/>
      <c r="AM96" s="175"/>
      <c r="AN96" s="175"/>
      <c r="AO96" s="175"/>
      <c r="AP96" s="175"/>
      <c r="AQ96" s="175"/>
      <c r="AR96" s="176"/>
      <c r="AS96" s="176"/>
      <c r="AT96" s="174"/>
      <c r="AU96" s="174"/>
      <c r="AV96" s="175"/>
      <c r="AW96" s="174"/>
      <c r="AX96" s="174"/>
      <c r="AY96" s="174"/>
      <c r="AZ96" s="174"/>
      <c r="BA96" s="174"/>
      <c r="BB96" s="174"/>
      <c r="BC96" s="174"/>
      <c r="BD96" s="174"/>
      <c r="BE96" s="174"/>
      <c r="BF96" s="174"/>
      <c r="BG96" s="174"/>
      <c r="BH96" s="174"/>
      <c r="BI96" s="175">
        <f t="shared" si="21"/>
        <v>0</v>
      </c>
      <c r="BJ96" s="175">
        <f t="shared" si="22"/>
        <v>0</v>
      </c>
      <c r="BK96" s="176"/>
      <c r="BL96" s="170"/>
      <c r="BM96" s="170"/>
      <c r="BN96" s="170"/>
      <c r="BO96" s="172"/>
      <c r="BP96" s="172"/>
      <c r="BQ96" s="172"/>
      <c r="BR96" s="172"/>
      <c r="BS96" s="172"/>
      <c r="BT96" s="172"/>
      <c r="BU96" s="172"/>
      <c r="BV96" s="172"/>
      <c r="BW96" s="172"/>
      <c r="BX96" s="172"/>
      <c r="BY96" s="172"/>
      <c r="BZ96" s="172"/>
      <c r="CA96" s="172">
        <f t="shared" si="23"/>
        <v>0</v>
      </c>
      <c r="CB96" s="172">
        <f t="shared" si="24"/>
        <v>0</v>
      </c>
      <c r="CC96" s="494" t="e">
        <f t="shared" si="25"/>
        <v>#DIV/0!</v>
      </c>
      <c r="CD96" s="192"/>
      <c r="CE96" s="192"/>
      <c r="CF96" s="172"/>
      <c r="CG96" s="172"/>
      <c r="CH96" s="172"/>
      <c r="CI96" s="172"/>
      <c r="CJ96" s="172"/>
      <c r="CK96" s="172"/>
      <c r="CL96" s="172"/>
      <c r="CM96" s="172"/>
      <c r="CN96" s="172"/>
      <c r="CO96" s="172"/>
      <c r="CP96" s="172"/>
      <c r="CQ96" s="172"/>
      <c r="CR96" s="172"/>
      <c r="CS96" s="172">
        <v>0</v>
      </c>
      <c r="CT96" s="172">
        <v>0</v>
      </c>
      <c r="CU96" s="192" t="e">
        <v>#DIV/0!</v>
      </c>
    </row>
    <row r="97" spans="1:99" s="68" customFormat="1" x14ac:dyDescent="0.25">
      <c r="A97" s="490">
        <v>120</v>
      </c>
      <c r="B97" s="63" t="s">
        <v>144</v>
      </c>
      <c r="C97" s="490">
        <v>1161</v>
      </c>
      <c r="D97" s="63" t="s">
        <v>122</v>
      </c>
      <c r="E97" s="490">
        <v>4</v>
      </c>
      <c r="F97" s="559"/>
      <c r="G97" s="559"/>
      <c r="H97" s="559"/>
      <c r="I97" s="559"/>
      <c r="J97" s="561"/>
      <c r="K97" s="561"/>
      <c r="L97" s="166"/>
      <c r="M97" s="166"/>
      <c r="N97" s="166"/>
      <c r="O97" s="166"/>
      <c r="P97" s="180"/>
      <c r="Q97" s="180"/>
      <c r="R97" s="166"/>
      <c r="S97" s="166"/>
      <c r="T97" s="166"/>
      <c r="U97" s="166"/>
      <c r="V97" s="166"/>
      <c r="W97" s="166"/>
      <c r="X97" s="166"/>
      <c r="Y97" s="166"/>
      <c r="Z97" s="174"/>
      <c r="AA97" s="175"/>
      <c r="AB97" s="174"/>
      <c r="AC97" s="175"/>
      <c r="AD97" s="175"/>
      <c r="AE97" s="175"/>
      <c r="AF97" s="175"/>
      <c r="AG97" s="175"/>
      <c r="AH97" s="175"/>
      <c r="AI97" s="175"/>
      <c r="AJ97" s="175"/>
      <c r="AK97" s="175"/>
      <c r="AL97" s="175"/>
      <c r="AM97" s="175"/>
      <c r="AN97" s="175"/>
      <c r="AO97" s="175"/>
      <c r="AP97" s="175"/>
      <c r="AQ97" s="175"/>
      <c r="AR97" s="176"/>
      <c r="AS97" s="176"/>
      <c r="AT97" s="174"/>
      <c r="AU97" s="174"/>
      <c r="AV97" s="175"/>
      <c r="AW97" s="174"/>
      <c r="AX97" s="174"/>
      <c r="AY97" s="174"/>
      <c r="AZ97" s="174"/>
      <c r="BA97" s="174"/>
      <c r="BB97" s="174"/>
      <c r="BC97" s="174"/>
      <c r="BD97" s="174"/>
      <c r="BE97" s="174"/>
      <c r="BF97" s="174"/>
      <c r="BG97" s="174"/>
      <c r="BH97" s="174"/>
      <c r="BI97" s="175">
        <f t="shared" si="21"/>
        <v>0</v>
      </c>
      <c r="BJ97" s="175">
        <f t="shared" si="22"/>
        <v>0</v>
      </c>
      <c r="BK97" s="176"/>
      <c r="BL97" s="170"/>
      <c r="BM97" s="170"/>
      <c r="BN97" s="170"/>
      <c r="BO97" s="172"/>
      <c r="BP97" s="172"/>
      <c r="BQ97" s="172"/>
      <c r="BR97" s="172"/>
      <c r="BS97" s="172"/>
      <c r="BT97" s="172"/>
      <c r="BU97" s="172"/>
      <c r="BV97" s="172"/>
      <c r="BW97" s="172"/>
      <c r="BX97" s="172"/>
      <c r="BY97" s="172"/>
      <c r="BZ97" s="172"/>
      <c r="CA97" s="172">
        <f t="shared" si="23"/>
        <v>0</v>
      </c>
      <c r="CB97" s="172">
        <f t="shared" si="24"/>
        <v>0</v>
      </c>
      <c r="CC97" s="494" t="e">
        <f t="shared" si="25"/>
        <v>#DIV/0!</v>
      </c>
      <c r="CD97" s="192"/>
      <c r="CE97" s="192"/>
      <c r="CF97" s="172"/>
      <c r="CG97" s="172"/>
      <c r="CH97" s="172"/>
      <c r="CI97" s="172"/>
      <c r="CJ97" s="172"/>
      <c r="CK97" s="172"/>
      <c r="CL97" s="172"/>
      <c r="CM97" s="172"/>
      <c r="CN97" s="172"/>
      <c r="CO97" s="172"/>
      <c r="CP97" s="172"/>
      <c r="CQ97" s="172"/>
      <c r="CR97" s="172"/>
      <c r="CS97" s="172">
        <v>0</v>
      </c>
      <c r="CT97" s="172">
        <v>0</v>
      </c>
      <c r="CU97" s="192" t="e">
        <v>#DIV/0!</v>
      </c>
    </row>
    <row r="98" spans="1:99" s="68" customFormat="1" x14ac:dyDescent="0.25">
      <c r="A98" s="490">
        <v>120</v>
      </c>
      <c r="B98" s="63" t="s">
        <v>144</v>
      </c>
      <c r="C98" s="490">
        <v>1161</v>
      </c>
      <c r="D98" s="63" t="s">
        <v>122</v>
      </c>
      <c r="E98" s="490">
        <v>4</v>
      </c>
      <c r="F98" s="559"/>
      <c r="G98" s="559"/>
      <c r="H98" s="559"/>
      <c r="I98" s="559"/>
      <c r="J98" s="602"/>
      <c r="K98" s="602"/>
      <c r="L98" s="166"/>
      <c r="M98" s="166"/>
      <c r="N98" s="166"/>
      <c r="O98" s="166"/>
      <c r="P98" s="180"/>
      <c r="Q98" s="180"/>
      <c r="R98" s="166"/>
      <c r="S98" s="166"/>
      <c r="T98" s="166"/>
      <c r="U98" s="166"/>
      <c r="V98" s="166"/>
      <c r="W98" s="166"/>
      <c r="X98" s="166"/>
      <c r="Y98" s="166"/>
      <c r="Z98" s="174"/>
      <c r="AA98" s="175"/>
      <c r="AB98" s="174"/>
      <c r="AC98" s="175"/>
      <c r="AD98" s="175"/>
      <c r="AE98" s="175"/>
      <c r="AF98" s="175"/>
      <c r="AG98" s="175"/>
      <c r="AH98" s="175"/>
      <c r="AI98" s="175"/>
      <c r="AJ98" s="175"/>
      <c r="AK98" s="175"/>
      <c r="AL98" s="175"/>
      <c r="AM98" s="175"/>
      <c r="AN98" s="175"/>
      <c r="AO98" s="175"/>
      <c r="AP98" s="175"/>
      <c r="AQ98" s="175"/>
      <c r="AR98" s="176"/>
      <c r="AS98" s="176"/>
      <c r="AT98" s="174"/>
      <c r="AU98" s="174"/>
      <c r="AV98" s="175"/>
      <c r="AW98" s="174"/>
      <c r="AX98" s="174"/>
      <c r="AY98" s="174"/>
      <c r="AZ98" s="174"/>
      <c r="BA98" s="174"/>
      <c r="BB98" s="174"/>
      <c r="BC98" s="174"/>
      <c r="BD98" s="174"/>
      <c r="BE98" s="174"/>
      <c r="BF98" s="174"/>
      <c r="BG98" s="174"/>
      <c r="BH98" s="174"/>
      <c r="BI98" s="175">
        <f t="shared" si="21"/>
        <v>0</v>
      </c>
      <c r="BJ98" s="175">
        <f t="shared" si="22"/>
        <v>0</v>
      </c>
      <c r="BK98" s="176"/>
      <c r="BL98" s="170"/>
      <c r="BM98" s="170"/>
      <c r="BN98" s="170"/>
      <c r="BO98" s="172"/>
      <c r="BP98" s="172"/>
      <c r="BQ98" s="172"/>
      <c r="BR98" s="172"/>
      <c r="BS98" s="172"/>
      <c r="BT98" s="172"/>
      <c r="BU98" s="172"/>
      <c r="BV98" s="172"/>
      <c r="BW98" s="172"/>
      <c r="BX98" s="172"/>
      <c r="BY98" s="172"/>
      <c r="BZ98" s="172"/>
      <c r="CA98" s="172">
        <f t="shared" si="23"/>
        <v>0</v>
      </c>
      <c r="CB98" s="172">
        <f t="shared" si="24"/>
        <v>0</v>
      </c>
      <c r="CC98" s="494" t="e">
        <f t="shared" si="25"/>
        <v>#DIV/0!</v>
      </c>
      <c r="CD98" s="192"/>
      <c r="CE98" s="192"/>
      <c r="CF98" s="172"/>
      <c r="CG98" s="172"/>
      <c r="CH98" s="172"/>
      <c r="CI98" s="172"/>
      <c r="CJ98" s="172"/>
      <c r="CK98" s="172"/>
      <c r="CL98" s="172"/>
      <c r="CM98" s="172"/>
      <c r="CN98" s="172"/>
      <c r="CO98" s="172"/>
      <c r="CP98" s="172"/>
      <c r="CQ98" s="172"/>
      <c r="CR98" s="172"/>
      <c r="CS98" s="172">
        <v>0</v>
      </c>
      <c r="CT98" s="172">
        <v>0</v>
      </c>
      <c r="CU98" s="192" t="e">
        <v>#DIV/0!</v>
      </c>
    </row>
    <row r="99" spans="1:99" s="68" customFormat="1" x14ac:dyDescent="0.25">
      <c r="A99" s="490">
        <v>121</v>
      </c>
      <c r="B99" s="63" t="s">
        <v>150</v>
      </c>
      <c r="C99" s="490">
        <v>1165</v>
      </c>
      <c r="D99" s="63" t="s">
        <v>152</v>
      </c>
      <c r="E99" s="490">
        <v>1</v>
      </c>
      <c r="F99" s="559" t="s">
        <v>153</v>
      </c>
      <c r="G99" s="559">
        <v>3</v>
      </c>
      <c r="H99" s="559" t="s">
        <v>154</v>
      </c>
      <c r="I99" s="559" t="s">
        <v>155</v>
      </c>
      <c r="J99" s="560"/>
      <c r="K99" s="560"/>
      <c r="L99" s="166" t="s">
        <v>608</v>
      </c>
      <c r="M99" s="166" t="s">
        <v>156</v>
      </c>
      <c r="N99" s="166" t="s">
        <v>329</v>
      </c>
      <c r="O99" s="166" t="s">
        <v>356</v>
      </c>
      <c r="P99" s="180">
        <v>41635</v>
      </c>
      <c r="Q99" s="191"/>
      <c r="R99" s="166" t="s">
        <v>609</v>
      </c>
      <c r="S99" s="166" t="s">
        <v>610</v>
      </c>
      <c r="T99" s="166" t="s">
        <v>611</v>
      </c>
      <c r="U99" s="166" t="s">
        <v>612</v>
      </c>
      <c r="V99" s="166">
        <v>900337047</v>
      </c>
      <c r="W99" s="191"/>
      <c r="X99" s="166" t="s">
        <v>315</v>
      </c>
      <c r="Y99" s="166"/>
      <c r="Z99" s="174">
        <v>782</v>
      </c>
      <c r="AA99" s="175">
        <v>279447334</v>
      </c>
      <c r="AB99" s="174">
        <v>894</v>
      </c>
      <c r="AC99" s="175">
        <v>275319046</v>
      </c>
      <c r="AD99" s="175">
        <v>0</v>
      </c>
      <c r="AE99" s="175">
        <v>0</v>
      </c>
      <c r="AF99" s="175">
        <v>0</v>
      </c>
      <c r="AG99" s="175">
        <v>0</v>
      </c>
      <c r="AH99" s="175">
        <v>0</v>
      </c>
      <c r="AI99" s="175">
        <v>0</v>
      </c>
      <c r="AJ99" s="175">
        <v>0</v>
      </c>
      <c r="AK99" s="175">
        <v>0</v>
      </c>
      <c r="AL99" s="175">
        <v>0</v>
      </c>
      <c r="AM99" s="175">
        <v>0</v>
      </c>
      <c r="AN99" s="175">
        <v>0</v>
      </c>
      <c r="AO99" s="175">
        <v>0</v>
      </c>
      <c r="AP99" s="175">
        <f>SUM(AD99:AO99)</f>
        <v>0</v>
      </c>
      <c r="AQ99" s="175">
        <f>+AC99-AP99</f>
        <v>275319046</v>
      </c>
      <c r="AR99" s="176">
        <f>AP99/AC99</f>
        <v>0</v>
      </c>
      <c r="AS99" s="176"/>
      <c r="AT99" s="174">
        <v>172</v>
      </c>
      <c r="AU99" s="174">
        <v>171</v>
      </c>
      <c r="AV99" s="175">
        <v>275319046</v>
      </c>
      <c r="AW99" s="174">
        <v>0</v>
      </c>
      <c r="AX99" s="174">
        <v>82595714</v>
      </c>
      <c r="AY99" s="174">
        <v>0</v>
      </c>
      <c r="AZ99" s="174">
        <v>0</v>
      </c>
      <c r="BA99" s="174">
        <v>0</v>
      </c>
      <c r="BB99" s="174">
        <v>5549471</v>
      </c>
      <c r="BC99" s="174">
        <v>0</v>
      </c>
      <c r="BD99" s="174">
        <v>0</v>
      </c>
      <c r="BE99" s="174">
        <v>69375254</v>
      </c>
      <c r="BF99" s="174">
        <v>28741558</v>
      </c>
      <c r="BG99" s="174">
        <v>45364037</v>
      </c>
      <c r="BH99" s="174">
        <v>21317404</v>
      </c>
      <c r="BI99" s="175">
        <f t="shared" ref="BI99:BI130" si="30">SUM(AW99:BH99)</f>
        <v>252943438</v>
      </c>
      <c r="BJ99" s="175">
        <f t="shared" ref="BJ99:BJ130" si="31">+AV99-BI99</f>
        <v>22375608</v>
      </c>
      <c r="BK99" s="176">
        <f>+BI99/AV99</f>
        <v>0.91872844132984532</v>
      </c>
      <c r="BL99" s="170">
        <v>42</v>
      </c>
      <c r="BM99" s="170">
        <v>31</v>
      </c>
      <c r="BN99" s="170">
        <v>22375608</v>
      </c>
      <c r="BO99" s="172">
        <v>0</v>
      </c>
      <c r="BP99" s="172">
        <v>22375608</v>
      </c>
      <c r="BQ99" s="172">
        <v>0</v>
      </c>
      <c r="BR99" s="172">
        <v>0</v>
      </c>
      <c r="BS99" s="172">
        <v>0</v>
      </c>
      <c r="BT99" s="172">
        <v>0</v>
      </c>
      <c r="BU99" s="172">
        <v>0</v>
      </c>
      <c r="BV99" s="172">
        <v>0</v>
      </c>
      <c r="BW99" s="172">
        <v>0</v>
      </c>
      <c r="BX99" s="172">
        <v>0</v>
      </c>
      <c r="BY99" s="172">
        <v>0</v>
      </c>
      <c r="BZ99" s="172">
        <v>0</v>
      </c>
      <c r="CA99" s="172">
        <f t="shared" si="23"/>
        <v>22375608</v>
      </c>
      <c r="CB99" s="172">
        <f t="shared" si="24"/>
        <v>0</v>
      </c>
      <c r="CC99" s="494">
        <f t="shared" si="25"/>
        <v>1</v>
      </c>
      <c r="CD99" s="192"/>
      <c r="CE99" s="192"/>
      <c r="CF99" s="172"/>
      <c r="CG99" s="172"/>
      <c r="CH99" s="172"/>
      <c r="CI99" s="172"/>
      <c r="CJ99" s="172"/>
      <c r="CK99" s="172"/>
      <c r="CL99" s="172"/>
      <c r="CM99" s="172"/>
      <c r="CN99" s="172"/>
      <c r="CO99" s="172"/>
      <c r="CP99" s="172"/>
      <c r="CQ99" s="172"/>
      <c r="CR99" s="172"/>
      <c r="CS99" s="172">
        <v>0</v>
      </c>
      <c r="CT99" s="172">
        <v>0</v>
      </c>
      <c r="CU99" s="192" t="e">
        <v>#DIV/0!</v>
      </c>
    </row>
    <row r="100" spans="1:99" s="68" customFormat="1" x14ac:dyDescent="0.25">
      <c r="A100" s="490">
        <v>121</v>
      </c>
      <c r="B100" s="63" t="s">
        <v>150</v>
      </c>
      <c r="C100" s="490">
        <v>1165</v>
      </c>
      <c r="D100" s="63" t="s">
        <v>152</v>
      </c>
      <c r="E100" s="490">
        <v>1</v>
      </c>
      <c r="F100" s="559"/>
      <c r="G100" s="559"/>
      <c r="H100" s="559"/>
      <c r="I100" s="559"/>
      <c r="J100" s="561"/>
      <c r="K100" s="561"/>
      <c r="L100" s="166" t="s">
        <v>613</v>
      </c>
      <c r="M100" s="166" t="s">
        <v>156</v>
      </c>
      <c r="N100" s="166" t="s">
        <v>329</v>
      </c>
      <c r="O100" s="166" t="s">
        <v>320</v>
      </c>
      <c r="P100" s="180">
        <v>41635</v>
      </c>
      <c r="Q100" s="191"/>
      <c r="R100" s="166" t="s">
        <v>609</v>
      </c>
      <c r="S100" s="166" t="s">
        <v>614</v>
      </c>
      <c r="T100" s="166" t="s">
        <v>615</v>
      </c>
      <c r="U100" s="166" t="s">
        <v>616</v>
      </c>
      <c r="V100" s="166">
        <v>19225812</v>
      </c>
      <c r="W100" s="191"/>
      <c r="X100" s="166" t="s">
        <v>315</v>
      </c>
      <c r="Y100" s="166"/>
      <c r="Z100" s="174">
        <v>826</v>
      </c>
      <c r="AA100" s="175">
        <v>16500000</v>
      </c>
      <c r="AB100" s="174">
        <v>876</v>
      </c>
      <c r="AC100" s="175">
        <v>15950000</v>
      </c>
      <c r="AD100" s="175">
        <v>0</v>
      </c>
      <c r="AE100" s="175">
        <v>0</v>
      </c>
      <c r="AF100" s="175">
        <v>0</v>
      </c>
      <c r="AG100" s="175">
        <v>0</v>
      </c>
      <c r="AH100" s="175">
        <v>0</v>
      </c>
      <c r="AI100" s="175">
        <v>0</v>
      </c>
      <c r="AJ100" s="175">
        <v>0</v>
      </c>
      <c r="AK100" s="175">
        <v>0</v>
      </c>
      <c r="AL100" s="175">
        <v>0</v>
      </c>
      <c r="AM100" s="175">
        <v>0</v>
      </c>
      <c r="AN100" s="175">
        <v>0</v>
      </c>
      <c r="AO100" s="175">
        <v>0</v>
      </c>
      <c r="AP100" s="175">
        <f>SUM(AD100:AO100)</f>
        <v>0</v>
      </c>
      <c r="AQ100" s="175">
        <f>+AC100-AP100</f>
        <v>15950000</v>
      </c>
      <c r="AR100" s="176">
        <f>AP100/AC100</f>
        <v>0</v>
      </c>
      <c r="AS100" s="176"/>
      <c r="AT100" s="174">
        <v>200</v>
      </c>
      <c r="AU100" s="174">
        <v>200</v>
      </c>
      <c r="AV100" s="175">
        <v>15950000</v>
      </c>
      <c r="AW100" s="174">
        <v>0</v>
      </c>
      <c r="AX100" s="174">
        <v>0</v>
      </c>
      <c r="AY100" s="174">
        <v>0</v>
      </c>
      <c r="AZ100" s="174">
        <v>0</v>
      </c>
      <c r="BA100" s="174">
        <v>0</v>
      </c>
      <c r="BB100" s="174">
        <v>5316000</v>
      </c>
      <c r="BC100" s="174">
        <v>0</v>
      </c>
      <c r="BD100" s="174">
        <v>0</v>
      </c>
      <c r="BE100" s="174">
        <v>0</v>
      </c>
      <c r="BF100" s="174">
        <v>0</v>
      </c>
      <c r="BG100" s="174">
        <v>0</v>
      </c>
      <c r="BH100" s="174">
        <v>0</v>
      </c>
      <c r="BI100" s="175">
        <f t="shared" si="30"/>
        <v>5316000</v>
      </c>
      <c r="BJ100" s="175">
        <f t="shared" si="31"/>
        <v>10634000</v>
      </c>
      <c r="BK100" s="176">
        <f>+BI100/AV100</f>
        <v>0.33329153605015677</v>
      </c>
      <c r="BL100" s="170">
        <v>49</v>
      </c>
      <c r="BM100" s="170">
        <v>37</v>
      </c>
      <c r="BN100" s="170">
        <v>1329000</v>
      </c>
      <c r="BO100" s="172">
        <v>0</v>
      </c>
      <c r="BP100" s="172">
        <v>0</v>
      </c>
      <c r="BQ100" s="172">
        <v>0</v>
      </c>
      <c r="BR100" s="172">
        <v>1329000</v>
      </c>
      <c r="BS100" s="172">
        <v>0</v>
      </c>
      <c r="BT100" s="172">
        <v>0</v>
      </c>
      <c r="BU100" s="172">
        <v>0</v>
      </c>
      <c r="BV100" s="172">
        <v>0</v>
      </c>
      <c r="BW100" s="172">
        <v>0</v>
      </c>
      <c r="BX100" s="172">
        <v>0</v>
      </c>
      <c r="BY100" s="172">
        <v>0</v>
      </c>
      <c r="BZ100" s="172">
        <v>0</v>
      </c>
      <c r="CA100" s="172">
        <f t="shared" si="23"/>
        <v>1329000</v>
      </c>
      <c r="CB100" s="172">
        <f t="shared" si="24"/>
        <v>0</v>
      </c>
      <c r="CC100" s="494">
        <f t="shared" si="25"/>
        <v>1</v>
      </c>
      <c r="CD100" s="192"/>
      <c r="CE100" s="192"/>
      <c r="CF100" s="172"/>
      <c r="CG100" s="172"/>
      <c r="CH100" s="172"/>
      <c r="CI100" s="172"/>
      <c r="CJ100" s="172"/>
      <c r="CK100" s="172"/>
      <c r="CL100" s="172"/>
      <c r="CM100" s="172"/>
      <c r="CN100" s="172"/>
      <c r="CO100" s="172"/>
      <c r="CP100" s="172"/>
      <c r="CQ100" s="172"/>
      <c r="CR100" s="172"/>
      <c r="CS100" s="172">
        <v>0</v>
      </c>
      <c r="CT100" s="172">
        <v>0</v>
      </c>
      <c r="CU100" s="192" t="e">
        <v>#DIV/0!</v>
      </c>
    </row>
    <row r="101" spans="1:99" s="68" customFormat="1" x14ac:dyDescent="0.25">
      <c r="A101" s="490">
        <v>121</v>
      </c>
      <c r="B101" s="63" t="s">
        <v>150</v>
      </c>
      <c r="C101" s="490">
        <v>1165</v>
      </c>
      <c r="D101" s="63" t="s">
        <v>152</v>
      </c>
      <c r="E101" s="490">
        <v>1</v>
      </c>
      <c r="F101" s="559"/>
      <c r="G101" s="559"/>
      <c r="H101" s="559"/>
      <c r="I101" s="559"/>
      <c r="J101" s="561"/>
      <c r="K101" s="561"/>
      <c r="L101" s="166"/>
      <c r="M101" s="166"/>
      <c r="N101" s="191"/>
      <c r="O101" s="192"/>
      <c r="P101" s="191"/>
      <c r="Q101" s="191"/>
      <c r="R101" s="191"/>
      <c r="S101" s="192"/>
      <c r="T101" s="191"/>
      <c r="U101" s="192"/>
      <c r="V101" s="191"/>
      <c r="W101" s="191"/>
      <c r="X101" s="191"/>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74"/>
      <c r="AU101" s="174"/>
      <c r="AV101" s="175"/>
      <c r="AW101" s="192"/>
      <c r="AX101" s="192"/>
      <c r="AY101" s="192"/>
      <c r="AZ101" s="192"/>
      <c r="BA101" s="192"/>
      <c r="BB101" s="192"/>
      <c r="BC101" s="192"/>
      <c r="BD101" s="192"/>
      <c r="BE101" s="192"/>
      <c r="BF101" s="174"/>
      <c r="BG101" s="174"/>
      <c r="BH101" s="174"/>
      <c r="BI101" s="175">
        <f t="shared" si="30"/>
        <v>0</v>
      </c>
      <c r="BJ101" s="175">
        <f t="shared" si="31"/>
        <v>0</v>
      </c>
      <c r="BK101" s="176"/>
      <c r="BL101" s="170"/>
      <c r="BM101" s="170"/>
      <c r="BN101" s="170"/>
      <c r="BO101" s="172"/>
      <c r="BP101" s="172"/>
      <c r="BQ101" s="172"/>
      <c r="BR101" s="172"/>
      <c r="BS101" s="172"/>
      <c r="BT101" s="172"/>
      <c r="BU101" s="172"/>
      <c r="BV101" s="172"/>
      <c r="BW101" s="172"/>
      <c r="BX101" s="172"/>
      <c r="BY101" s="172"/>
      <c r="BZ101" s="172"/>
      <c r="CA101" s="172">
        <f t="shared" si="23"/>
        <v>0</v>
      </c>
      <c r="CB101" s="172">
        <f t="shared" si="24"/>
        <v>0</v>
      </c>
      <c r="CC101" s="494" t="e">
        <f t="shared" si="25"/>
        <v>#DIV/0!</v>
      </c>
      <c r="CD101" s="192"/>
      <c r="CE101" s="192"/>
      <c r="CF101" s="172"/>
      <c r="CG101" s="172"/>
      <c r="CH101" s="172"/>
      <c r="CI101" s="172"/>
      <c r="CJ101" s="172"/>
      <c r="CK101" s="172"/>
      <c r="CL101" s="172"/>
      <c r="CM101" s="172"/>
      <c r="CN101" s="172"/>
      <c r="CO101" s="172"/>
      <c r="CP101" s="172"/>
      <c r="CQ101" s="172"/>
      <c r="CR101" s="172"/>
      <c r="CS101" s="172">
        <v>0</v>
      </c>
      <c r="CT101" s="172">
        <v>0</v>
      </c>
      <c r="CU101" s="192" t="e">
        <v>#DIV/0!</v>
      </c>
    </row>
    <row r="102" spans="1:99" s="68" customFormat="1" x14ac:dyDescent="0.25">
      <c r="A102" s="490">
        <v>122</v>
      </c>
      <c r="B102" s="63" t="s">
        <v>158</v>
      </c>
      <c r="C102" s="490">
        <v>1165</v>
      </c>
      <c r="D102" s="63" t="s">
        <v>152</v>
      </c>
      <c r="E102" s="490">
        <v>2</v>
      </c>
      <c r="F102" s="559" t="s">
        <v>153</v>
      </c>
      <c r="G102" s="559">
        <v>25</v>
      </c>
      <c r="H102" s="559" t="s">
        <v>159</v>
      </c>
      <c r="I102" s="559" t="s">
        <v>160</v>
      </c>
      <c r="J102" s="560"/>
      <c r="K102" s="560"/>
      <c r="L102" s="166" t="s">
        <v>617</v>
      </c>
      <c r="M102" s="166" t="s">
        <v>156</v>
      </c>
      <c r="N102" s="166" t="s">
        <v>409</v>
      </c>
      <c r="O102" s="166" t="s">
        <v>356</v>
      </c>
      <c r="P102" s="180">
        <v>41605</v>
      </c>
      <c r="Q102" s="191"/>
      <c r="R102" s="166" t="s">
        <v>337</v>
      </c>
      <c r="S102" s="189" t="s">
        <v>618</v>
      </c>
      <c r="T102" s="166" t="s">
        <v>540</v>
      </c>
      <c r="U102" s="166" t="s">
        <v>444</v>
      </c>
      <c r="V102" s="166">
        <v>830106121</v>
      </c>
      <c r="W102" s="191"/>
      <c r="X102" s="191"/>
      <c r="Y102" s="166"/>
      <c r="Z102" s="174">
        <v>744</v>
      </c>
      <c r="AA102" s="175">
        <v>83028833</v>
      </c>
      <c r="AB102" s="174">
        <v>826</v>
      </c>
      <c r="AC102" s="175">
        <v>82250000</v>
      </c>
      <c r="AD102" s="175">
        <v>0</v>
      </c>
      <c r="AE102" s="175">
        <v>0</v>
      </c>
      <c r="AF102" s="175">
        <v>0</v>
      </c>
      <c r="AG102" s="175">
        <v>0</v>
      </c>
      <c r="AH102" s="175">
        <v>0</v>
      </c>
      <c r="AI102" s="175">
        <v>0</v>
      </c>
      <c r="AJ102" s="175">
        <v>0</v>
      </c>
      <c r="AK102" s="175">
        <v>0</v>
      </c>
      <c r="AL102" s="175">
        <v>0</v>
      </c>
      <c r="AM102" s="175">
        <v>0</v>
      </c>
      <c r="AN102" s="175">
        <v>0</v>
      </c>
      <c r="AO102" s="175">
        <v>0</v>
      </c>
      <c r="AP102" s="175">
        <f t="shared" ref="AP102:AP107" si="32">SUM(AD102:AO102)</f>
        <v>0</v>
      </c>
      <c r="AQ102" s="175">
        <f t="shared" ref="AQ102:AQ107" si="33">+AC102-AP102</f>
        <v>82250000</v>
      </c>
      <c r="AR102" s="176">
        <f t="shared" ref="AR102:AR107" si="34">AP102/AC102</f>
        <v>0</v>
      </c>
      <c r="AS102" s="176"/>
      <c r="AT102" s="174">
        <v>168</v>
      </c>
      <c r="AU102" s="174">
        <v>167</v>
      </c>
      <c r="AV102" s="175">
        <v>82250000</v>
      </c>
      <c r="AW102" s="174">
        <v>0</v>
      </c>
      <c r="AX102" s="174">
        <v>24675000</v>
      </c>
      <c r="AY102" s="174">
        <v>0</v>
      </c>
      <c r="AZ102" s="174">
        <v>0</v>
      </c>
      <c r="BA102" s="174">
        <v>0</v>
      </c>
      <c r="BB102" s="174">
        <v>39340000</v>
      </c>
      <c r="BC102" s="174">
        <v>0</v>
      </c>
      <c r="BD102" s="174">
        <v>0</v>
      </c>
      <c r="BE102" s="174">
        <v>18235000</v>
      </c>
      <c r="BF102" s="174">
        <v>0</v>
      </c>
      <c r="BG102" s="174">
        <v>0</v>
      </c>
      <c r="BH102" s="174">
        <v>0</v>
      </c>
      <c r="BI102" s="175">
        <f t="shared" si="30"/>
        <v>82250000</v>
      </c>
      <c r="BJ102" s="175">
        <f t="shared" si="31"/>
        <v>0</v>
      </c>
      <c r="BK102" s="176">
        <f t="shared" ref="BK102:BK107" si="35">+BI102/AV102</f>
        <v>1</v>
      </c>
      <c r="BL102" s="170"/>
      <c r="BM102" s="170"/>
      <c r="BN102" s="170"/>
      <c r="BO102" s="172"/>
      <c r="BP102" s="172"/>
      <c r="BQ102" s="172"/>
      <c r="BR102" s="172"/>
      <c r="BS102" s="172"/>
      <c r="BT102" s="172"/>
      <c r="BU102" s="172"/>
      <c r="BV102" s="172"/>
      <c r="BW102" s="172"/>
      <c r="BX102" s="172"/>
      <c r="BY102" s="172"/>
      <c r="BZ102" s="172"/>
      <c r="CA102" s="172">
        <f t="shared" si="23"/>
        <v>0</v>
      </c>
      <c r="CB102" s="172">
        <f t="shared" si="24"/>
        <v>0</v>
      </c>
      <c r="CC102" s="494" t="e">
        <f t="shared" si="25"/>
        <v>#DIV/0!</v>
      </c>
      <c r="CD102" s="192"/>
      <c r="CE102" s="192"/>
      <c r="CF102" s="172"/>
      <c r="CG102" s="172"/>
      <c r="CH102" s="172"/>
      <c r="CI102" s="172"/>
      <c r="CJ102" s="172"/>
      <c r="CK102" s="172"/>
      <c r="CL102" s="172"/>
      <c r="CM102" s="172"/>
      <c r="CN102" s="172"/>
      <c r="CO102" s="172"/>
      <c r="CP102" s="172"/>
      <c r="CQ102" s="172"/>
      <c r="CR102" s="172"/>
      <c r="CS102" s="172">
        <v>0</v>
      </c>
      <c r="CT102" s="172">
        <v>0</v>
      </c>
      <c r="CU102" s="192" t="e">
        <v>#DIV/0!</v>
      </c>
    </row>
    <row r="103" spans="1:99" s="68" customFormat="1" x14ac:dyDescent="0.25">
      <c r="A103" s="490">
        <v>122</v>
      </c>
      <c r="B103" s="63" t="s">
        <v>158</v>
      </c>
      <c r="C103" s="490">
        <v>1165</v>
      </c>
      <c r="D103" s="63" t="s">
        <v>152</v>
      </c>
      <c r="E103" s="490">
        <v>2</v>
      </c>
      <c r="F103" s="559"/>
      <c r="G103" s="559"/>
      <c r="H103" s="559"/>
      <c r="I103" s="559"/>
      <c r="J103" s="561"/>
      <c r="K103" s="561"/>
      <c r="L103" s="166" t="s">
        <v>619</v>
      </c>
      <c r="M103" s="166" t="s">
        <v>156</v>
      </c>
      <c r="N103" s="166" t="s">
        <v>329</v>
      </c>
      <c r="O103" s="166" t="s">
        <v>320</v>
      </c>
      <c r="P103" s="180">
        <v>41635</v>
      </c>
      <c r="Q103" s="191"/>
      <c r="R103" s="166" t="s">
        <v>337</v>
      </c>
      <c r="S103" s="166" t="s">
        <v>620</v>
      </c>
      <c r="T103" s="166" t="s">
        <v>621</v>
      </c>
      <c r="U103" s="166" t="s">
        <v>432</v>
      </c>
      <c r="V103" s="166">
        <v>74371098</v>
      </c>
      <c r="W103" s="191"/>
      <c r="X103" s="166" t="s">
        <v>315</v>
      </c>
      <c r="Y103" s="166"/>
      <c r="Z103" s="174">
        <v>892</v>
      </c>
      <c r="AA103" s="175">
        <v>12000000</v>
      </c>
      <c r="AB103" s="174">
        <v>875</v>
      </c>
      <c r="AC103" s="175">
        <v>12000000</v>
      </c>
      <c r="AD103" s="175">
        <v>0</v>
      </c>
      <c r="AE103" s="175">
        <v>0</v>
      </c>
      <c r="AF103" s="175">
        <v>0</v>
      </c>
      <c r="AG103" s="175">
        <v>0</v>
      </c>
      <c r="AH103" s="175">
        <v>0</v>
      </c>
      <c r="AI103" s="175">
        <v>0</v>
      </c>
      <c r="AJ103" s="175">
        <v>0</v>
      </c>
      <c r="AK103" s="175">
        <v>0</v>
      </c>
      <c r="AL103" s="175">
        <v>0</v>
      </c>
      <c r="AM103" s="175">
        <v>0</v>
      </c>
      <c r="AN103" s="175">
        <v>0</v>
      </c>
      <c r="AO103" s="175">
        <v>0</v>
      </c>
      <c r="AP103" s="175">
        <f t="shared" si="32"/>
        <v>0</v>
      </c>
      <c r="AQ103" s="175">
        <f t="shared" si="33"/>
        <v>12000000</v>
      </c>
      <c r="AR103" s="176">
        <f t="shared" si="34"/>
        <v>0</v>
      </c>
      <c r="AS103" s="176"/>
      <c r="AT103" s="174">
        <v>199</v>
      </c>
      <c r="AU103" s="174">
        <v>199</v>
      </c>
      <c r="AV103" s="175">
        <v>12000000</v>
      </c>
      <c r="AW103" s="174">
        <v>0</v>
      </c>
      <c r="AX103" s="174">
        <v>0</v>
      </c>
      <c r="AY103" s="174">
        <v>0</v>
      </c>
      <c r="AZ103" s="174">
        <v>0</v>
      </c>
      <c r="BA103" s="174">
        <v>4000000</v>
      </c>
      <c r="BB103" s="174">
        <v>4000000</v>
      </c>
      <c r="BC103" s="174">
        <v>0</v>
      </c>
      <c r="BD103" s="174">
        <v>2000000</v>
      </c>
      <c r="BE103" s="174">
        <v>0</v>
      </c>
      <c r="BF103" s="174">
        <v>0</v>
      </c>
      <c r="BG103" s="174">
        <v>2000000</v>
      </c>
      <c r="BH103" s="174">
        <v>0</v>
      </c>
      <c r="BI103" s="175">
        <f t="shared" si="30"/>
        <v>12000000</v>
      </c>
      <c r="BJ103" s="175">
        <f t="shared" si="31"/>
        <v>0</v>
      </c>
      <c r="BK103" s="176">
        <f t="shared" si="35"/>
        <v>1</v>
      </c>
      <c r="BL103" s="170"/>
      <c r="BM103" s="170"/>
      <c r="BN103" s="170"/>
      <c r="BO103" s="172"/>
      <c r="BP103" s="172"/>
      <c r="BQ103" s="172"/>
      <c r="BR103" s="172"/>
      <c r="BS103" s="172"/>
      <c r="BT103" s="172"/>
      <c r="BU103" s="172"/>
      <c r="BV103" s="172"/>
      <c r="BW103" s="172"/>
      <c r="BX103" s="172"/>
      <c r="BY103" s="172"/>
      <c r="BZ103" s="172"/>
      <c r="CA103" s="172">
        <f t="shared" si="23"/>
        <v>0</v>
      </c>
      <c r="CB103" s="172">
        <f t="shared" si="24"/>
        <v>0</v>
      </c>
      <c r="CC103" s="494" t="e">
        <f t="shared" si="25"/>
        <v>#DIV/0!</v>
      </c>
      <c r="CD103" s="192"/>
      <c r="CE103" s="192"/>
      <c r="CF103" s="172"/>
      <c r="CG103" s="172"/>
      <c r="CH103" s="172"/>
      <c r="CI103" s="172"/>
      <c r="CJ103" s="172"/>
      <c r="CK103" s="172"/>
      <c r="CL103" s="172"/>
      <c r="CM103" s="172"/>
      <c r="CN103" s="172"/>
      <c r="CO103" s="172"/>
      <c r="CP103" s="172"/>
      <c r="CQ103" s="172"/>
      <c r="CR103" s="172"/>
      <c r="CS103" s="172">
        <v>0</v>
      </c>
      <c r="CT103" s="172">
        <v>0</v>
      </c>
      <c r="CU103" s="192" t="e">
        <v>#DIV/0!</v>
      </c>
    </row>
    <row r="104" spans="1:99" s="68" customFormat="1" x14ac:dyDescent="0.25">
      <c r="A104" s="490">
        <v>122</v>
      </c>
      <c r="B104" s="63" t="s">
        <v>158</v>
      </c>
      <c r="C104" s="490">
        <v>1165</v>
      </c>
      <c r="D104" s="63" t="s">
        <v>152</v>
      </c>
      <c r="E104" s="490">
        <v>2</v>
      </c>
      <c r="F104" s="559"/>
      <c r="G104" s="559"/>
      <c r="H104" s="559"/>
      <c r="I104" s="559"/>
      <c r="J104" s="561"/>
      <c r="K104" s="561"/>
      <c r="L104" s="166" t="s">
        <v>622</v>
      </c>
      <c r="M104" s="166" t="s">
        <v>156</v>
      </c>
      <c r="N104" s="189" t="s">
        <v>409</v>
      </c>
      <c r="O104" s="166" t="s">
        <v>356</v>
      </c>
      <c r="P104" s="180">
        <v>41627</v>
      </c>
      <c r="Q104" s="191"/>
      <c r="R104" s="166" t="s">
        <v>337</v>
      </c>
      <c r="S104" s="189" t="s">
        <v>623</v>
      </c>
      <c r="T104" s="199" t="s">
        <v>624</v>
      </c>
      <c r="U104" s="166" t="s">
        <v>444</v>
      </c>
      <c r="V104" s="166">
        <v>830106121</v>
      </c>
      <c r="W104" s="191"/>
      <c r="X104" s="191"/>
      <c r="Y104" s="166"/>
      <c r="Z104" s="174">
        <v>839</v>
      </c>
      <c r="AA104" s="175">
        <v>124200000</v>
      </c>
      <c r="AB104" s="174">
        <v>865</v>
      </c>
      <c r="AC104" s="175">
        <v>124150000</v>
      </c>
      <c r="AD104" s="175">
        <v>0</v>
      </c>
      <c r="AE104" s="175">
        <v>0</v>
      </c>
      <c r="AF104" s="175">
        <v>0</v>
      </c>
      <c r="AG104" s="175">
        <v>0</v>
      </c>
      <c r="AH104" s="175">
        <v>0</v>
      </c>
      <c r="AI104" s="175">
        <v>0</v>
      </c>
      <c r="AJ104" s="175">
        <v>0</v>
      </c>
      <c r="AK104" s="175">
        <v>0</v>
      </c>
      <c r="AL104" s="175">
        <v>0</v>
      </c>
      <c r="AM104" s="175">
        <v>0</v>
      </c>
      <c r="AN104" s="175">
        <v>0</v>
      </c>
      <c r="AO104" s="175">
        <v>0</v>
      </c>
      <c r="AP104" s="175">
        <f t="shared" si="32"/>
        <v>0</v>
      </c>
      <c r="AQ104" s="175">
        <f t="shared" si="33"/>
        <v>124150000</v>
      </c>
      <c r="AR104" s="176">
        <f t="shared" si="34"/>
        <v>0</v>
      </c>
      <c r="AS104" s="176"/>
      <c r="AT104" s="174">
        <v>194</v>
      </c>
      <c r="AU104" s="174">
        <v>194</v>
      </c>
      <c r="AV104" s="175">
        <v>124150000</v>
      </c>
      <c r="AW104" s="174">
        <v>0</v>
      </c>
      <c r="AX104" s="174">
        <v>0</v>
      </c>
      <c r="AY104" s="174">
        <v>0</v>
      </c>
      <c r="AZ104" s="174">
        <v>0</v>
      </c>
      <c r="BA104" s="174">
        <v>0</v>
      </c>
      <c r="BB104" s="174">
        <v>71410000</v>
      </c>
      <c r="BC104" s="174">
        <v>34071000</v>
      </c>
      <c r="BD104" s="174">
        <v>0</v>
      </c>
      <c r="BE104" s="174">
        <v>18669000</v>
      </c>
      <c r="BF104" s="174">
        <v>0</v>
      </c>
      <c r="BG104" s="174">
        <v>0</v>
      </c>
      <c r="BH104" s="174">
        <v>0</v>
      </c>
      <c r="BI104" s="175">
        <f t="shared" si="30"/>
        <v>124150000</v>
      </c>
      <c r="BJ104" s="175">
        <f t="shared" si="31"/>
        <v>0</v>
      </c>
      <c r="BK104" s="176">
        <f t="shared" si="35"/>
        <v>1</v>
      </c>
      <c r="BL104" s="170"/>
      <c r="BM104" s="170"/>
      <c r="BN104" s="170"/>
      <c r="BO104" s="172"/>
      <c r="BP104" s="172"/>
      <c r="BQ104" s="172"/>
      <c r="BR104" s="172"/>
      <c r="BS104" s="172"/>
      <c r="BT104" s="172"/>
      <c r="BU104" s="172"/>
      <c r="BV104" s="172"/>
      <c r="BW104" s="172"/>
      <c r="BX104" s="172"/>
      <c r="BY104" s="172"/>
      <c r="BZ104" s="172"/>
      <c r="CA104" s="172">
        <f t="shared" si="23"/>
        <v>0</v>
      </c>
      <c r="CB104" s="172">
        <f t="shared" si="24"/>
        <v>0</v>
      </c>
      <c r="CC104" s="494" t="e">
        <f t="shared" si="25"/>
        <v>#DIV/0!</v>
      </c>
      <c r="CD104" s="192"/>
      <c r="CE104" s="192"/>
      <c r="CF104" s="172"/>
      <c r="CG104" s="172"/>
      <c r="CH104" s="172"/>
      <c r="CI104" s="172"/>
      <c r="CJ104" s="172"/>
      <c r="CK104" s="172"/>
      <c r="CL104" s="172"/>
      <c r="CM104" s="172"/>
      <c r="CN104" s="172"/>
      <c r="CO104" s="172"/>
      <c r="CP104" s="172"/>
      <c r="CQ104" s="172"/>
      <c r="CR104" s="172"/>
      <c r="CS104" s="172">
        <v>0</v>
      </c>
      <c r="CT104" s="172">
        <v>0</v>
      </c>
      <c r="CU104" s="192" t="e">
        <v>#DIV/0!</v>
      </c>
    </row>
    <row r="105" spans="1:99" s="68" customFormat="1" x14ac:dyDescent="0.25">
      <c r="A105" s="490">
        <v>122</v>
      </c>
      <c r="B105" s="63" t="s">
        <v>158</v>
      </c>
      <c r="C105" s="490">
        <v>1165</v>
      </c>
      <c r="D105" s="63" t="s">
        <v>152</v>
      </c>
      <c r="E105" s="490">
        <v>2</v>
      </c>
      <c r="F105" s="559"/>
      <c r="G105" s="559"/>
      <c r="H105" s="559"/>
      <c r="I105" s="559"/>
      <c r="J105" s="561"/>
      <c r="K105" s="561"/>
      <c r="L105" s="166" t="s">
        <v>625</v>
      </c>
      <c r="M105" s="166" t="s">
        <v>156</v>
      </c>
      <c r="N105" s="166" t="s">
        <v>349</v>
      </c>
      <c r="O105" s="166" t="s">
        <v>320</v>
      </c>
      <c r="P105" s="180">
        <v>41620</v>
      </c>
      <c r="Q105" s="191"/>
      <c r="R105" s="166" t="s">
        <v>337</v>
      </c>
      <c r="S105" s="189" t="s">
        <v>626</v>
      </c>
      <c r="T105" s="166" t="s">
        <v>627</v>
      </c>
      <c r="U105" s="166" t="s">
        <v>628</v>
      </c>
      <c r="V105" s="166">
        <v>52956996</v>
      </c>
      <c r="W105" s="191"/>
      <c r="X105" s="191"/>
      <c r="Y105" s="166"/>
      <c r="Z105" s="174">
        <v>827</v>
      </c>
      <c r="AA105" s="175">
        <v>12000000</v>
      </c>
      <c r="AB105" s="174">
        <v>846</v>
      </c>
      <c r="AC105" s="175">
        <v>10800000</v>
      </c>
      <c r="AD105" s="175">
        <v>0</v>
      </c>
      <c r="AE105" s="175">
        <v>0</v>
      </c>
      <c r="AF105" s="175">
        <v>0</v>
      </c>
      <c r="AG105" s="175">
        <v>0</v>
      </c>
      <c r="AH105" s="175">
        <v>0</v>
      </c>
      <c r="AI105" s="175">
        <v>0</v>
      </c>
      <c r="AJ105" s="175">
        <v>0</v>
      </c>
      <c r="AK105" s="175">
        <v>0</v>
      </c>
      <c r="AL105" s="175">
        <v>0</v>
      </c>
      <c r="AM105" s="175">
        <v>0</v>
      </c>
      <c r="AN105" s="175">
        <v>0</v>
      </c>
      <c r="AO105" s="175">
        <v>0</v>
      </c>
      <c r="AP105" s="175">
        <f t="shared" si="32"/>
        <v>0</v>
      </c>
      <c r="AQ105" s="175">
        <f t="shared" si="33"/>
        <v>10800000</v>
      </c>
      <c r="AR105" s="176">
        <f t="shared" si="34"/>
        <v>0</v>
      </c>
      <c r="AS105" s="176"/>
      <c r="AT105" s="174">
        <v>193</v>
      </c>
      <c r="AU105" s="174">
        <v>193</v>
      </c>
      <c r="AV105" s="175">
        <v>10800000</v>
      </c>
      <c r="AW105" s="174">
        <v>0</v>
      </c>
      <c r="AX105" s="174">
        <v>0</v>
      </c>
      <c r="AY105" s="174">
        <v>1800000</v>
      </c>
      <c r="AZ105" s="174">
        <v>1800000</v>
      </c>
      <c r="BA105" s="174">
        <v>1800000</v>
      </c>
      <c r="BB105" s="174">
        <v>3600000</v>
      </c>
      <c r="BC105" s="174">
        <v>0</v>
      </c>
      <c r="BD105" s="174">
        <v>0</v>
      </c>
      <c r="BE105" s="174">
        <v>1800000</v>
      </c>
      <c r="BF105" s="174">
        <v>0</v>
      </c>
      <c r="BG105" s="174">
        <v>0</v>
      </c>
      <c r="BH105" s="174">
        <v>0</v>
      </c>
      <c r="BI105" s="175">
        <f t="shared" si="30"/>
        <v>10800000</v>
      </c>
      <c r="BJ105" s="175">
        <f t="shared" si="31"/>
        <v>0</v>
      </c>
      <c r="BK105" s="176">
        <f t="shared" si="35"/>
        <v>1</v>
      </c>
      <c r="BL105" s="170"/>
      <c r="BM105" s="170"/>
      <c r="BN105" s="170"/>
      <c r="BO105" s="172"/>
      <c r="BP105" s="172"/>
      <c r="BQ105" s="172"/>
      <c r="BR105" s="172"/>
      <c r="BS105" s="172"/>
      <c r="BT105" s="172"/>
      <c r="BU105" s="172"/>
      <c r="BV105" s="172"/>
      <c r="BW105" s="172"/>
      <c r="BX105" s="172"/>
      <c r="BY105" s="172"/>
      <c r="BZ105" s="172"/>
      <c r="CA105" s="172">
        <f t="shared" si="23"/>
        <v>0</v>
      </c>
      <c r="CB105" s="172">
        <f t="shared" si="24"/>
        <v>0</v>
      </c>
      <c r="CC105" s="494" t="e">
        <f t="shared" si="25"/>
        <v>#DIV/0!</v>
      </c>
      <c r="CD105" s="192"/>
      <c r="CE105" s="192"/>
      <c r="CF105" s="172"/>
      <c r="CG105" s="172"/>
      <c r="CH105" s="172"/>
      <c r="CI105" s="172"/>
      <c r="CJ105" s="172"/>
      <c r="CK105" s="172"/>
      <c r="CL105" s="172"/>
      <c r="CM105" s="172"/>
      <c r="CN105" s="172"/>
      <c r="CO105" s="172"/>
      <c r="CP105" s="172"/>
      <c r="CQ105" s="172"/>
      <c r="CR105" s="172"/>
      <c r="CS105" s="172">
        <v>0</v>
      </c>
      <c r="CT105" s="172">
        <v>0</v>
      </c>
      <c r="CU105" s="192" t="e">
        <v>#DIV/0!</v>
      </c>
    </row>
    <row r="106" spans="1:99" s="68" customFormat="1" x14ac:dyDescent="0.25">
      <c r="A106" s="490">
        <v>123</v>
      </c>
      <c r="B106" s="63" t="s">
        <v>161</v>
      </c>
      <c r="C106" s="490">
        <v>1165</v>
      </c>
      <c r="D106" s="63" t="s">
        <v>152</v>
      </c>
      <c r="E106" s="490">
        <v>3</v>
      </c>
      <c r="F106" s="559" t="s">
        <v>153</v>
      </c>
      <c r="G106" s="559">
        <v>10</v>
      </c>
      <c r="H106" s="559" t="s">
        <v>162</v>
      </c>
      <c r="I106" s="559" t="s">
        <v>163</v>
      </c>
      <c r="J106" s="560"/>
      <c r="K106" s="560"/>
      <c r="L106" s="166" t="s">
        <v>629</v>
      </c>
      <c r="M106" s="166" t="s">
        <v>156</v>
      </c>
      <c r="N106" s="189" t="s">
        <v>409</v>
      </c>
      <c r="O106" s="166" t="s">
        <v>356</v>
      </c>
      <c r="P106" s="180">
        <v>41627</v>
      </c>
      <c r="Q106" s="191"/>
      <c r="R106" s="166" t="s">
        <v>500</v>
      </c>
      <c r="S106" s="189" t="s">
        <v>630</v>
      </c>
      <c r="T106" s="166" t="s">
        <v>631</v>
      </c>
      <c r="U106" s="166" t="s">
        <v>444</v>
      </c>
      <c r="V106" s="166">
        <v>830106121</v>
      </c>
      <c r="W106" s="191"/>
      <c r="X106" s="191"/>
      <c r="Y106" s="166"/>
      <c r="Z106" s="174">
        <v>829</v>
      </c>
      <c r="AA106" s="175">
        <v>120904943</v>
      </c>
      <c r="AB106" s="174">
        <v>867</v>
      </c>
      <c r="AC106" s="175">
        <v>118500000</v>
      </c>
      <c r="AD106" s="175">
        <v>0</v>
      </c>
      <c r="AE106" s="175">
        <v>0</v>
      </c>
      <c r="AF106" s="175">
        <v>0</v>
      </c>
      <c r="AG106" s="175">
        <v>0</v>
      </c>
      <c r="AH106" s="175">
        <v>0</v>
      </c>
      <c r="AI106" s="175">
        <v>0</v>
      </c>
      <c r="AJ106" s="175">
        <v>0</v>
      </c>
      <c r="AK106" s="175">
        <v>0</v>
      </c>
      <c r="AL106" s="175">
        <v>0</v>
      </c>
      <c r="AM106" s="175">
        <v>0</v>
      </c>
      <c r="AN106" s="175">
        <v>0</v>
      </c>
      <c r="AO106" s="175">
        <v>0</v>
      </c>
      <c r="AP106" s="175">
        <f t="shared" si="32"/>
        <v>0</v>
      </c>
      <c r="AQ106" s="175">
        <f t="shared" si="33"/>
        <v>118500000</v>
      </c>
      <c r="AR106" s="176">
        <f t="shared" si="34"/>
        <v>0</v>
      </c>
      <c r="AS106" s="176"/>
      <c r="AT106" s="174">
        <v>198</v>
      </c>
      <c r="AU106" s="174">
        <v>198</v>
      </c>
      <c r="AV106" s="175">
        <v>118500000</v>
      </c>
      <c r="AW106" s="174">
        <v>0</v>
      </c>
      <c r="AX106" s="174">
        <v>0</v>
      </c>
      <c r="AY106" s="174">
        <v>35550000</v>
      </c>
      <c r="AZ106" s="174">
        <v>0</v>
      </c>
      <c r="BA106" s="174">
        <v>0</v>
      </c>
      <c r="BB106" s="174">
        <v>1000000</v>
      </c>
      <c r="BC106" s="174">
        <v>0</v>
      </c>
      <c r="BD106" s="174">
        <v>0</v>
      </c>
      <c r="BE106" s="174">
        <v>19853000</v>
      </c>
      <c r="BF106" s="174">
        <v>61063000</v>
      </c>
      <c r="BG106" s="174">
        <v>0</v>
      </c>
      <c r="BH106" s="174">
        <v>0</v>
      </c>
      <c r="BI106" s="175">
        <f t="shared" si="30"/>
        <v>117466000</v>
      </c>
      <c r="BJ106" s="175">
        <f t="shared" si="31"/>
        <v>1034000</v>
      </c>
      <c r="BK106" s="176">
        <f t="shared" si="35"/>
        <v>0.99127426160337551</v>
      </c>
      <c r="BL106" s="170">
        <v>48</v>
      </c>
      <c r="BM106" s="170">
        <v>36</v>
      </c>
      <c r="BN106" s="170">
        <v>0</v>
      </c>
      <c r="BO106" s="172">
        <v>0</v>
      </c>
      <c r="BP106" s="172">
        <v>0</v>
      </c>
      <c r="BQ106" s="172">
        <v>0</v>
      </c>
      <c r="BR106" s="172">
        <v>0</v>
      </c>
      <c r="BS106" s="172">
        <v>0</v>
      </c>
      <c r="BT106" s="172">
        <v>0</v>
      </c>
      <c r="BU106" s="172">
        <v>0</v>
      </c>
      <c r="BV106" s="172">
        <v>0</v>
      </c>
      <c r="BW106" s="172">
        <v>0</v>
      </c>
      <c r="BX106" s="172">
        <v>0</v>
      </c>
      <c r="BY106" s="172">
        <v>0</v>
      </c>
      <c r="BZ106" s="172">
        <v>0</v>
      </c>
      <c r="CA106" s="172">
        <f t="shared" si="23"/>
        <v>0</v>
      </c>
      <c r="CB106" s="172">
        <f t="shared" si="24"/>
        <v>0</v>
      </c>
      <c r="CC106" s="494" t="e">
        <f t="shared" si="25"/>
        <v>#DIV/0!</v>
      </c>
      <c r="CD106" s="192"/>
      <c r="CE106" s="192"/>
      <c r="CF106" s="172"/>
      <c r="CG106" s="172"/>
      <c r="CH106" s="172"/>
      <c r="CI106" s="172"/>
      <c r="CJ106" s="172"/>
      <c r="CK106" s="172"/>
      <c r="CL106" s="172"/>
      <c r="CM106" s="172"/>
      <c r="CN106" s="172"/>
      <c r="CO106" s="172"/>
      <c r="CP106" s="172"/>
      <c r="CQ106" s="172"/>
      <c r="CR106" s="172"/>
      <c r="CS106" s="172">
        <v>0</v>
      </c>
      <c r="CT106" s="172">
        <v>0</v>
      </c>
      <c r="CU106" s="192" t="e">
        <v>#DIV/0!</v>
      </c>
    </row>
    <row r="107" spans="1:99" s="68" customFormat="1" x14ac:dyDescent="0.25">
      <c r="A107" s="490">
        <v>123</v>
      </c>
      <c r="B107" s="63" t="s">
        <v>161</v>
      </c>
      <c r="C107" s="490">
        <v>1165</v>
      </c>
      <c r="D107" s="63" t="s">
        <v>152</v>
      </c>
      <c r="E107" s="490">
        <v>3</v>
      </c>
      <c r="F107" s="559"/>
      <c r="G107" s="559"/>
      <c r="H107" s="559"/>
      <c r="I107" s="559"/>
      <c r="J107" s="561"/>
      <c r="K107" s="561"/>
      <c r="L107" s="166" t="s">
        <v>632</v>
      </c>
      <c r="M107" s="166" t="s">
        <v>156</v>
      </c>
      <c r="N107" s="166" t="s">
        <v>329</v>
      </c>
      <c r="O107" s="166" t="s">
        <v>320</v>
      </c>
      <c r="P107" s="180">
        <v>41635</v>
      </c>
      <c r="Q107" s="191"/>
      <c r="R107" s="166" t="s">
        <v>337</v>
      </c>
      <c r="S107" s="166" t="s">
        <v>633</v>
      </c>
      <c r="T107" s="166" t="s">
        <v>634</v>
      </c>
      <c r="U107" s="166" t="s">
        <v>635</v>
      </c>
      <c r="V107" s="166">
        <v>80732722</v>
      </c>
      <c r="W107" s="191"/>
      <c r="X107" s="191"/>
      <c r="Y107" s="166"/>
      <c r="Z107" s="174">
        <v>893</v>
      </c>
      <c r="AA107" s="175">
        <v>12000000</v>
      </c>
      <c r="AB107" s="174">
        <v>882</v>
      </c>
      <c r="AC107" s="175">
        <v>12000000</v>
      </c>
      <c r="AD107" s="175">
        <v>0</v>
      </c>
      <c r="AE107" s="175">
        <v>0</v>
      </c>
      <c r="AF107" s="175">
        <v>0</v>
      </c>
      <c r="AG107" s="175">
        <v>0</v>
      </c>
      <c r="AH107" s="175">
        <v>0</v>
      </c>
      <c r="AI107" s="175">
        <v>0</v>
      </c>
      <c r="AJ107" s="175">
        <v>0</v>
      </c>
      <c r="AK107" s="175">
        <v>0</v>
      </c>
      <c r="AL107" s="175">
        <v>0</v>
      </c>
      <c r="AM107" s="175">
        <v>0</v>
      </c>
      <c r="AN107" s="175">
        <v>0</v>
      </c>
      <c r="AO107" s="175">
        <v>0</v>
      </c>
      <c r="AP107" s="175">
        <f t="shared" si="32"/>
        <v>0</v>
      </c>
      <c r="AQ107" s="175">
        <f t="shared" si="33"/>
        <v>12000000</v>
      </c>
      <c r="AR107" s="176">
        <f t="shared" si="34"/>
        <v>0</v>
      </c>
      <c r="AS107" s="176"/>
      <c r="AT107" s="174">
        <v>201</v>
      </c>
      <c r="AU107" s="174">
        <v>201</v>
      </c>
      <c r="AV107" s="175">
        <v>12000000</v>
      </c>
      <c r="AW107" s="174">
        <v>0</v>
      </c>
      <c r="AX107" s="174">
        <v>0</v>
      </c>
      <c r="AY107" s="174">
        <v>0</v>
      </c>
      <c r="AZ107" s="174">
        <v>0</v>
      </c>
      <c r="BA107" s="174">
        <v>0</v>
      </c>
      <c r="BB107" s="174">
        <v>0</v>
      </c>
      <c r="BC107" s="174">
        <v>4000000</v>
      </c>
      <c r="BD107" s="174">
        <v>2000000</v>
      </c>
      <c r="BE107" s="174">
        <v>2000000</v>
      </c>
      <c r="BF107" s="174">
        <v>0</v>
      </c>
      <c r="BG107" s="174">
        <v>4000000</v>
      </c>
      <c r="BH107" s="174">
        <v>0</v>
      </c>
      <c r="BI107" s="175">
        <f t="shared" si="30"/>
        <v>12000000</v>
      </c>
      <c r="BJ107" s="175">
        <f t="shared" si="31"/>
        <v>0</v>
      </c>
      <c r="BK107" s="176">
        <f t="shared" si="35"/>
        <v>1</v>
      </c>
      <c r="BL107" s="170"/>
      <c r="BM107" s="170"/>
      <c r="BN107" s="170"/>
      <c r="BO107" s="172"/>
      <c r="BP107" s="172"/>
      <c r="BQ107" s="172"/>
      <c r="BR107" s="172"/>
      <c r="BS107" s="172"/>
      <c r="BT107" s="172"/>
      <c r="BU107" s="172"/>
      <c r="BV107" s="172"/>
      <c r="BW107" s="172"/>
      <c r="BX107" s="172"/>
      <c r="BY107" s="172"/>
      <c r="BZ107" s="172"/>
      <c r="CA107" s="172">
        <f t="shared" si="23"/>
        <v>0</v>
      </c>
      <c r="CB107" s="172">
        <f t="shared" si="24"/>
        <v>0</v>
      </c>
      <c r="CC107" s="494" t="e">
        <f t="shared" si="25"/>
        <v>#DIV/0!</v>
      </c>
      <c r="CD107" s="192"/>
      <c r="CE107" s="192"/>
      <c r="CF107" s="172"/>
      <c r="CG107" s="172"/>
      <c r="CH107" s="172"/>
      <c r="CI107" s="172"/>
      <c r="CJ107" s="172"/>
      <c r="CK107" s="172"/>
      <c r="CL107" s="172"/>
      <c r="CM107" s="172"/>
      <c r="CN107" s="172"/>
      <c r="CO107" s="172"/>
      <c r="CP107" s="172"/>
      <c r="CQ107" s="172"/>
      <c r="CR107" s="172"/>
      <c r="CS107" s="172">
        <v>0</v>
      </c>
      <c r="CT107" s="172">
        <v>0</v>
      </c>
      <c r="CU107" s="192" t="e">
        <v>#DIV/0!</v>
      </c>
    </row>
    <row r="108" spans="1:99" s="68" customFormat="1" x14ac:dyDescent="0.25">
      <c r="A108" s="490">
        <v>123</v>
      </c>
      <c r="B108" s="63" t="s">
        <v>161</v>
      </c>
      <c r="C108" s="490">
        <v>1165</v>
      </c>
      <c r="D108" s="63" t="s">
        <v>152</v>
      </c>
      <c r="E108" s="490">
        <v>3</v>
      </c>
      <c r="F108" s="559"/>
      <c r="G108" s="559"/>
      <c r="H108" s="559"/>
      <c r="I108" s="559"/>
      <c r="J108" s="561"/>
      <c r="K108" s="561"/>
      <c r="L108" s="166"/>
      <c r="M108" s="166"/>
      <c r="N108" s="191"/>
      <c r="O108" s="166"/>
      <c r="P108" s="191"/>
      <c r="Q108" s="191"/>
      <c r="R108" s="191"/>
      <c r="S108" s="166"/>
      <c r="T108" s="191"/>
      <c r="U108" s="166"/>
      <c r="V108" s="191"/>
      <c r="W108" s="191"/>
      <c r="X108" s="191"/>
      <c r="Y108" s="166"/>
      <c r="Z108" s="174"/>
      <c r="AA108" s="175"/>
      <c r="AB108" s="174"/>
      <c r="AC108" s="175"/>
      <c r="AD108" s="175"/>
      <c r="AE108" s="175"/>
      <c r="AF108" s="175"/>
      <c r="AG108" s="175"/>
      <c r="AH108" s="175"/>
      <c r="AI108" s="175"/>
      <c r="AJ108" s="175"/>
      <c r="AK108" s="175"/>
      <c r="AL108" s="175"/>
      <c r="AM108" s="175"/>
      <c r="AN108" s="175"/>
      <c r="AO108" s="175"/>
      <c r="AP108" s="175"/>
      <c r="AQ108" s="175"/>
      <c r="AR108" s="176"/>
      <c r="AS108" s="176"/>
      <c r="AT108" s="174"/>
      <c r="AU108" s="174"/>
      <c r="AV108" s="175"/>
      <c r="AW108" s="174"/>
      <c r="AX108" s="174"/>
      <c r="AY108" s="174"/>
      <c r="AZ108" s="174"/>
      <c r="BA108" s="174"/>
      <c r="BB108" s="174"/>
      <c r="BC108" s="174"/>
      <c r="BD108" s="174"/>
      <c r="BE108" s="174"/>
      <c r="BF108" s="174"/>
      <c r="BG108" s="174"/>
      <c r="BH108" s="174"/>
      <c r="BI108" s="175">
        <f t="shared" si="30"/>
        <v>0</v>
      </c>
      <c r="BJ108" s="175">
        <f t="shared" si="31"/>
        <v>0</v>
      </c>
      <c r="BK108" s="176"/>
      <c r="BL108" s="170"/>
      <c r="BM108" s="170"/>
      <c r="BN108" s="170"/>
      <c r="BO108" s="172"/>
      <c r="BP108" s="172"/>
      <c r="BQ108" s="172"/>
      <c r="BR108" s="172"/>
      <c r="BS108" s="172"/>
      <c r="BT108" s="172"/>
      <c r="BU108" s="172"/>
      <c r="BV108" s="172"/>
      <c r="BW108" s="172"/>
      <c r="BX108" s="172"/>
      <c r="BY108" s="172"/>
      <c r="BZ108" s="172"/>
      <c r="CA108" s="172">
        <f t="shared" si="23"/>
        <v>0</v>
      </c>
      <c r="CB108" s="172">
        <f t="shared" si="24"/>
        <v>0</v>
      </c>
      <c r="CC108" s="494" t="e">
        <f t="shared" si="25"/>
        <v>#DIV/0!</v>
      </c>
      <c r="CD108" s="192"/>
      <c r="CE108" s="192"/>
      <c r="CF108" s="172"/>
      <c r="CG108" s="172"/>
      <c r="CH108" s="172"/>
      <c r="CI108" s="172"/>
      <c r="CJ108" s="172"/>
      <c r="CK108" s="172"/>
      <c r="CL108" s="172"/>
      <c r="CM108" s="172"/>
      <c r="CN108" s="172"/>
      <c r="CO108" s="172"/>
      <c r="CP108" s="172"/>
      <c r="CQ108" s="172"/>
      <c r="CR108" s="172"/>
      <c r="CS108" s="172">
        <v>0</v>
      </c>
      <c r="CT108" s="172">
        <v>0</v>
      </c>
      <c r="CU108" s="192" t="e">
        <v>#DIV/0!</v>
      </c>
    </row>
    <row r="109" spans="1:99" s="68" customFormat="1" x14ac:dyDescent="0.25">
      <c r="A109" s="490">
        <v>124</v>
      </c>
      <c r="B109" s="63" t="s">
        <v>164</v>
      </c>
      <c r="C109" s="490">
        <v>1165</v>
      </c>
      <c r="D109" s="63" t="s">
        <v>152</v>
      </c>
      <c r="E109" s="490">
        <v>4</v>
      </c>
      <c r="F109" s="559" t="s">
        <v>53</v>
      </c>
      <c r="G109" s="559">
        <v>500</v>
      </c>
      <c r="H109" s="559" t="s">
        <v>61</v>
      </c>
      <c r="I109" s="559" t="s">
        <v>166</v>
      </c>
      <c r="J109" s="560"/>
      <c r="K109" s="560"/>
      <c r="L109" s="166" t="s">
        <v>636</v>
      </c>
      <c r="M109" s="166" t="s">
        <v>156</v>
      </c>
      <c r="N109" s="189" t="s">
        <v>637</v>
      </c>
      <c r="O109" s="166" t="s">
        <v>356</v>
      </c>
      <c r="P109" s="180">
        <v>41627</v>
      </c>
      <c r="Q109" s="191"/>
      <c r="R109" s="166" t="s">
        <v>337</v>
      </c>
      <c r="S109" s="189" t="s">
        <v>638</v>
      </c>
      <c r="T109" s="166" t="s">
        <v>639</v>
      </c>
      <c r="U109" s="166" t="s">
        <v>461</v>
      </c>
      <c r="V109" s="189">
        <v>900337047</v>
      </c>
      <c r="W109" s="191"/>
      <c r="X109" s="191"/>
      <c r="Y109" s="166"/>
      <c r="Z109" s="174">
        <v>821</v>
      </c>
      <c r="AA109" s="175">
        <v>169490000</v>
      </c>
      <c r="AB109" s="174">
        <v>866</v>
      </c>
      <c r="AC109" s="175">
        <v>167300000</v>
      </c>
      <c r="AD109" s="175">
        <v>0</v>
      </c>
      <c r="AE109" s="175">
        <v>0</v>
      </c>
      <c r="AF109" s="175">
        <v>0</v>
      </c>
      <c r="AG109" s="175">
        <v>0</v>
      </c>
      <c r="AH109" s="175">
        <v>0</v>
      </c>
      <c r="AI109" s="175">
        <v>0</v>
      </c>
      <c r="AJ109" s="175">
        <v>0</v>
      </c>
      <c r="AK109" s="175">
        <v>0</v>
      </c>
      <c r="AL109" s="175">
        <v>0</v>
      </c>
      <c r="AM109" s="175">
        <v>0</v>
      </c>
      <c r="AN109" s="175">
        <v>0</v>
      </c>
      <c r="AO109" s="175">
        <v>0</v>
      </c>
      <c r="AP109" s="175">
        <f>SUM(AD109:AO109)</f>
        <v>0</v>
      </c>
      <c r="AQ109" s="175">
        <f>+AC109-AP109</f>
        <v>167300000</v>
      </c>
      <c r="AR109" s="176">
        <f>AP109/AC109</f>
        <v>0</v>
      </c>
      <c r="AS109" s="176"/>
      <c r="AT109" s="174">
        <v>197</v>
      </c>
      <c r="AU109" s="174">
        <v>197</v>
      </c>
      <c r="AV109" s="175">
        <v>165800000</v>
      </c>
      <c r="AW109" s="174">
        <v>0</v>
      </c>
      <c r="AX109" s="174">
        <v>0</v>
      </c>
      <c r="AY109" s="174">
        <v>0</v>
      </c>
      <c r="AZ109" s="174">
        <v>0</v>
      </c>
      <c r="BA109" s="174">
        <v>50190000</v>
      </c>
      <c r="BB109" s="174">
        <v>0</v>
      </c>
      <c r="BC109" s="174">
        <v>0</v>
      </c>
      <c r="BD109" s="174">
        <v>1480000</v>
      </c>
      <c r="BE109" s="174">
        <v>0</v>
      </c>
      <c r="BF109" s="174">
        <v>1300000</v>
      </c>
      <c r="BG109" s="174">
        <v>0</v>
      </c>
      <c r="BH109" s="174">
        <v>112830000</v>
      </c>
      <c r="BI109" s="175">
        <f t="shared" si="30"/>
        <v>165800000</v>
      </c>
      <c r="BJ109" s="175">
        <f t="shared" si="31"/>
        <v>0</v>
      </c>
      <c r="BK109" s="176">
        <f>+BI109/AV109</f>
        <v>1</v>
      </c>
      <c r="BL109" s="170"/>
      <c r="BM109" s="170"/>
      <c r="BN109" s="170"/>
      <c r="BO109" s="172"/>
      <c r="BP109" s="172"/>
      <c r="BQ109" s="172"/>
      <c r="BR109" s="172"/>
      <c r="BS109" s="172"/>
      <c r="BT109" s="172"/>
      <c r="BU109" s="172"/>
      <c r="BV109" s="172"/>
      <c r="BW109" s="172"/>
      <c r="BX109" s="172"/>
      <c r="BY109" s="172"/>
      <c r="BZ109" s="172"/>
      <c r="CA109" s="172">
        <f t="shared" si="23"/>
        <v>0</v>
      </c>
      <c r="CB109" s="172">
        <f t="shared" si="24"/>
        <v>0</v>
      </c>
      <c r="CC109" s="494" t="e">
        <f t="shared" si="25"/>
        <v>#DIV/0!</v>
      </c>
      <c r="CD109" s="192"/>
      <c r="CE109" s="192"/>
      <c r="CF109" s="172"/>
      <c r="CG109" s="172"/>
      <c r="CH109" s="172"/>
      <c r="CI109" s="172"/>
      <c r="CJ109" s="172"/>
      <c r="CK109" s="172"/>
      <c r="CL109" s="172"/>
      <c r="CM109" s="172"/>
      <c r="CN109" s="172"/>
      <c r="CO109" s="172"/>
      <c r="CP109" s="172"/>
      <c r="CQ109" s="172"/>
      <c r="CR109" s="172"/>
      <c r="CS109" s="172">
        <v>0</v>
      </c>
      <c r="CT109" s="172">
        <v>0</v>
      </c>
      <c r="CU109" s="192" t="e">
        <v>#DIV/0!</v>
      </c>
    </row>
    <row r="110" spans="1:99" s="68" customFormat="1" x14ac:dyDescent="0.25">
      <c r="A110" s="490">
        <v>124</v>
      </c>
      <c r="B110" s="63" t="s">
        <v>164</v>
      </c>
      <c r="C110" s="490">
        <v>1165</v>
      </c>
      <c r="D110" s="63" t="s">
        <v>152</v>
      </c>
      <c r="E110" s="490">
        <v>4</v>
      </c>
      <c r="F110" s="559"/>
      <c r="G110" s="559"/>
      <c r="H110" s="559"/>
      <c r="I110" s="559"/>
      <c r="J110" s="561"/>
      <c r="K110" s="561"/>
      <c r="L110" s="166"/>
      <c r="M110" s="166"/>
      <c r="N110" s="189"/>
      <c r="O110" s="166"/>
      <c r="P110" s="180"/>
      <c r="Q110" s="180"/>
      <c r="R110" s="166"/>
      <c r="S110" s="189"/>
      <c r="T110" s="191"/>
      <c r="U110" s="189"/>
      <c r="V110" s="189"/>
      <c r="W110" s="191"/>
      <c r="X110" s="191"/>
      <c r="Y110" s="166"/>
      <c r="Z110" s="174"/>
      <c r="AA110" s="175"/>
      <c r="AB110" s="174"/>
      <c r="AC110" s="175"/>
      <c r="AD110" s="175"/>
      <c r="AE110" s="175"/>
      <c r="AF110" s="175"/>
      <c r="AG110" s="175"/>
      <c r="AH110" s="175"/>
      <c r="AI110" s="175"/>
      <c r="AJ110" s="175"/>
      <c r="AK110" s="175"/>
      <c r="AL110" s="175"/>
      <c r="AM110" s="175"/>
      <c r="AN110" s="175"/>
      <c r="AO110" s="175"/>
      <c r="AP110" s="175"/>
      <c r="AQ110" s="175"/>
      <c r="AR110" s="176"/>
      <c r="AS110" s="176"/>
      <c r="AT110" s="174"/>
      <c r="AU110" s="174"/>
      <c r="AV110" s="175"/>
      <c r="AW110" s="174"/>
      <c r="AX110" s="174"/>
      <c r="AY110" s="174"/>
      <c r="AZ110" s="174"/>
      <c r="BA110" s="174"/>
      <c r="BB110" s="174"/>
      <c r="BC110" s="174"/>
      <c r="BD110" s="174"/>
      <c r="BE110" s="174"/>
      <c r="BF110" s="174"/>
      <c r="BG110" s="174"/>
      <c r="BH110" s="174"/>
      <c r="BI110" s="175">
        <f t="shared" si="30"/>
        <v>0</v>
      </c>
      <c r="BJ110" s="175">
        <f t="shared" si="31"/>
        <v>0</v>
      </c>
      <c r="BK110" s="176"/>
      <c r="BL110" s="170"/>
      <c r="BM110" s="170"/>
      <c r="BN110" s="170"/>
      <c r="BO110" s="172"/>
      <c r="BP110" s="172"/>
      <c r="BQ110" s="172"/>
      <c r="BR110" s="172"/>
      <c r="BS110" s="172"/>
      <c r="BT110" s="172"/>
      <c r="BU110" s="172"/>
      <c r="BV110" s="172"/>
      <c r="BW110" s="172"/>
      <c r="BX110" s="172"/>
      <c r="BY110" s="172"/>
      <c r="BZ110" s="172"/>
      <c r="CA110" s="172">
        <f t="shared" si="23"/>
        <v>0</v>
      </c>
      <c r="CB110" s="172">
        <f t="shared" si="24"/>
        <v>0</v>
      </c>
      <c r="CC110" s="494" t="e">
        <f t="shared" si="25"/>
        <v>#DIV/0!</v>
      </c>
      <c r="CD110" s="192"/>
      <c r="CE110" s="192"/>
      <c r="CF110" s="172"/>
      <c r="CG110" s="172"/>
      <c r="CH110" s="172"/>
      <c r="CI110" s="172"/>
      <c r="CJ110" s="172"/>
      <c r="CK110" s="172"/>
      <c r="CL110" s="172"/>
      <c r="CM110" s="172"/>
      <c r="CN110" s="172"/>
      <c r="CO110" s="172"/>
      <c r="CP110" s="172"/>
      <c r="CQ110" s="172"/>
      <c r="CR110" s="172"/>
      <c r="CS110" s="172">
        <v>0</v>
      </c>
      <c r="CT110" s="172">
        <v>0</v>
      </c>
      <c r="CU110" s="192" t="e">
        <v>#DIV/0!</v>
      </c>
    </row>
    <row r="111" spans="1:99" s="68" customFormat="1" x14ac:dyDescent="0.25">
      <c r="A111" s="490">
        <v>124</v>
      </c>
      <c r="B111" s="63" t="s">
        <v>164</v>
      </c>
      <c r="C111" s="490">
        <v>1165</v>
      </c>
      <c r="D111" s="63" t="s">
        <v>152</v>
      </c>
      <c r="E111" s="490">
        <v>4</v>
      </c>
      <c r="F111" s="559"/>
      <c r="G111" s="559"/>
      <c r="H111" s="559"/>
      <c r="I111" s="559"/>
      <c r="J111" s="561"/>
      <c r="K111" s="561"/>
      <c r="L111" s="166"/>
      <c r="M111" s="166"/>
      <c r="N111" s="166"/>
      <c r="O111" s="166"/>
      <c r="P111" s="180"/>
      <c r="Q111" s="180"/>
      <c r="R111" s="166"/>
      <c r="S111" s="166"/>
      <c r="T111" s="166"/>
      <c r="U111" s="166"/>
      <c r="V111" s="166"/>
      <c r="W111" s="166"/>
      <c r="X111" s="166"/>
      <c r="Y111" s="166"/>
      <c r="Z111" s="174"/>
      <c r="AA111" s="175"/>
      <c r="AB111" s="174"/>
      <c r="AC111" s="175"/>
      <c r="AD111" s="175"/>
      <c r="AE111" s="175"/>
      <c r="AF111" s="175"/>
      <c r="AG111" s="175"/>
      <c r="AH111" s="175"/>
      <c r="AI111" s="175"/>
      <c r="AJ111" s="175"/>
      <c r="AK111" s="175"/>
      <c r="AL111" s="175"/>
      <c r="AM111" s="175"/>
      <c r="AN111" s="175"/>
      <c r="AO111" s="175"/>
      <c r="AP111" s="175"/>
      <c r="AQ111" s="175"/>
      <c r="AR111" s="176"/>
      <c r="AS111" s="176"/>
      <c r="AT111" s="174"/>
      <c r="AU111" s="174"/>
      <c r="AV111" s="175"/>
      <c r="AW111" s="174"/>
      <c r="AX111" s="174"/>
      <c r="AY111" s="174"/>
      <c r="AZ111" s="174"/>
      <c r="BA111" s="174"/>
      <c r="BB111" s="174"/>
      <c r="BC111" s="174"/>
      <c r="BD111" s="174"/>
      <c r="BE111" s="174"/>
      <c r="BF111" s="174"/>
      <c r="BG111" s="174"/>
      <c r="BH111" s="174"/>
      <c r="BI111" s="175">
        <f t="shared" si="30"/>
        <v>0</v>
      </c>
      <c r="BJ111" s="175">
        <f t="shared" si="31"/>
        <v>0</v>
      </c>
      <c r="BK111" s="176"/>
      <c r="BL111" s="170"/>
      <c r="BM111" s="170"/>
      <c r="BN111" s="170"/>
      <c r="BO111" s="172"/>
      <c r="BP111" s="172"/>
      <c r="BQ111" s="172"/>
      <c r="BR111" s="172"/>
      <c r="BS111" s="172"/>
      <c r="BT111" s="172"/>
      <c r="BU111" s="172"/>
      <c r="BV111" s="172"/>
      <c r="BW111" s="172"/>
      <c r="BX111" s="172"/>
      <c r="BY111" s="172"/>
      <c r="BZ111" s="172"/>
      <c r="CA111" s="172">
        <f t="shared" si="23"/>
        <v>0</v>
      </c>
      <c r="CB111" s="172">
        <f t="shared" si="24"/>
        <v>0</v>
      </c>
      <c r="CC111" s="494" t="e">
        <f t="shared" si="25"/>
        <v>#DIV/0!</v>
      </c>
      <c r="CD111" s="192"/>
      <c r="CE111" s="192"/>
      <c r="CF111" s="172"/>
      <c r="CG111" s="172"/>
      <c r="CH111" s="172"/>
      <c r="CI111" s="172"/>
      <c r="CJ111" s="172"/>
      <c r="CK111" s="172"/>
      <c r="CL111" s="172"/>
      <c r="CM111" s="172"/>
      <c r="CN111" s="172"/>
      <c r="CO111" s="172"/>
      <c r="CP111" s="172"/>
      <c r="CQ111" s="172"/>
      <c r="CR111" s="172"/>
      <c r="CS111" s="172">
        <v>0</v>
      </c>
      <c r="CT111" s="172">
        <v>0</v>
      </c>
      <c r="CU111" s="192" t="e">
        <v>#DIV/0!</v>
      </c>
    </row>
    <row r="112" spans="1:99" s="68" customFormat="1" x14ac:dyDescent="0.25">
      <c r="A112" s="490">
        <v>125</v>
      </c>
      <c r="B112" s="63" t="s">
        <v>168</v>
      </c>
      <c r="C112" s="490">
        <v>1168</v>
      </c>
      <c r="D112" s="63" t="s">
        <v>170</v>
      </c>
      <c r="E112" s="490">
        <v>1</v>
      </c>
      <c r="F112" s="559" t="s">
        <v>171</v>
      </c>
      <c r="G112" s="559">
        <v>64</v>
      </c>
      <c r="H112" s="559" t="s">
        <v>172</v>
      </c>
      <c r="I112" s="559" t="s">
        <v>173</v>
      </c>
      <c r="J112" s="560"/>
      <c r="K112" s="560"/>
      <c r="L112" s="166" t="s">
        <v>640</v>
      </c>
      <c r="M112" s="166" t="s">
        <v>174</v>
      </c>
      <c r="N112" s="189" t="s">
        <v>637</v>
      </c>
      <c r="O112" s="166" t="s">
        <v>641</v>
      </c>
      <c r="P112" s="180">
        <v>41522</v>
      </c>
      <c r="Q112" s="180">
        <v>41557</v>
      </c>
      <c r="R112" s="166" t="s">
        <v>609</v>
      </c>
      <c r="S112" s="189" t="s">
        <v>642</v>
      </c>
      <c r="T112" s="181" t="s">
        <v>643</v>
      </c>
      <c r="U112" s="166" t="s">
        <v>644</v>
      </c>
      <c r="V112" s="182">
        <v>900649371</v>
      </c>
      <c r="W112" s="166">
        <v>1195133</v>
      </c>
      <c r="X112" s="166" t="s">
        <v>498</v>
      </c>
      <c r="Y112" s="166"/>
      <c r="Z112" s="174">
        <v>613</v>
      </c>
      <c r="AA112" s="175">
        <v>4200000000</v>
      </c>
      <c r="AB112" s="174">
        <v>663</v>
      </c>
      <c r="AC112" s="175">
        <v>4200000000</v>
      </c>
      <c r="AD112" s="175">
        <v>0</v>
      </c>
      <c r="AE112" s="175">
        <v>0</v>
      </c>
      <c r="AF112" s="175">
        <v>0</v>
      </c>
      <c r="AG112" s="175">
        <v>0</v>
      </c>
      <c r="AH112" s="175">
        <v>0</v>
      </c>
      <c r="AI112" s="175">
        <v>0</v>
      </c>
      <c r="AJ112" s="175">
        <v>0</v>
      </c>
      <c r="AK112" s="175">
        <v>0</v>
      </c>
      <c r="AL112" s="175">
        <v>0</v>
      </c>
      <c r="AM112" s="175">
        <v>0</v>
      </c>
      <c r="AN112" s="175">
        <v>840000000</v>
      </c>
      <c r="AO112" s="175">
        <v>0</v>
      </c>
      <c r="AP112" s="175">
        <f>SUM(AD112:AO112)</f>
        <v>840000000</v>
      </c>
      <c r="AQ112" s="175">
        <f>+AC112-AP112</f>
        <v>3360000000</v>
      </c>
      <c r="AR112" s="176">
        <f>AP112/AC112</f>
        <v>0.2</v>
      </c>
      <c r="AS112" s="176"/>
      <c r="AT112" s="174">
        <v>204</v>
      </c>
      <c r="AU112" s="174">
        <v>204</v>
      </c>
      <c r="AV112" s="175">
        <v>3360000000</v>
      </c>
      <c r="AW112" s="174">
        <v>0</v>
      </c>
      <c r="AX112" s="174">
        <v>93878188</v>
      </c>
      <c r="AY112" s="174">
        <v>0</v>
      </c>
      <c r="AZ112" s="174">
        <v>194379742</v>
      </c>
      <c r="BA112" s="174">
        <v>139734110</v>
      </c>
      <c r="BB112" s="174">
        <v>944741130</v>
      </c>
      <c r="BC112" s="174">
        <v>0</v>
      </c>
      <c r="BD112" s="174">
        <v>724745171</v>
      </c>
      <c r="BE112" s="174">
        <v>503793202</v>
      </c>
      <c r="BF112" s="174">
        <v>200800542</v>
      </c>
      <c r="BG112" s="174">
        <v>137927915</v>
      </c>
      <c r="BH112" s="174">
        <v>0</v>
      </c>
      <c r="BI112" s="175">
        <f t="shared" si="30"/>
        <v>2940000000</v>
      </c>
      <c r="BJ112" s="175">
        <f t="shared" si="31"/>
        <v>420000000</v>
      </c>
      <c r="BK112" s="176">
        <f>+BI112/AV112</f>
        <v>0.875</v>
      </c>
      <c r="BL112" s="170">
        <v>51</v>
      </c>
      <c r="BM112" s="170">
        <v>39</v>
      </c>
      <c r="BN112" s="170">
        <v>420000000</v>
      </c>
      <c r="BO112" s="172">
        <v>0</v>
      </c>
      <c r="BP112" s="172">
        <v>0</v>
      </c>
      <c r="BQ112" s="172">
        <v>0</v>
      </c>
      <c r="BR112" s="172">
        <v>0</v>
      </c>
      <c r="BS112" s="172">
        <v>0</v>
      </c>
      <c r="BT112" s="172">
        <v>0</v>
      </c>
      <c r="BU112" s="172">
        <v>0</v>
      </c>
      <c r="BV112" s="172">
        <v>420000000</v>
      </c>
      <c r="BW112" s="172">
        <v>0</v>
      </c>
      <c r="BX112" s="172">
        <v>0</v>
      </c>
      <c r="BY112" s="172">
        <v>0</v>
      </c>
      <c r="BZ112" s="172">
        <v>0</v>
      </c>
      <c r="CA112" s="172">
        <f t="shared" si="23"/>
        <v>420000000</v>
      </c>
      <c r="CB112" s="172">
        <f t="shared" si="24"/>
        <v>0</v>
      </c>
      <c r="CC112" s="494">
        <f t="shared" si="25"/>
        <v>1</v>
      </c>
      <c r="CD112" s="192"/>
      <c r="CE112" s="192"/>
      <c r="CF112" s="172"/>
      <c r="CG112" s="172"/>
      <c r="CH112" s="172"/>
      <c r="CI112" s="172"/>
      <c r="CJ112" s="172"/>
      <c r="CK112" s="172"/>
      <c r="CL112" s="172"/>
      <c r="CM112" s="172"/>
      <c r="CN112" s="172"/>
      <c r="CO112" s="172"/>
      <c r="CP112" s="172"/>
      <c r="CQ112" s="172"/>
      <c r="CR112" s="172"/>
      <c r="CS112" s="172">
        <v>0</v>
      </c>
      <c r="CT112" s="172">
        <v>0</v>
      </c>
      <c r="CU112" s="192" t="e">
        <v>#DIV/0!</v>
      </c>
    </row>
    <row r="113" spans="1:99" s="68" customFormat="1" x14ac:dyDescent="0.25">
      <c r="A113" s="490">
        <v>125</v>
      </c>
      <c r="B113" s="63" t="s">
        <v>168</v>
      </c>
      <c r="C113" s="490">
        <v>1168</v>
      </c>
      <c r="D113" s="63" t="s">
        <v>170</v>
      </c>
      <c r="E113" s="490">
        <v>1</v>
      </c>
      <c r="F113" s="559"/>
      <c r="G113" s="559"/>
      <c r="H113" s="559"/>
      <c r="I113" s="559"/>
      <c r="J113" s="561"/>
      <c r="K113" s="561"/>
      <c r="L113" s="166" t="s">
        <v>645</v>
      </c>
      <c r="M113" s="166" t="s">
        <v>174</v>
      </c>
      <c r="N113" s="166" t="s">
        <v>319</v>
      </c>
      <c r="O113" s="166" t="s">
        <v>325</v>
      </c>
      <c r="P113" s="180">
        <v>41556</v>
      </c>
      <c r="Q113" s="180">
        <v>41557</v>
      </c>
      <c r="R113" s="166" t="s">
        <v>609</v>
      </c>
      <c r="S113" s="189" t="s">
        <v>646</v>
      </c>
      <c r="T113" s="199" t="s">
        <v>647</v>
      </c>
      <c r="U113" s="166" t="s">
        <v>648</v>
      </c>
      <c r="V113" s="189">
        <v>899999063</v>
      </c>
      <c r="W113" s="185"/>
      <c r="X113" s="185"/>
      <c r="Y113" s="166"/>
      <c r="Z113" s="174">
        <v>681</v>
      </c>
      <c r="AA113" s="175">
        <v>420000000</v>
      </c>
      <c r="AB113" s="174">
        <v>730</v>
      </c>
      <c r="AC113" s="175">
        <v>420000000</v>
      </c>
      <c r="AD113" s="175">
        <v>0</v>
      </c>
      <c r="AE113" s="175">
        <v>0</v>
      </c>
      <c r="AF113" s="175">
        <v>0</v>
      </c>
      <c r="AG113" s="175">
        <v>0</v>
      </c>
      <c r="AH113" s="175">
        <v>0</v>
      </c>
      <c r="AI113" s="175">
        <v>0</v>
      </c>
      <c r="AJ113" s="175">
        <v>0</v>
      </c>
      <c r="AK113" s="175">
        <v>0</v>
      </c>
      <c r="AL113" s="175">
        <v>0</v>
      </c>
      <c r="AM113" s="175">
        <v>0</v>
      </c>
      <c r="AN113" s="175">
        <v>168000000</v>
      </c>
      <c r="AO113" s="175">
        <v>35000000</v>
      </c>
      <c r="AP113" s="175">
        <f>SUM(AD113:AO113)</f>
        <v>203000000</v>
      </c>
      <c r="AQ113" s="175">
        <f>+AC113-AP113</f>
        <v>217000000</v>
      </c>
      <c r="AR113" s="176">
        <f>AP113/AC113</f>
        <v>0.48333333333333334</v>
      </c>
      <c r="AS113" s="176"/>
      <c r="AT113" s="174">
        <v>173</v>
      </c>
      <c r="AU113" s="174">
        <v>173</v>
      </c>
      <c r="AV113" s="175">
        <v>217000000</v>
      </c>
      <c r="AW113" s="174">
        <v>0</v>
      </c>
      <c r="AX113" s="174">
        <v>17500000</v>
      </c>
      <c r="AY113" s="174">
        <v>17500000</v>
      </c>
      <c r="AZ113" s="174">
        <v>17500000</v>
      </c>
      <c r="BA113" s="174">
        <v>35000000</v>
      </c>
      <c r="BB113" s="174">
        <v>0</v>
      </c>
      <c r="BC113" s="174">
        <v>17500000</v>
      </c>
      <c r="BD113" s="174">
        <v>17500000</v>
      </c>
      <c r="BE113" s="174">
        <v>17500000</v>
      </c>
      <c r="BF113" s="174">
        <v>17500000</v>
      </c>
      <c r="BG113" s="174">
        <v>17500000</v>
      </c>
      <c r="BH113" s="174">
        <v>0</v>
      </c>
      <c r="BI113" s="175">
        <f t="shared" si="30"/>
        <v>175000000</v>
      </c>
      <c r="BJ113" s="175">
        <f t="shared" si="31"/>
        <v>42000000</v>
      </c>
      <c r="BK113" s="176">
        <f>+BI113/AV113</f>
        <v>0.80645161290322576</v>
      </c>
      <c r="BL113" s="170">
        <v>44</v>
      </c>
      <c r="BM113" s="170">
        <v>389</v>
      </c>
      <c r="BN113" s="170">
        <v>42000000</v>
      </c>
      <c r="BO113" s="172">
        <v>0</v>
      </c>
      <c r="BP113" s="172">
        <v>0</v>
      </c>
      <c r="BQ113" s="172">
        <v>0</v>
      </c>
      <c r="BR113" s="172">
        <v>0</v>
      </c>
      <c r="BS113" s="172">
        <v>0</v>
      </c>
      <c r="BT113" s="172">
        <v>0</v>
      </c>
      <c r="BU113" s="172">
        <v>0</v>
      </c>
      <c r="BV113" s="172">
        <v>42000000</v>
      </c>
      <c r="BW113" s="172">
        <v>0</v>
      </c>
      <c r="BX113" s="172">
        <v>0</v>
      </c>
      <c r="BY113" s="172">
        <v>0</v>
      </c>
      <c r="BZ113" s="172">
        <v>0</v>
      </c>
      <c r="CA113" s="172">
        <f t="shared" si="23"/>
        <v>42000000</v>
      </c>
      <c r="CB113" s="172">
        <f t="shared" si="24"/>
        <v>0</v>
      </c>
      <c r="CC113" s="494">
        <f t="shared" si="25"/>
        <v>1</v>
      </c>
      <c r="CD113" s="192"/>
      <c r="CE113" s="192"/>
      <c r="CF113" s="172"/>
      <c r="CG113" s="172"/>
      <c r="CH113" s="172"/>
      <c r="CI113" s="172"/>
      <c r="CJ113" s="172"/>
      <c r="CK113" s="172"/>
      <c r="CL113" s="172"/>
      <c r="CM113" s="172"/>
      <c r="CN113" s="172"/>
      <c r="CO113" s="172"/>
      <c r="CP113" s="172"/>
      <c r="CQ113" s="172"/>
      <c r="CR113" s="172"/>
      <c r="CS113" s="172">
        <v>0</v>
      </c>
      <c r="CT113" s="172">
        <v>0</v>
      </c>
      <c r="CU113" s="192" t="e">
        <v>#DIV/0!</v>
      </c>
    </row>
    <row r="114" spans="1:99" s="68" customFormat="1" x14ac:dyDescent="0.25">
      <c r="A114" s="490">
        <v>125</v>
      </c>
      <c r="B114" s="63" t="s">
        <v>168</v>
      </c>
      <c r="C114" s="490">
        <v>1168</v>
      </c>
      <c r="D114" s="63" t="s">
        <v>170</v>
      </c>
      <c r="E114" s="490">
        <v>1</v>
      </c>
      <c r="F114" s="559"/>
      <c r="G114" s="559"/>
      <c r="H114" s="559"/>
      <c r="I114" s="559"/>
      <c r="J114" s="561"/>
      <c r="K114" s="561"/>
      <c r="L114" s="166"/>
      <c r="M114" s="166"/>
      <c r="N114" s="185"/>
      <c r="O114" s="166"/>
      <c r="P114" s="185"/>
      <c r="Q114" s="185"/>
      <c r="R114" s="185"/>
      <c r="S114" s="166"/>
      <c r="T114" s="185"/>
      <c r="U114" s="166"/>
      <c r="V114" s="185"/>
      <c r="W114" s="185"/>
      <c r="X114" s="185"/>
      <c r="Y114" s="166"/>
      <c r="Z114" s="174"/>
      <c r="AA114" s="175"/>
      <c r="AB114" s="174"/>
      <c r="AC114" s="175"/>
      <c r="AD114" s="175"/>
      <c r="AE114" s="175"/>
      <c r="AF114" s="175"/>
      <c r="AG114" s="175"/>
      <c r="AH114" s="175"/>
      <c r="AI114" s="175"/>
      <c r="AJ114" s="175"/>
      <c r="AK114" s="175"/>
      <c r="AL114" s="175"/>
      <c r="AM114" s="175"/>
      <c r="AN114" s="175"/>
      <c r="AO114" s="175"/>
      <c r="AP114" s="175"/>
      <c r="AQ114" s="175"/>
      <c r="AR114" s="176"/>
      <c r="AS114" s="176"/>
      <c r="AT114" s="174"/>
      <c r="AU114" s="174"/>
      <c r="AV114" s="175"/>
      <c r="AW114" s="174"/>
      <c r="AX114" s="174"/>
      <c r="AY114" s="174"/>
      <c r="AZ114" s="174"/>
      <c r="BA114" s="174"/>
      <c r="BB114" s="174"/>
      <c r="BC114" s="174"/>
      <c r="BD114" s="174"/>
      <c r="BE114" s="174"/>
      <c r="BF114" s="174"/>
      <c r="BG114" s="174"/>
      <c r="BH114" s="174"/>
      <c r="BI114" s="175">
        <f t="shared" si="30"/>
        <v>0</v>
      </c>
      <c r="BJ114" s="175">
        <f t="shared" si="31"/>
        <v>0</v>
      </c>
      <c r="BK114" s="176"/>
      <c r="BL114" s="170"/>
      <c r="BM114" s="170"/>
      <c r="BN114" s="170"/>
      <c r="BO114" s="172"/>
      <c r="BP114" s="172"/>
      <c r="BQ114" s="172"/>
      <c r="BR114" s="172"/>
      <c r="BS114" s="172"/>
      <c r="BT114" s="172"/>
      <c r="BU114" s="172"/>
      <c r="BV114" s="172"/>
      <c r="BW114" s="172"/>
      <c r="BX114" s="172"/>
      <c r="BY114" s="172"/>
      <c r="BZ114" s="172"/>
      <c r="CA114" s="172">
        <f t="shared" si="23"/>
        <v>0</v>
      </c>
      <c r="CB114" s="172">
        <f t="shared" si="24"/>
        <v>0</v>
      </c>
      <c r="CC114" s="494" t="e">
        <f t="shared" si="25"/>
        <v>#DIV/0!</v>
      </c>
      <c r="CD114" s="192"/>
      <c r="CE114" s="192"/>
      <c r="CF114" s="172"/>
      <c r="CG114" s="172"/>
      <c r="CH114" s="172"/>
      <c r="CI114" s="172"/>
      <c r="CJ114" s="172"/>
      <c r="CK114" s="172"/>
      <c r="CL114" s="172"/>
      <c r="CM114" s="172"/>
      <c r="CN114" s="172"/>
      <c r="CO114" s="172"/>
      <c r="CP114" s="172"/>
      <c r="CQ114" s="172"/>
      <c r="CR114" s="172"/>
      <c r="CS114" s="172">
        <v>0</v>
      </c>
      <c r="CT114" s="172">
        <v>0</v>
      </c>
      <c r="CU114" s="192" t="e">
        <v>#DIV/0!</v>
      </c>
    </row>
    <row r="115" spans="1:99" s="68" customFormat="1" ht="13.5" customHeight="1" x14ac:dyDescent="0.25">
      <c r="A115" s="490">
        <v>126</v>
      </c>
      <c r="B115" s="63" t="s">
        <v>176</v>
      </c>
      <c r="C115" s="490">
        <v>1168</v>
      </c>
      <c r="D115" s="63" t="s">
        <v>170</v>
      </c>
      <c r="E115" s="490">
        <v>2</v>
      </c>
      <c r="F115" s="559" t="s">
        <v>177</v>
      </c>
      <c r="G115" s="559">
        <v>19</v>
      </c>
      <c r="H115" s="559" t="s">
        <v>172</v>
      </c>
      <c r="I115" s="559" t="s">
        <v>173</v>
      </c>
      <c r="J115" s="603"/>
      <c r="K115" s="603"/>
      <c r="L115" s="166"/>
      <c r="M115" s="166"/>
      <c r="N115" s="185"/>
      <c r="O115" s="166"/>
      <c r="P115" s="185"/>
      <c r="Q115" s="185"/>
      <c r="R115" s="185"/>
      <c r="S115" s="189"/>
      <c r="T115" s="185"/>
      <c r="U115" s="166"/>
      <c r="V115" s="185"/>
      <c r="W115" s="185"/>
      <c r="X115" s="185"/>
      <c r="Y115" s="166"/>
      <c r="Z115" s="174"/>
      <c r="AA115" s="175"/>
      <c r="AB115" s="174"/>
      <c r="AC115" s="175"/>
      <c r="AD115" s="175"/>
      <c r="AE115" s="175"/>
      <c r="AF115" s="175"/>
      <c r="AG115" s="175"/>
      <c r="AH115" s="175"/>
      <c r="AI115" s="175"/>
      <c r="AJ115" s="175"/>
      <c r="AK115" s="175"/>
      <c r="AL115" s="175"/>
      <c r="AM115" s="175"/>
      <c r="AN115" s="175"/>
      <c r="AO115" s="175"/>
      <c r="AP115" s="175"/>
      <c r="AQ115" s="175"/>
      <c r="AR115" s="176"/>
      <c r="AS115" s="176"/>
      <c r="AT115" s="174"/>
      <c r="AU115" s="174"/>
      <c r="AV115" s="175"/>
      <c r="AW115" s="174"/>
      <c r="AX115" s="174"/>
      <c r="AY115" s="174"/>
      <c r="AZ115" s="174"/>
      <c r="BA115" s="174"/>
      <c r="BB115" s="174"/>
      <c r="BC115" s="174"/>
      <c r="BD115" s="174"/>
      <c r="BE115" s="174"/>
      <c r="BF115" s="174"/>
      <c r="BG115" s="174"/>
      <c r="BH115" s="174"/>
      <c r="BI115" s="175">
        <f t="shared" si="30"/>
        <v>0</v>
      </c>
      <c r="BJ115" s="175">
        <f t="shared" si="31"/>
        <v>0</v>
      </c>
      <c r="BK115" s="176"/>
      <c r="BL115" s="170"/>
      <c r="BM115" s="170"/>
      <c r="BN115" s="170"/>
      <c r="BO115" s="172"/>
      <c r="BP115" s="172"/>
      <c r="BQ115" s="172"/>
      <c r="BR115" s="172"/>
      <c r="BS115" s="172"/>
      <c r="BT115" s="172"/>
      <c r="BU115" s="172"/>
      <c r="BV115" s="172"/>
      <c r="BW115" s="172"/>
      <c r="BX115" s="172"/>
      <c r="BY115" s="172"/>
      <c r="BZ115" s="172"/>
      <c r="CA115" s="172">
        <f t="shared" si="23"/>
        <v>0</v>
      </c>
      <c r="CB115" s="172">
        <f t="shared" si="24"/>
        <v>0</v>
      </c>
      <c r="CC115" s="494" t="e">
        <f t="shared" si="25"/>
        <v>#DIV/0!</v>
      </c>
      <c r="CD115" s="192"/>
      <c r="CE115" s="192"/>
      <c r="CF115" s="172"/>
      <c r="CG115" s="172"/>
      <c r="CH115" s="172"/>
      <c r="CI115" s="172"/>
      <c r="CJ115" s="172"/>
      <c r="CK115" s="172"/>
      <c r="CL115" s="172"/>
      <c r="CM115" s="172"/>
      <c r="CN115" s="172"/>
      <c r="CO115" s="172"/>
      <c r="CP115" s="172"/>
      <c r="CQ115" s="172"/>
      <c r="CR115" s="172"/>
      <c r="CS115" s="172">
        <v>0</v>
      </c>
      <c r="CT115" s="172">
        <v>0</v>
      </c>
      <c r="CU115" s="192" t="e">
        <v>#DIV/0!</v>
      </c>
    </row>
    <row r="116" spans="1:99" s="68" customFormat="1" x14ac:dyDescent="0.25">
      <c r="A116" s="490">
        <v>126</v>
      </c>
      <c r="B116" s="63" t="s">
        <v>176</v>
      </c>
      <c r="C116" s="490">
        <v>1168</v>
      </c>
      <c r="D116" s="63" t="s">
        <v>170</v>
      </c>
      <c r="E116" s="490">
        <v>2</v>
      </c>
      <c r="F116" s="559"/>
      <c r="G116" s="559"/>
      <c r="H116" s="559"/>
      <c r="I116" s="559"/>
      <c r="J116" s="604"/>
      <c r="K116" s="604"/>
      <c r="L116" s="166"/>
      <c r="M116" s="166"/>
      <c r="N116" s="185"/>
      <c r="O116" s="166"/>
      <c r="P116" s="185"/>
      <c r="Q116" s="185"/>
      <c r="R116" s="185"/>
      <c r="S116" s="189"/>
      <c r="T116" s="185"/>
      <c r="U116" s="166"/>
      <c r="V116" s="185"/>
      <c r="W116" s="185"/>
      <c r="X116" s="185"/>
      <c r="Y116" s="166"/>
      <c r="Z116" s="174"/>
      <c r="AA116" s="175"/>
      <c r="AB116" s="174"/>
      <c r="AC116" s="175"/>
      <c r="AD116" s="175"/>
      <c r="AE116" s="175"/>
      <c r="AF116" s="175"/>
      <c r="AG116" s="175"/>
      <c r="AH116" s="175"/>
      <c r="AI116" s="175"/>
      <c r="AJ116" s="175"/>
      <c r="AK116" s="175"/>
      <c r="AL116" s="175"/>
      <c r="AM116" s="175"/>
      <c r="AN116" s="175"/>
      <c r="AO116" s="175"/>
      <c r="AP116" s="175"/>
      <c r="AQ116" s="175"/>
      <c r="AR116" s="176"/>
      <c r="AS116" s="176"/>
      <c r="AT116" s="174"/>
      <c r="AU116" s="174"/>
      <c r="AV116" s="175"/>
      <c r="AW116" s="174"/>
      <c r="AX116" s="174"/>
      <c r="AY116" s="174"/>
      <c r="AZ116" s="174"/>
      <c r="BA116" s="174"/>
      <c r="BB116" s="174"/>
      <c r="BC116" s="174"/>
      <c r="BD116" s="174"/>
      <c r="BE116" s="174"/>
      <c r="BF116" s="174"/>
      <c r="BG116" s="174"/>
      <c r="BH116" s="174"/>
      <c r="BI116" s="175">
        <f t="shared" si="30"/>
        <v>0</v>
      </c>
      <c r="BJ116" s="175">
        <f t="shared" si="31"/>
        <v>0</v>
      </c>
      <c r="BK116" s="176"/>
      <c r="BL116" s="170"/>
      <c r="BM116" s="170"/>
      <c r="BN116" s="170"/>
      <c r="BO116" s="172"/>
      <c r="BP116" s="172"/>
      <c r="BQ116" s="172"/>
      <c r="BR116" s="172"/>
      <c r="BS116" s="172"/>
      <c r="BT116" s="172"/>
      <c r="BU116" s="172"/>
      <c r="BV116" s="172"/>
      <c r="BW116" s="172"/>
      <c r="BX116" s="172"/>
      <c r="BY116" s="172"/>
      <c r="BZ116" s="172"/>
      <c r="CA116" s="172">
        <f t="shared" si="23"/>
        <v>0</v>
      </c>
      <c r="CB116" s="172">
        <f t="shared" si="24"/>
        <v>0</v>
      </c>
      <c r="CC116" s="494" t="e">
        <f t="shared" si="25"/>
        <v>#DIV/0!</v>
      </c>
      <c r="CD116" s="192"/>
      <c r="CE116" s="192"/>
      <c r="CF116" s="172"/>
      <c r="CG116" s="172"/>
      <c r="CH116" s="172"/>
      <c r="CI116" s="172"/>
      <c r="CJ116" s="172"/>
      <c r="CK116" s="172"/>
      <c r="CL116" s="172"/>
      <c r="CM116" s="172"/>
      <c r="CN116" s="172"/>
      <c r="CO116" s="172"/>
      <c r="CP116" s="172"/>
      <c r="CQ116" s="172"/>
      <c r="CR116" s="172"/>
      <c r="CS116" s="172">
        <v>0</v>
      </c>
      <c r="CT116" s="172">
        <v>0</v>
      </c>
      <c r="CU116" s="192" t="e">
        <v>#DIV/0!</v>
      </c>
    </row>
    <row r="117" spans="1:99" s="68" customFormat="1" x14ac:dyDescent="0.25">
      <c r="A117" s="490">
        <v>126</v>
      </c>
      <c r="B117" s="63" t="s">
        <v>176</v>
      </c>
      <c r="C117" s="490">
        <v>1168</v>
      </c>
      <c r="D117" s="63" t="s">
        <v>170</v>
      </c>
      <c r="E117" s="490">
        <v>2</v>
      </c>
      <c r="F117" s="559"/>
      <c r="G117" s="559"/>
      <c r="H117" s="559"/>
      <c r="I117" s="559"/>
      <c r="J117" s="604"/>
      <c r="K117" s="604"/>
      <c r="L117" s="166"/>
      <c r="M117" s="166"/>
      <c r="N117" s="166"/>
      <c r="O117" s="166"/>
      <c r="P117" s="180"/>
      <c r="Q117" s="180"/>
      <c r="R117" s="166"/>
      <c r="S117" s="166"/>
      <c r="T117" s="166"/>
      <c r="U117" s="166"/>
      <c r="V117" s="166"/>
      <c r="W117" s="166"/>
      <c r="X117" s="166"/>
      <c r="Y117" s="166"/>
      <c r="Z117" s="174"/>
      <c r="AA117" s="175"/>
      <c r="AB117" s="174"/>
      <c r="AC117" s="175"/>
      <c r="AD117" s="175"/>
      <c r="AE117" s="175"/>
      <c r="AF117" s="175"/>
      <c r="AG117" s="175"/>
      <c r="AH117" s="175"/>
      <c r="AI117" s="175"/>
      <c r="AJ117" s="175"/>
      <c r="AK117" s="175"/>
      <c r="AL117" s="175"/>
      <c r="AM117" s="175"/>
      <c r="AN117" s="175"/>
      <c r="AO117" s="175"/>
      <c r="AP117" s="175"/>
      <c r="AQ117" s="175"/>
      <c r="AR117" s="176"/>
      <c r="AS117" s="176"/>
      <c r="AT117" s="174"/>
      <c r="AU117" s="174"/>
      <c r="AV117" s="175"/>
      <c r="AW117" s="174"/>
      <c r="AX117" s="174"/>
      <c r="AY117" s="174"/>
      <c r="AZ117" s="174"/>
      <c r="BA117" s="174"/>
      <c r="BB117" s="174"/>
      <c r="BC117" s="174"/>
      <c r="BD117" s="174"/>
      <c r="BE117" s="174"/>
      <c r="BF117" s="174"/>
      <c r="BG117" s="174"/>
      <c r="BH117" s="174"/>
      <c r="BI117" s="175">
        <f t="shared" si="30"/>
        <v>0</v>
      </c>
      <c r="BJ117" s="175">
        <f t="shared" si="31"/>
        <v>0</v>
      </c>
      <c r="BK117" s="176"/>
      <c r="BL117" s="170"/>
      <c r="BM117" s="170"/>
      <c r="BN117" s="170"/>
      <c r="BO117" s="172"/>
      <c r="BP117" s="172"/>
      <c r="BQ117" s="172"/>
      <c r="BR117" s="172"/>
      <c r="BS117" s="172"/>
      <c r="BT117" s="172"/>
      <c r="BU117" s="172"/>
      <c r="BV117" s="172"/>
      <c r="BW117" s="172"/>
      <c r="BX117" s="172"/>
      <c r="BY117" s="172"/>
      <c r="BZ117" s="172"/>
      <c r="CA117" s="172">
        <f t="shared" si="23"/>
        <v>0</v>
      </c>
      <c r="CB117" s="172">
        <f t="shared" si="24"/>
        <v>0</v>
      </c>
      <c r="CC117" s="494" t="e">
        <f t="shared" si="25"/>
        <v>#DIV/0!</v>
      </c>
      <c r="CD117" s="192"/>
      <c r="CE117" s="192"/>
      <c r="CF117" s="172"/>
      <c r="CG117" s="172"/>
      <c r="CH117" s="172"/>
      <c r="CI117" s="172"/>
      <c r="CJ117" s="172"/>
      <c r="CK117" s="172"/>
      <c r="CL117" s="172"/>
      <c r="CM117" s="172"/>
      <c r="CN117" s="172"/>
      <c r="CO117" s="172"/>
      <c r="CP117" s="172"/>
      <c r="CQ117" s="172"/>
      <c r="CR117" s="172"/>
      <c r="CS117" s="172">
        <v>0</v>
      </c>
      <c r="CT117" s="172">
        <v>0</v>
      </c>
      <c r="CU117" s="192" t="e">
        <v>#DIV/0!</v>
      </c>
    </row>
    <row r="118" spans="1:99" s="68" customFormat="1" ht="13.5" customHeight="1" x14ac:dyDescent="0.25">
      <c r="A118" s="490">
        <v>127</v>
      </c>
      <c r="B118" s="63" t="s">
        <v>178</v>
      </c>
      <c r="C118" s="490">
        <v>1168</v>
      </c>
      <c r="D118" s="63" t="s">
        <v>170</v>
      </c>
      <c r="E118" s="490">
        <v>3</v>
      </c>
      <c r="F118" s="584" t="s">
        <v>171</v>
      </c>
      <c r="G118" s="584">
        <v>12000</v>
      </c>
      <c r="H118" s="584" t="s">
        <v>180</v>
      </c>
      <c r="I118" s="584" t="s">
        <v>181</v>
      </c>
      <c r="J118" s="596"/>
      <c r="K118" s="596"/>
      <c r="L118" s="166" t="s">
        <v>649</v>
      </c>
      <c r="M118" s="166" t="s">
        <v>174</v>
      </c>
      <c r="N118" s="166" t="s">
        <v>650</v>
      </c>
      <c r="O118" s="166" t="s">
        <v>320</v>
      </c>
      <c r="P118" s="180">
        <v>41394</v>
      </c>
      <c r="Q118" s="180">
        <v>41394</v>
      </c>
      <c r="R118" s="166" t="s">
        <v>500</v>
      </c>
      <c r="S118" s="166" t="s">
        <v>651</v>
      </c>
      <c r="T118" s="166" t="s">
        <v>652</v>
      </c>
      <c r="U118" s="166" t="s">
        <v>653</v>
      </c>
      <c r="V118" s="177" t="s">
        <v>654</v>
      </c>
      <c r="W118" s="166">
        <v>1195133</v>
      </c>
      <c r="X118" s="166" t="s">
        <v>510</v>
      </c>
      <c r="Y118" s="166"/>
      <c r="Z118" s="174">
        <v>496</v>
      </c>
      <c r="AA118" s="175">
        <v>28989437</v>
      </c>
      <c r="AB118" s="174">
        <v>454</v>
      </c>
      <c r="AC118" s="175">
        <v>28989437</v>
      </c>
      <c r="AD118" s="175">
        <v>0</v>
      </c>
      <c r="AE118" s="175">
        <v>0</v>
      </c>
      <c r="AF118" s="175">
        <v>0</v>
      </c>
      <c r="AG118" s="175">
        <v>0</v>
      </c>
      <c r="AH118" s="175">
        <v>0</v>
      </c>
      <c r="AI118" s="175">
        <v>0</v>
      </c>
      <c r="AJ118" s="175">
        <v>0</v>
      </c>
      <c r="AK118" s="175">
        <v>0</v>
      </c>
      <c r="AL118" s="175">
        <v>0</v>
      </c>
      <c r="AM118" s="175">
        <v>0</v>
      </c>
      <c r="AN118" s="175">
        <v>0</v>
      </c>
      <c r="AO118" s="175">
        <v>0</v>
      </c>
      <c r="AP118" s="175">
        <f t="shared" ref="AP118:AP124" si="36">SUM(AD118:AO118)</f>
        <v>0</v>
      </c>
      <c r="AQ118" s="175">
        <f t="shared" ref="AQ118:AQ124" si="37">+AC118-AP118</f>
        <v>28989437</v>
      </c>
      <c r="AR118" s="176">
        <f t="shared" ref="AR118:AR124" si="38">AP118/AC118</f>
        <v>0</v>
      </c>
      <c r="AS118" s="176"/>
      <c r="AT118" s="174">
        <v>202</v>
      </c>
      <c r="AU118" s="174">
        <v>202</v>
      </c>
      <c r="AV118" s="175">
        <v>28989437</v>
      </c>
      <c r="AW118" s="174">
        <v>0</v>
      </c>
      <c r="AX118" s="174">
        <v>0</v>
      </c>
      <c r="AY118" s="174">
        <v>0</v>
      </c>
      <c r="AZ118" s="174">
        <v>0</v>
      </c>
      <c r="BA118" s="174">
        <v>0</v>
      </c>
      <c r="BB118" s="174">
        <v>0</v>
      </c>
      <c r="BC118" s="174">
        <v>0</v>
      </c>
      <c r="BD118" s="174">
        <v>0</v>
      </c>
      <c r="BE118" s="174">
        <v>0</v>
      </c>
      <c r="BF118" s="174">
        <v>0</v>
      </c>
      <c r="BG118" s="174">
        <v>0</v>
      </c>
      <c r="BH118" s="174">
        <v>0</v>
      </c>
      <c r="BI118" s="175">
        <f t="shared" si="30"/>
        <v>0</v>
      </c>
      <c r="BJ118" s="175">
        <f t="shared" si="31"/>
        <v>28989437</v>
      </c>
      <c r="BK118" s="176">
        <f>+BI118/AV118</f>
        <v>0</v>
      </c>
      <c r="BL118" s="170">
        <v>50</v>
      </c>
      <c r="BM118" s="170">
        <v>38</v>
      </c>
      <c r="BN118" s="170">
        <v>28989437</v>
      </c>
      <c r="BO118" s="172">
        <v>0</v>
      </c>
      <c r="BP118" s="172">
        <v>0</v>
      </c>
      <c r="BQ118" s="172">
        <v>0</v>
      </c>
      <c r="BR118" s="172">
        <v>0</v>
      </c>
      <c r="BS118" s="172">
        <v>0</v>
      </c>
      <c r="BT118" s="172">
        <v>0</v>
      </c>
      <c r="BU118" s="172">
        <v>0</v>
      </c>
      <c r="BV118" s="172">
        <v>0</v>
      </c>
      <c r="BW118" s="172">
        <v>0</v>
      </c>
      <c r="BX118" s="172">
        <v>0</v>
      </c>
      <c r="BY118" s="172">
        <v>28989437</v>
      </c>
      <c r="BZ118" s="172">
        <v>0</v>
      </c>
      <c r="CA118" s="172">
        <f t="shared" si="23"/>
        <v>28989437</v>
      </c>
      <c r="CB118" s="172">
        <f t="shared" si="24"/>
        <v>0</v>
      </c>
      <c r="CC118" s="494">
        <f t="shared" si="25"/>
        <v>1</v>
      </c>
      <c r="CD118" s="192"/>
      <c r="CE118" s="192"/>
      <c r="CF118" s="172"/>
      <c r="CG118" s="172"/>
      <c r="CH118" s="172"/>
      <c r="CI118" s="172"/>
      <c r="CJ118" s="172"/>
      <c r="CK118" s="172"/>
      <c r="CL118" s="172"/>
      <c r="CM118" s="172"/>
      <c r="CN118" s="172"/>
      <c r="CO118" s="172"/>
      <c r="CP118" s="172"/>
      <c r="CQ118" s="172"/>
      <c r="CR118" s="172"/>
      <c r="CS118" s="172">
        <v>0</v>
      </c>
      <c r="CT118" s="172">
        <v>0</v>
      </c>
      <c r="CU118" s="192" t="e">
        <v>#DIV/0!</v>
      </c>
    </row>
    <row r="119" spans="1:99" s="68" customFormat="1" x14ac:dyDescent="0.25">
      <c r="A119" s="490">
        <v>127</v>
      </c>
      <c r="B119" s="63" t="s">
        <v>178</v>
      </c>
      <c r="C119" s="490">
        <v>1168</v>
      </c>
      <c r="D119" s="63" t="s">
        <v>170</v>
      </c>
      <c r="E119" s="490">
        <v>3</v>
      </c>
      <c r="F119" s="585"/>
      <c r="G119" s="585"/>
      <c r="H119" s="585"/>
      <c r="I119" s="585"/>
      <c r="J119" s="597"/>
      <c r="K119" s="597"/>
      <c r="L119" s="166" t="s">
        <v>655</v>
      </c>
      <c r="M119" s="166" t="s">
        <v>174</v>
      </c>
      <c r="N119" s="185" t="s">
        <v>314</v>
      </c>
      <c r="O119" s="166" t="s">
        <v>641</v>
      </c>
      <c r="P119" s="180">
        <v>41432</v>
      </c>
      <c r="Q119" s="180">
        <v>41432</v>
      </c>
      <c r="R119" s="166" t="s">
        <v>441</v>
      </c>
      <c r="S119" s="166" t="s">
        <v>656</v>
      </c>
      <c r="T119" s="166" t="s">
        <v>657</v>
      </c>
      <c r="U119" s="166" t="s">
        <v>658</v>
      </c>
      <c r="V119" s="177" t="s">
        <v>659</v>
      </c>
      <c r="W119" s="166">
        <v>1195133</v>
      </c>
      <c r="X119" s="166" t="s">
        <v>315</v>
      </c>
      <c r="Y119" s="166"/>
      <c r="Z119" s="174">
        <v>593</v>
      </c>
      <c r="AA119" s="175">
        <v>450000000</v>
      </c>
      <c r="AB119" s="174">
        <v>568</v>
      </c>
      <c r="AC119" s="175">
        <v>450000000</v>
      </c>
      <c r="AD119" s="175">
        <v>0</v>
      </c>
      <c r="AE119" s="175">
        <v>0</v>
      </c>
      <c r="AF119" s="175">
        <v>0</v>
      </c>
      <c r="AG119" s="175">
        <v>0</v>
      </c>
      <c r="AH119" s="175">
        <v>0</v>
      </c>
      <c r="AI119" s="175">
        <v>0</v>
      </c>
      <c r="AJ119" s="175">
        <v>0</v>
      </c>
      <c r="AK119" s="175">
        <v>0</v>
      </c>
      <c r="AL119" s="175">
        <v>0</v>
      </c>
      <c r="AM119" s="175">
        <v>14499026</v>
      </c>
      <c r="AN119" s="175">
        <v>300500971</v>
      </c>
      <c r="AO119" s="175">
        <v>135000000</v>
      </c>
      <c r="AP119" s="175">
        <f t="shared" si="36"/>
        <v>449999997</v>
      </c>
      <c r="AQ119" s="175">
        <f t="shared" si="37"/>
        <v>3</v>
      </c>
      <c r="AR119" s="176">
        <f t="shared" si="38"/>
        <v>0.99999999333333334</v>
      </c>
      <c r="AS119" s="176"/>
      <c r="AT119" s="174"/>
      <c r="AU119" s="174"/>
      <c r="AV119" s="175"/>
      <c r="AW119" s="174"/>
      <c r="AX119" s="174"/>
      <c r="AY119" s="174"/>
      <c r="AZ119" s="174"/>
      <c r="BA119" s="174">
        <v>0</v>
      </c>
      <c r="BB119" s="174">
        <v>0</v>
      </c>
      <c r="BC119" s="174">
        <v>0</v>
      </c>
      <c r="BD119" s="174">
        <v>0</v>
      </c>
      <c r="BE119" s="174">
        <v>0</v>
      </c>
      <c r="BF119" s="174">
        <v>0</v>
      </c>
      <c r="BG119" s="174">
        <v>0</v>
      </c>
      <c r="BH119" s="174">
        <v>0</v>
      </c>
      <c r="BI119" s="175">
        <f t="shared" si="30"/>
        <v>0</v>
      </c>
      <c r="BJ119" s="175">
        <f t="shared" si="31"/>
        <v>0</v>
      </c>
      <c r="BK119" s="176"/>
      <c r="BL119" s="170"/>
      <c r="BM119" s="170"/>
      <c r="BN119" s="170"/>
      <c r="BO119" s="172"/>
      <c r="BP119" s="172"/>
      <c r="BQ119" s="172"/>
      <c r="BR119" s="172"/>
      <c r="BS119" s="172"/>
      <c r="BT119" s="172"/>
      <c r="BU119" s="172"/>
      <c r="BV119" s="172"/>
      <c r="BW119" s="172"/>
      <c r="BX119" s="172"/>
      <c r="BY119" s="172"/>
      <c r="BZ119" s="172"/>
      <c r="CA119" s="172">
        <f t="shared" si="23"/>
        <v>0</v>
      </c>
      <c r="CB119" s="172">
        <f t="shared" si="24"/>
        <v>0</v>
      </c>
      <c r="CC119" s="494" t="e">
        <f t="shared" si="25"/>
        <v>#DIV/0!</v>
      </c>
      <c r="CD119" s="192"/>
      <c r="CE119" s="192"/>
      <c r="CF119" s="172"/>
      <c r="CG119" s="172"/>
      <c r="CH119" s="172"/>
      <c r="CI119" s="172"/>
      <c r="CJ119" s="172"/>
      <c r="CK119" s="172"/>
      <c r="CL119" s="172"/>
      <c r="CM119" s="172"/>
      <c r="CN119" s="172"/>
      <c r="CO119" s="172"/>
      <c r="CP119" s="172"/>
      <c r="CQ119" s="172"/>
      <c r="CR119" s="172"/>
      <c r="CS119" s="172">
        <v>0</v>
      </c>
      <c r="CT119" s="172">
        <v>0</v>
      </c>
      <c r="CU119" s="192" t="e">
        <v>#DIV/0!</v>
      </c>
    </row>
    <row r="120" spans="1:99" s="68" customFormat="1" x14ac:dyDescent="0.25">
      <c r="A120" s="490">
        <v>127</v>
      </c>
      <c r="B120" s="63" t="s">
        <v>178</v>
      </c>
      <c r="C120" s="490">
        <v>1168</v>
      </c>
      <c r="D120" s="63" t="s">
        <v>170</v>
      </c>
      <c r="E120" s="490">
        <v>3</v>
      </c>
      <c r="F120" s="585"/>
      <c r="G120" s="585"/>
      <c r="H120" s="585"/>
      <c r="I120" s="585"/>
      <c r="J120" s="597"/>
      <c r="K120" s="597"/>
      <c r="L120" s="166" t="s">
        <v>660</v>
      </c>
      <c r="M120" s="166" t="s">
        <v>174</v>
      </c>
      <c r="N120" s="185" t="s">
        <v>314</v>
      </c>
      <c r="O120" s="166" t="s">
        <v>325</v>
      </c>
      <c r="P120" s="180">
        <v>41443</v>
      </c>
      <c r="Q120" s="180">
        <v>41443</v>
      </c>
      <c r="R120" s="166" t="s">
        <v>441</v>
      </c>
      <c r="S120" s="166" t="s">
        <v>661</v>
      </c>
      <c r="T120" s="166" t="s">
        <v>652</v>
      </c>
      <c r="U120" s="166" t="s">
        <v>648</v>
      </c>
      <c r="V120" s="177" t="s">
        <v>662</v>
      </c>
      <c r="W120" s="166">
        <v>1195133</v>
      </c>
      <c r="X120" s="166" t="s">
        <v>315</v>
      </c>
      <c r="Y120" s="166"/>
      <c r="Z120" s="174">
        <v>594</v>
      </c>
      <c r="AA120" s="175">
        <v>45000000</v>
      </c>
      <c r="AB120" s="174">
        <v>578</v>
      </c>
      <c r="AC120" s="175">
        <v>45000000</v>
      </c>
      <c r="AD120" s="175">
        <v>0</v>
      </c>
      <c r="AE120" s="175">
        <v>0</v>
      </c>
      <c r="AF120" s="175">
        <v>0</v>
      </c>
      <c r="AG120" s="175">
        <v>0</v>
      </c>
      <c r="AH120" s="175">
        <v>0</v>
      </c>
      <c r="AI120" s="175">
        <v>0</v>
      </c>
      <c r="AJ120" s="175">
        <v>0</v>
      </c>
      <c r="AK120" s="175">
        <v>9000000</v>
      </c>
      <c r="AL120" s="175">
        <v>15000000</v>
      </c>
      <c r="AM120" s="175">
        <v>0</v>
      </c>
      <c r="AN120" s="175">
        <v>7500000</v>
      </c>
      <c r="AO120" s="175">
        <v>0</v>
      </c>
      <c r="AP120" s="175">
        <f t="shared" si="36"/>
        <v>31500000</v>
      </c>
      <c r="AQ120" s="175">
        <f t="shared" si="37"/>
        <v>13500000</v>
      </c>
      <c r="AR120" s="176">
        <f t="shared" si="38"/>
        <v>0.7</v>
      </c>
      <c r="AS120" s="176"/>
      <c r="AT120" s="174">
        <v>203</v>
      </c>
      <c r="AU120" s="174">
        <v>203</v>
      </c>
      <c r="AV120" s="175">
        <v>13500000</v>
      </c>
      <c r="AW120" s="174">
        <v>0</v>
      </c>
      <c r="AX120" s="174">
        <v>0</v>
      </c>
      <c r="AY120" s="174">
        <v>0</v>
      </c>
      <c r="AZ120" s="174">
        <v>0</v>
      </c>
      <c r="BA120" s="174">
        <v>0</v>
      </c>
      <c r="BB120" s="174">
        <v>0</v>
      </c>
      <c r="BC120" s="174">
        <v>0</v>
      </c>
      <c r="BD120" s="174">
        <v>0</v>
      </c>
      <c r="BE120" s="174">
        <v>0</v>
      </c>
      <c r="BF120" s="174">
        <v>0</v>
      </c>
      <c r="BG120" s="174">
        <v>13500000</v>
      </c>
      <c r="BH120" s="174">
        <v>0</v>
      </c>
      <c r="BI120" s="175">
        <f t="shared" si="30"/>
        <v>13500000</v>
      </c>
      <c r="BJ120" s="175">
        <f t="shared" si="31"/>
        <v>0</v>
      </c>
      <c r="BK120" s="176">
        <f>+BI120/AV120</f>
        <v>1</v>
      </c>
      <c r="BL120" s="170"/>
      <c r="BM120" s="170"/>
      <c r="BN120" s="170"/>
      <c r="BO120" s="172"/>
      <c r="BP120" s="172"/>
      <c r="BQ120" s="172"/>
      <c r="BR120" s="172"/>
      <c r="BS120" s="172"/>
      <c r="BT120" s="172"/>
      <c r="BU120" s="172"/>
      <c r="BV120" s="172"/>
      <c r="BW120" s="172"/>
      <c r="BX120" s="172"/>
      <c r="BY120" s="172"/>
      <c r="BZ120" s="172"/>
      <c r="CA120" s="172">
        <f t="shared" si="23"/>
        <v>0</v>
      </c>
      <c r="CB120" s="172">
        <f t="shared" si="24"/>
        <v>0</v>
      </c>
      <c r="CC120" s="494" t="e">
        <f t="shared" si="25"/>
        <v>#DIV/0!</v>
      </c>
      <c r="CD120" s="192"/>
      <c r="CE120" s="192"/>
      <c r="CF120" s="172"/>
      <c r="CG120" s="172"/>
      <c r="CH120" s="172"/>
      <c r="CI120" s="172"/>
      <c r="CJ120" s="172"/>
      <c r="CK120" s="172"/>
      <c r="CL120" s="172"/>
      <c r="CM120" s="172"/>
      <c r="CN120" s="172"/>
      <c r="CO120" s="172"/>
      <c r="CP120" s="172"/>
      <c r="CQ120" s="172"/>
      <c r="CR120" s="172"/>
      <c r="CS120" s="172">
        <v>0</v>
      </c>
      <c r="CT120" s="172">
        <v>0</v>
      </c>
      <c r="CU120" s="192" t="e">
        <v>#DIV/0!</v>
      </c>
    </row>
    <row r="121" spans="1:99" s="68" customFormat="1" x14ac:dyDescent="0.25">
      <c r="A121" s="490">
        <v>127</v>
      </c>
      <c r="B121" s="63" t="s">
        <v>178</v>
      </c>
      <c r="C121" s="490">
        <v>1168</v>
      </c>
      <c r="D121" s="63" t="s">
        <v>170</v>
      </c>
      <c r="E121" s="490">
        <v>3</v>
      </c>
      <c r="F121" s="585"/>
      <c r="G121" s="585"/>
      <c r="H121" s="585"/>
      <c r="I121" s="585"/>
      <c r="J121" s="597"/>
      <c r="K121" s="597"/>
      <c r="L121" s="166" t="s">
        <v>663</v>
      </c>
      <c r="M121" s="166" t="s">
        <v>174</v>
      </c>
      <c r="N121" s="189" t="s">
        <v>637</v>
      </c>
      <c r="O121" s="166" t="s">
        <v>641</v>
      </c>
      <c r="P121" s="180">
        <v>41605</v>
      </c>
      <c r="Q121" s="185"/>
      <c r="R121" s="166" t="s">
        <v>337</v>
      </c>
      <c r="S121" s="189" t="s">
        <v>664</v>
      </c>
      <c r="T121" s="166" t="s">
        <v>665</v>
      </c>
      <c r="U121" s="166" t="s">
        <v>666</v>
      </c>
      <c r="V121" s="177">
        <v>830104374</v>
      </c>
      <c r="W121" s="185"/>
      <c r="X121" s="185"/>
      <c r="Y121" s="166"/>
      <c r="Z121" s="174">
        <v>692</v>
      </c>
      <c r="AA121" s="175">
        <v>1133314563</v>
      </c>
      <c r="AB121" s="174">
        <v>825</v>
      </c>
      <c r="AC121" s="175">
        <v>1133314563</v>
      </c>
      <c r="AD121" s="175">
        <v>0</v>
      </c>
      <c r="AE121" s="175">
        <v>0</v>
      </c>
      <c r="AF121" s="175">
        <v>0</v>
      </c>
      <c r="AG121" s="175">
        <v>0</v>
      </c>
      <c r="AH121" s="175">
        <v>0</v>
      </c>
      <c r="AI121" s="175">
        <v>0</v>
      </c>
      <c r="AJ121" s="175">
        <v>0</v>
      </c>
      <c r="AK121" s="175">
        <v>0</v>
      </c>
      <c r="AL121" s="175">
        <v>0</v>
      </c>
      <c r="AM121" s="175">
        <v>0</v>
      </c>
      <c r="AN121" s="175">
        <v>0</v>
      </c>
      <c r="AO121" s="175">
        <v>453325825</v>
      </c>
      <c r="AP121" s="175">
        <f t="shared" si="36"/>
        <v>453325825</v>
      </c>
      <c r="AQ121" s="175">
        <f t="shared" si="37"/>
        <v>679988738</v>
      </c>
      <c r="AR121" s="176">
        <f t="shared" si="38"/>
        <v>0.39999999982352646</v>
      </c>
      <c r="AS121" s="176"/>
      <c r="AT121" s="174">
        <v>205</v>
      </c>
      <c r="AU121" s="174">
        <v>205</v>
      </c>
      <c r="AV121" s="175">
        <v>679988738</v>
      </c>
      <c r="AW121" s="174">
        <v>0</v>
      </c>
      <c r="AX121" s="174">
        <v>0</v>
      </c>
      <c r="AY121" s="174">
        <v>52634421</v>
      </c>
      <c r="AZ121" s="174">
        <v>50157403</v>
      </c>
      <c r="BA121" s="174">
        <v>71312062</v>
      </c>
      <c r="BB121" s="174">
        <v>194193092</v>
      </c>
      <c r="BC121" s="174">
        <v>0</v>
      </c>
      <c r="BD121" s="174">
        <v>135998969</v>
      </c>
      <c r="BE121" s="174">
        <v>82006591</v>
      </c>
      <c r="BF121" s="174">
        <v>87447612</v>
      </c>
      <c r="BG121" s="174">
        <v>6238588</v>
      </c>
      <c r="BH121" s="174">
        <v>0</v>
      </c>
      <c r="BI121" s="175">
        <f t="shared" si="30"/>
        <v>679988738</v>
      </c>
      <c r="BJ121" s="175">
        <f t="shared" si="31"/>
        <v>0</v>
      </c>
      <c r="BK121" s="176">
        <f>+BI121/AV121</f>
        <v>1</v>
      </c>
      <c r="BL121" s="170"/>
      <c r="BM121" s="170"/>
      <c r="BN121" s="170"/>
      <c r="BO121" s="172"/>
      <c r="BP121" s="172"/>
      <c r="BQ121" s="172"/>
      <c r="BR121" s="172"/>
      <c r="BS121" s="172"/>
      <c r="BT121" s="172"/>
      <c r="BU121" s="172"/>
      <c r="BV121" s="172"/>
      <c r="BW121" s="172"/>
      <c r="BX121" s="172"/>
      <c r="BY121" s="172"/>
      <c r="BZ121" s="172"/>
      <c r="CA121" s="172">
        <f t="shared" si="23"/>
        <v>0</v>
      </c>
      <c r="CB121" s="172">
        <f t="shared" si="24"/>
        <v>0</v>
      </c>
      <c r="CC121" s="494" t="e">
        <f t="shared" si="25"/>
        <v>#DIV/0!</v>
      </c>
      <c r="CD121" s="192"/>
      <c r="CE121" s="192"/>
      <c r="CF121" s="172"/>
      <c r="CG121" s="172"/>
      <c r="CH121" s="172"/>
      <c r="CI121" s="172"/>
      <c r="CJ121" s="172"/>
      <c r="CK121" s="172"/>
      <c r="CL121" s="172"/>
      <c r="CM121" s="172"/>
      <c r="CN121" s="172"/>
      <c r="CO121" s="172"/>
      <c r="CP121" s="172"/>
      <c r="CQ121" s="172"/>
      <c r="CR121" s="172"/>
      <c r="CS121" s="172">
        <v>0</v>
      </c>
      <c r="CT121" s="172">
        <v>0</v>
      </c>
      <c r="CU121" s="192" t="e">
        <v>#DIV/0!</v>
      </c>
    </row>
    <row r="122" spans="1:99" s="68" customFormat="1" x14ac:dyDescent="0.25">
      <c r="A122" s="490">
        <v>127</v>
      </c>
      <c r="B122" s="63" t="s">
        <v>178</v>
      </c>
      <c r="C122" s="490">
        <v>1168</v>
      </c>
      <c r="D122" s="63" t="s">
        <v>170</v>
      </c>
      <c r="E122" s="490">
        <v>3</v>
      </c>
      <c r="F122" s="585"/>
      <c r="G122" s="585"/>
      <c r="H122" s="585"/>
      <c r="I122" s="585"/>
      <c r="J122" s="597"/>
      <c r="K122" s="597"/>
      <c r="L122" s="166" t="s">
        <v>667</v>
      </c>
      <c r="M122" s="166" t="s">
        <v>174</v>
      </c>
      <c r="N122" s="166" t="s">
        <v>650</v>
      </c>
      <c r="O122" s="166" t="s">
        <v>320</v>
      </c>
      <c r="P122" s="180">
        <v>41613</v>
      </c>
      <c r="Q122" s="180">
        <v>41647</v>
      </c>
      <c r="R122" s="166" t="s">
        <v>330</v>
      </c>
      <c r="S122" s="166" t="s">
        <v>668</v>
      </c>
      <c r="T122" s="166" t="s">
        <v>669</v>
      </c>
      <c r="U122" s="166" t="s">
        <v>670</v>
      </c>
      <c r="V122" s="166">
        <v>800172033</v>
      </c>
      <c r="W122" s="185"/>
      <c r="X122" s="166" t="s">
        <v>315</v>
      </c>
      <c r="Y122" s="166"/>
      <c r="Z122" s="174">
        <v>693</v>
      </c>
      <c r="AA122" s="175">
        <v>110000000</v>
      </c>
      <c r="AB122" s="174">
        <v>836</v>
      </c>
      <c r="AC122" s="175">
        <v>110000000</v>
      </c>
      <c r="AD122" s="175">
        <v>0</v>
      </c>
      <c r="AE122" s="175">
        <v>0</v>
      </c>
      <c r="AF122" s="175">
        <v>0</v>
      </c>
      <c r="AG122" s="175">
        <v>0</v>
      </c>
      <c r="AH122" s="175">
        <v>0</v>
      </c>
      <c r="AI122" s="175">
        <v>0</v>
      </c>
      <c r="AJ122" s="175">
        <v>0</v>
      </c>
      <c r="AK122" s="175">
        <v>0</v>
      </c>
      <c r="AL122" s="175">
        <v>0</v>
      </c>
      <c r="AM122" s="175">
        <v>0</v>
      </c>
      <c r="AN122" s="175">
        <v>0</v>
      </c>
      <c r="AO122" s="175">
        <v>0</v>
      </c>
      <c r="AP122" s="175">
        <f t="shared" si="36"/>
        <v>0</v>
      </c>
      <c r="AQ122" s="175">
        <f t="shared" si="37"/>
        <v>110000000</v>
      </c>
      <c r="AR122" s="176">
        <f t="shared" si="38"/>
        <v>0</v>
      </c>
      <c r="AS122" s="176"/>
      <c r="AT122" s="174">
        <v>171</v>
      </c>
      <c r="AU122" s="174">
        <v>170</v>
      </c>
      <c r="AV122" s="175">
        <v>110000000</v>
      </c>
      <c r="AW122" s="174">
        <v>0</v>
      </c>
      <c r="AX122" s="174">
        <v>15714285</v>
      </c>
      <c r="AY122" s="174">
        <v>15714285</v>
      </c>
      <c r="AZ122" s="174">
        <v>15714285</v>
      </c>
      <c r="BA122" s="174">
        <v>15714285</v>
      </c>
      <c r="BB122" s="174">
        <v>31428570</v>
      </c>
      <c r="BC122" s="174">
        <v>0</v>
      </c>
      <c r="BD122" s="174">
        <v>15714285</v>
      </c>
      <c r="BE122" s="174">
        <v>0</v>
      </c>
      <c r="BF122" s="174">
        <v>0</v>
      </c>
      <c r="BG122" s="174">
        <v>5</v>
      </c>
      <c r="BH122" s="174">
        <v>0</v>
      </c>
      <c r="BI122" s="175">
        <f t="shared" si="30"/>
        <v>110000000</v>
      </c>
      <c r="BJ122" s="175">
        <f t="shared" si="31"/>
        <v>0</v>
      </c>
      <c r="BK122" s="176">
        <f>+BI122/AV122</f>
        <v>1</v>
      </c>
      <c r="BL122" s="170"/>
      <c r="BM122" s="170"/>
      <c r="BN122" s="170"/>
      <c r="BO122" s="172"/>
      <c r="BP122" s="172"/>
      <c r="BQ122" s="172"/>
      <c r="BR122" s="172"/>
      <c r="BS122" s="172"/>
      <c r="BT122" s="172"/>
      <c r="BU122" s="172"/>
      <c r="BV122" s="172"/>
      <c r="BW122" s="172"/>
      <c r="BX122" s="172"/>
      <c r="BY122" s="172"/>
      <c r="BZ122" s="172"/>
      <c r="CA122" s="172">
        <f t="shared" si="23"/>
        <v>0</v>
      </c>
      <c r="CB122" s="172">
        <f t="shared" si="24"/>
        <v>0</v>
      </c>
      <c r="CC122" s="494" t="e">
        <f t="shared" si="25"/>
        <v>#DIV/0!</v>
      </c>
      <c r="CD122" s="192"/>
      <c r="CE122" s="192"/>
      <c r="CF122" s="172"/>
      <c r="CG122" s="172"/>
      <c r="CH122" s="172"/>
      <c r="CI122" s="172"/>
      <c r="CJ122" s="172"/>
      <c r="CK122" s="172"/>
      <c r="CL122" s="172"/>
      <c r="CM122" s="172"/>
      <c r="CN122" s="172"/>
      <c r="CO122" s="172"/>
      <c r="CP122" s="172"/>
      <c r="CQ122" s="172"/>
      <c r="CR122" s="172"/>
      <c r="CS122" s="172">
        <v>0</v>
      </c>
      <c r="CT122" s="172">
        <v>0</v>
      </c>
      <c r="CU122" s="192" t="e">
        <v>#DIV/0!</v>
      </c>
    </row>
    <row r="123" spans="1:99" s="68" customFormat="1" ht="13.5" customHeight="1" x14ac:dyDescent="0.25">
      <c r="A123" s="490">
        <v>128</v>
      </c>
      <c r="B123" s="63" t="s">
        <v>184</v>
      </c>
      <c r="C123" s="490">
        <v>1170</v>
      </c>
      <c r="D123" s="63" t="s">
        <v>186</v>
      </c>
      <c r="E123" s="490">
        <v>1</v>
      </c>
      <c r="F123" s="584" t="s">
        <v>53</v>
      </c>
      <c r="G123" s="584">
        <v>400</v>
      </c>
      <c r="H123" s="584" t="s">
        <v>61</v>
      </c>
      <c r="I123" s="584" t="s">
        <v>187</v>
      </c>
      <c r="J123" s="586"/>
      <c r="K123" s="586"/>
      <c r="L123" s="166" t="s">
        <v>671</v>
      </c>
      <c r="M123" s="166" t="s">
        <v>156</v>
      </c>
      <c r="N123" s="189" t="s">
        <v>319</v>
      </c>
      <c r="O123" s="166" t="s">
        <v>400</v>
      </c>
      <c r="P123" s="180">
        <v>41586</v>
      </c>
      <c r="Q123" s="173"/>
      <c r="R123" s="166" t="s">
        <v>337</v>
      </c>
      <c r="S123" s="189" t="s">
        <v>672</v>
      </c>
      <c r="T123" s="166" t="s">
        <v>673</v>
      </c>
      <c r="U123" s="166" t="s">
        <v>674</v>
      </c>
      <c r="V123" s="189">
        <v>860070301</v>
      </c>
      <c r="W123" s="173"/>
      <c r="X123" s="173"/>
      <c r="Y123" s="166"/>
      <c r="Z123" s="174">
        <v>805</v>
      </c>
      <c r="AA123" s="175">
        <v>92000000</v>
      </c>
      <c r="AB123" s="174">
        <v>780</v>
      </c>
      <c r="AC123" s="175">
        <v>92000000</v>
      </c>
      <c r="AD123" s="175">
        <v>0</v>
      </c>
      <c r="AE123" s="175">
        <v>0</v>
      </c>
      <c r="AF123" s="175">
        <v>0</v>
      </c>
      <c r="AG123" s="175">
        <v>0</v>
      </c>
      <c r="AH123" s="175">
        <v>0</v>
      </c>
      <c r="AI123" s="175">
        <v>0</v>
      </c>
      <c r="AJ123" s="175">
        <v>0</v>
      </c>
      <c r="AK123" s="175">
        <v>0</v>
      </c>
      <c r="AL123" s="175">
        <v>0</v>
      </c>
      <c r="AM123" s="175">
        <v>0</v>
      </c>
      <c r="AN123" s="175">
        <v>0</v>
      </c>
      <c r="AO123" s="175">
        <v>0</v>
      </c>
      <c r="AP123" s="175">
        <f t="shared" si="36"/>
        <v>0</v>
      </c>
      <c r="AQ123" s="175">
        <f t="shared" si="37"/>
        <v>92000000</v>
      </c>
      <c r="AR123" s="176">
        <f t="shared" si="38"/>
        <v>0</v>
      </c>
      <c r="AS123" s="176"/>
      <c r="AT123" s="174">
        <v>206</v>
      </c>
      <c r="AU123" s="174">
        <v>206</v>
      </c>
      <c r="AV123" s="175">
        <v>92000000</v>
      </c>
      <c r="AW123" s="174">
        <v>0</v>
      </c>
      <c r="AX123" s="174">
        <v>0</v>
      </c>
      <c r="AY123" s="174">
        <v>0</v>
      </c>
      <c r="AZ123" s="174">
        <v>0</v>
      </c>
      <c r="BA123" s="174">
        <v>0</v>
      </c>
      <c r="BB123" s="174">
        <v>0</v>
      </c>
      <c r="BC123" s="174">
        <v>0</v>
      </c>
      <c r="BD123" s="174">
        <v>0</v>
      </c>
      <c r="BE123" s="174">
        <v>0</v>
      </c>
      <c r="BF123" s="174">
        <v>0</v>
      </c>
      <c r="BG123" s="174">
        <v>0</v>
      </c>
      <c r="BH123" s="174">
        <v>0</v>
      </c>
      <c r="BI123" s="175">
        <f t="shared" si="30"/>
        <v>0</v>
      </c>
      <c r="BJ123" s="175">
        <f t="shared" si="31"/>
        <v>92000000</v>
      </c>
      <c r="BK123" s="176">
        <f>+BI123/AV123</f>
        <v>0</v>
      </c>
      <c r="BL123" s="170">
        <v>52</v>
      </c>
      <c r="BM123" s="170">
        <v>390</v>
      </c>
      <c r="BN123" s="170">
        <v>92000000</v>
      </c>
      <c r="BO123" s="172">
        <v>0</v>
      </c>
      <c r="BP123" s="172">
        <v>0</v>
      </c>
      <c r="BQ123" s="172">
        <v>0</v>
      </c>
      <c r="BR123" s="172">
        <v>0</v>
      </c>
      <c r="BS123" s="172">
        <v>0</v>
      </c>
      <c r="BT123" s="172">
        <v>0</v>
      </c>
      <c r="BU123" s="172">
        <v>0</v>
      </c>
      <c r="BV123" s="172">
        <v>0</v>
      </c>
      <c r="BW123" s="172">
        <v>0</v>
      </c>
      <c r="BX123" s="172">
        <v>0</v>
      </c>
      <c r="BY123" s="172">
        <v>0</v>
      </c>
      <c r="BZ123" s="172">
        <v>77706139</v>
      </c>
      <c r="CA123" s="172">
        <f t="shared" si="23"/>
        <v>77706139</v>
      </c>
      <c r="CB123" s="172">
        <f t="shared" si="24"/>
        <v>14293861</v>
      </c>
      <c r="CC123" s="494">
        <f t="shared" si="25"/>
        <v>0.84463194565217392</v>
      </c>
      <c r="CD123" s="192"/>
      <c r="CE123" s="192"/>
      <c r="CF123" s="172"/>
      <c r="CG123" s="172"/>
      <c r="CH123" s="172"/>
      <c r="CI123" s="172"/>
      <c r="CJ123" s="172"/>
      <c r="CK123" s="172"/>
      <c r="CL123" s="172"/>
      <c r="CM123" s="172"/>
      <c r="CN123" s="172"/>
      <c r="CO123" s="172"/>
      <c r="CP123" s="172"/>
      <c r="CQ123" s="172"/>
      <c r="CR123" s="172"/>
      <c r="CS123" s="172">
        <v>0</v>
      </c>
      <c r="CT123" s="172">
        <v>0</v>
      </c>
      <c r="CU123" s="192" t="e">
        <v>#DIV/0!</v>
      </c>
    </row>
    <row r="124" spans="1:99" s="68" customFormat="1" ht="13.5" customHeight="1" x14ac:dyDescent="0.25">
      <c r="A124" s="490">
        <v>128</v>
      </c>
      <c r="B124" s="63" t="s">
        <v>184</v>
      </c>
      <c r="C124" s="490">
        <v>1170</v>
      </c>
      <c r="D124" s="63" t="s">
        <v>186</v>
      </c>
      <c r="E124" s="490">
        <v>1</v>
      </c>
      <c r="F124" s="585"/>
      <c r="G124" s="585"/>
      <c r="H124" s="585"/>
      <c r="I124" s="585"/>
      <c r="J124" s="587"/>
      <c r="K124" s="587"/>
      <c r="L124" s="166" t="s">
        <v>675</v>
      </c>
      <c r="M124" s="166" t="s">
        <v>198</v>
      </c>
      <c r="N124" s="166" t="s">
        <v>319</v>
      </c>
      <c r="O124" s="166" t="s">
        <v>325</v>
      </c>
      <c r="P124" s="180">
        <v>41544</v>
      </c>
      <c r="Q124" s="173"/>
      <c r="R124" s="166" t="s">
        <v>609</v>
      </c>
      <c r="S124" s="189" t="s">
        <v>676</v>
      </c>
      <c r="T124" s="166" t="s">
        <v>677</v>
      </c>
      <c r="U124" s="166" t="s">
        <v>678</v>
      </c>
      <c r="V124" s="189">
        <v>899999974</v>
      </c>
      <c r="W124" s="173"/>
      <c r="X124" s="173"/>
      <c r="Y124" s="166"/>
      <c r="Z124" s="174">
        <v>727</v>
      </c>
      <c r="AA124" s="175">
        <v>2813927335</v>
      </c>
      <c r="AB124" s="174">
        <v>720</v>
      </c>
      <c r="AC124" s="175">
        <v>2813927335</v>
      </c>
      <c r="AD124" s="175">
        <v>0</v>
      </c>
      <c r="AE124" s="175">
        <v>0</v>
      </c>
      <c r="AF124" s="175">
        <v>0</v>
      </c>
      <c r="AG124" s="175">
        <v>0</v>
      </c>
      <c r="AH124" s="175">
        <v>0</v>
      </c>
      <c r="AI124" s="175">
        <v>0</v>
      </c>
      <c r="AJ124" s="175">
        <v>0</v>
      </c>
      <c r="AK124" s="175">
        <v>0</v>
      </c>
      <c r="AL124" s="175">
        <v>0</v>
      </c>
      <c r="AM124" s="175">
        <v>0</v>
      </c>
      <c r="AN124" s="175">
        <v>2813927335</v>
      </c>
      <c r="AO124" s="175">
        <v>0</v>
      </c>
      <c r="AP124" s="175">
        <f t="shared" si="36"/>
        <v>2813927335</v>
      </c>
      <c r="AQ124" s="175">
        <f t="shared" si="37"/>
        <v>0</v>
      </c>
      <c r="AR124" s="176">
        <f t="shared" si="38"/>
        <v>1</v>
      </c>
      <c r="AS124" s="176"/>
      <c r="AT124" s="174"/>
      <c r="AU124" s="174"/>
      <c r="AV124" s="175"/>
      <c r="AW124" s="174"/>
      <c r="AX124" s="174"/>
      <c r="AY124" s="174"/>
      <c r="AZ124" s="174"/>
      <c r="BA124" s="174">
        <v>0</v>
      </c>
      <c r="BB124" s="174">
        <v>0</v>
      </c>
      <c r="BC124" s="174">
        <v>0</v>
      </c>
      <c r="BD124" s="174">
        <v>0</v>
      </c>
      <c r="BE124" s="174">
        <v>0</v>
      </c>
      <c r="BF124" s="174">
        <v>0</v>
      </c>
      <c r="BG124" s="174">
        <v>0</v>
      </c>
      <c r="BH124" s="174">
        <v>0</v>
      </c>
      <c r="BI124" s="175">
        <f t="shared" si="30"/>
        <v>0</v>
      </c>
      <c r="BJ124" s="175">
        <f t="shared" si="31"/>
        <v>0</v>
      </c>
      <c r="BK124" s="176"/>
      <c r="BL124" s="170"/>
      <c r="BM124" s="170"/>
      <c r="BN124" s="170"/>
      <c r="BO124" s="172"/>
      <c r="BP124" s="172"/>
      <c r="BQ124" s="172"/>
      <c r="BR124" s="172"/>
      <c r="BS124" s="172"/>
      <c r="BT124" s="172"/>
      <c r="BU124" s="172"/>
      <c r="BV124" s="172"/>
      <c r="BW124" s="172"/>
      <c r="BX124" s="172"/>
      <c r="BY124" s="172"/>
      <c r="BZ124" s="172"/>
      <c r="CA124" s="172">
        <f t="shared" si="23"/>
        <v>0</v>
      </c>
      <c r="CB124" s="172">
        <f t="shared" si="24"/>
        <v>0</v>
      </c>
      <c r="CC124" s="494" t="e">
        <f t="shared" si="25"/>
        <v>#DIV/0!</v>
      </c>
      <c r="CD124" s="192"/>
      <c r="CE124" s="192"/>
      <c r="CF124" s="172"/>
      <c r="CG124" s="172"/>
      <c r="CH124" s="172"/>
      <c r="CI124" s="172"/>
      <c r="CJ124" s="172"/>
      <c r="CK124" s="172"/>
      <c r="CL124" s="172"/>
      <c r="CM124" s="172"/>
      <c r="CN124" s="172"/>
      <c r="CO124" s="172"/>
      <c r="CP124" s="172"/>
      <c r="CQ124" s="172"/>
      <c r="CR124" s="172"/>
      <c r="CS124" s="172">
        <v>0</v>
      </c>
      <c r="CT124" s="172">
        <v>0</v>
      </c>
      <c r="CU124" s="192" t="e">
        <v>#DIV/0!</v>
      </c>
    </row>
    <row r="125" spans="1:99" s="68" customFormat="1" ht="13.5" customHeight="1" x14ac:dyDescent="0.25">
      <c r="A125" s="490">
        <v>128</v>
      </c>
      <c r="B125" s="63" t="s">
        <v>184</v>
      </c>
      <c r="C125" s="490">
        <v>1170</v>
      </c>
      <c r="D125" s="63" t="s">
        <v>186</v>
      </c>
      <c r="E125" s="490">
        <v>1</v>
      </c>
      <c r="F125" s="585"/>
      <c r="G125" s="585"/>
      <c r="H125" s="585"/>
      <c r="I125" s="585"/>
      <c r="J125" s="587"/>
      <c r="K125" s="587"/>
      <c r="L125" s="166"/>
      <c r="M125" s="166"/>
      <c r="N125" s="173"/>
      <c r="O125" s="166"/>
      <c r="P125" s="173"/>
      <c r="Q125" s="173"/>
      <c r="R125" s="173"/>
      <c r="S125" s="189"/>
      <c r="T125" s="173"/>
      <c r="U125" s="166"/>
      <c r="V125" s="189"/>
      <c r="W125" s="173"/>
      <c r="X125" s="173"/>
      <c r="Y125" s="166"/>
      <c r="Z125" s="174"/>
      <c r="AA125" s="175"/>
      <c r="AB125" s="174"/>
      <c r="AC125" s="175"/>
      <c r="AD125" s="175"/>
      <c r="AE125" s="175"/>
      <c r="AF125" s="175"/>
      <c r="AG125" s="175"/>
      <c r="AH125" s="175"/>
      <c r="AI125" s="175"/>
      <c r="AJ125" s="175"/>
      <c r="AK125" s="175"/>
      <c r="AL125" s="175"/>
      <c r="AM125" s="175"/>
      <c r="AN125" s="175"/>
      <c r="AO125" s="175"/>
      <c r="AP125" s="175"/>
      <c r="AQ125" s="175"/>
      <c r="AR125" s="176"/>
      <c r="AS125" s="176"/>
      <c r="AT125" s="174"/>
      <c r="AU125" s="174"/>
      <c r="AV125" s="175"/>
      <c r="AW125" s="174"/>
      <c r="AX125" s="174"/>
      <c r="AY125" s="174"/>
      <c r="AZ125" s="174"/>
      <c r="BA125" s="174"/>
      <c r="BB125" s="174"/>
      <c r="BC125" s="174"/>
      <c r="BD125" s="174"/>
      <c r="BE125" s="174"/>
      <c r="BF125" s="174"/>
      <c r="BG125" s="174"/>
      <c r="BH125" s="174"/>
      <c r="BI125" s="175">
        <f t="shared" si="30"/>
        <v>0</v>
      </c>
      <c r="BJ125" s="175">
        <f t="shared" si="31"/>
        <v>0</v>
      </c>
      <c r="BK125" s="176"/>
      <c r="BL125" s="170"/>
      <c r="BM125" s="170"/>
      <c r="BN125" s="170"/>
      <c r="BO125" s="172"/>
      <c r="BP125" s="172"/>
      <c r="BQ125" s="172"/>
      <c r="BR125" s="172"/>
      <c r="BS125" s="172"/>
      <c r="BT125" s="172"/>
      <c r="BU125" s="172"/>
      <c r="BV125" s="172"/>
      <c r="BW125" s="172"/>
      <c r="BX125" s="172"/>
      <c r="BY125" s="172"/>
      <c r="BZ125" s="172"/>
      <c r="CA125" s="172">
        <f t="shared" si="23"/>
        <v>0</v>
      </c>
      <c r="CB125" s="172">
        <f t="shared" si="24"/>
        <v>0</v>
      </c>
      <c r="CC125" s="494" t="e">
        <f t="shared" si="25"/>
        <v>#DIV/0!</v>
      </c>
      <c r="CD125" s="192"/>
      <c r="CE125" s="192"/>
      <c r="CF125" s="172"/>
      <c r="CG125" s="172"/>
      <c r="CH125" s="172"/>
      <c r="CI125" s="172"/>
      <c r="CJ125" s="172"/>
      <c r="CK125" s="172"/>
      <c r="CL125" s="172"/>
      <c r="CM125" s="172"/>
      <c r="CN125" s="172"/>
      <c r="CO125" s="172"/>
      <c r="CP125" s="172"/>
      <c r="CQ125" s="172"/>
      <c r="CR125" s="172"/>
      <c r="CS125" s="172">
        <v>0</v>
      </c>
      <c r="CT125" s="172">
        <v>0</v>
      </c>
      <c r="CU125" s="192" t="e">
        <v>#DIV/0!</v>
      </c>
    </row>
    <row r="126" spans="1:99" s="68" customFormat="1" ht="13.5" customHeight="1" x14ac:dyDescent="0.25">
      <c r="A126" s="490">
        <v>129</v>
      </c>
      <c r="B126" s="63" t="s">
        <v>189</v>
      </c>
      <c r="C126" s="490">
        <v>1170</v>
      </c>
      <c r="D126" s="63" t="s">
        <v>186</v>
      </c>
      <c r="E126" s="490">
        <v>2</v>
      </c>
      <c r="F126" s="559" t="s">
        <v>130</v>
      </c>
      <c r="G126" s="559">
        <v>1</v>
      </c>
      <c r="H126" s="559" t="s">
        <v>191</v>
      </c>
      <c r="I126" s="559" t="s">
        <v>192</v>
      </c>
      <c r="J126" s="603"/>
      <c r="K126" s="603"/>
      <c r="L126" s="166" t="s">
        <v>679</v>
      </c>
      <c r="M126" s="166" t="s">
        <v>198</v>
      </c>
      <c r="N126" s="166" t="s">
        <v>349</v>
      </c>
      <c r="O126" s="166" t="s">
        <v>356</v>
      </c>
      <c r="P126" s="180">
        <v>41635</v>
      </c>
      <c r="Q126" s="173"/>
      <c r="R126" s="166" t="s">
        <v>512</v>
      </c>
      <c r="S126" s="189" t="s">
        <v>680</v>
      </c>
      <c r="T126" s="166" t="s">
        <v>681</v>
      </c>
      <c r="U126" s="166" t="s">
        <v>682</v>
      </c>
      <c r="V126" s="189">
        <v>860053274</v>
      </c>
      <c r="W126" s="173"/>
      <c r="X126" s="173"/>
      <c r="Y126" s="166"/>
      <c r="Z126" s="174">
        <v>894</v>
      </c>
      <c r="AA126" s="175">
        <v>10000000</v>
      </c>
      <c r="AB126" s="174">
        <v>877</v>
      </c>
      <c r="AC126" s="175">
        <v>9879488</v>
      </c>
      <c r="AD126" s="175">
        <v>0</v>
      </c>
      <c r="AE126" s="175">
        <v>0</v>
      </c>
      <c r="AF126" s="175">
        <v>0</v>
      </c>
      <c r="AG126" s="175">
        <v>0</v>
      </c>
      <c r="AH126" s="175">
        <v>0</v>
      </c>
      <c r="AI126" s="175">
        <v>0</v>
      </c>
      <c r="AJ126" s="175">
        <v>0</v>
      </c>
      <c r="AK126" s="175">
        <v>0</v>
      </c>
      <c r="AL126" s="175">
        <v>0</v>
      </c>
      <c r="AM126" s="175">
        <v>0</v>
      </c>
      <c r="AN126" s="175">
        <v>0</v>
      </c>
      <c r="AO126" s="175">
        <v>0</v>
      </c>
      <c r="AP126" s="175">
        <f>SUM(AD126:AO126)</f>
        <v>0</v>
      </c>
      <c r="AQ126" s="175">
        <f>+AC126-AP126</f>
        <v>9879488</v>
      </c>
      <c r="AR126" s="176">
        <f>AP126/AC126</f>
        <v>0</v>
      </c>
      <c r="AS126" s="176"/>
      <c r="AT126" s="174">
        <v>207</v>
      </c>
      <c r="AU126" s="174">
        <v>207</v>
      </c>
      <c r="AV126" s="175">
        <v>9879488</v>
      </c>
      <c r="AW126" s="174">
        <v>0</v>
      </c>
      <c r="AX126" s="174">
        <v>0</v>
      </c>
      <c r="AY126" s="174">
        <v>0</v>
      </c>
      <c r="AZ126" s="174">
        <v>0</v>
      </c>
      <c r="BA126" s="174">
        <v>0</v>
      </c>
      <c r="BB126" s="174">
        <v>0</v>
      </c>
      <c r="BC126" s="174">
        <v>0</v>
      </c>
      <c r="BD126" s="174">
        <v>0</v>
      </c>
      <c r="BE126" s="174">
        <v>0</v>
      </c>
      <c r="BF126" s="174">
        <v>0</v>
      </c>
      <c r="BG126" s="174">
        <v>0</v>
      </c>
      <c r="BH126" s="174">
        <v>0</v>
      </c>
      <c r="BI126" s="175">
        <f t="shared" si="30"/>
        <v>0</v>
      </c>
      <c r="BJ126" s="175">
        <f t="shared" si="31"/>
        <v>9879488</v>
      </c>
      <c r="BK126" s="176">
        <f>+BI126/AV126</f>
        <v>0</v>
      </c>
      <c r="BL126" s="170">
        <v>53</v>
      </c>
      <c r="BM126" s="170">
        <v>40</v>
      </c>
      <c r="BN126" s="170">
        <v>9879488</v>
      </c>
      <c r="BO126" s="172">
        <v>0</v>
      </c>
      <c r="BP126" s="172">
        <v>0</v>
      </c>
      <c r="BQ126" s="172">
        <v>0</v>
      </c>
      <c r="BR126" s="172">
        <v>0</v>
      </c>
      <c r="BS126" s="172">
        <v>0</v>
      </c>
      <c r="BT126" s="172">
        <v>0</v>
      </c>
      <c r="BU126" s="172">
        <v>0</v>
      </c>
      <c r="BV126" s="172">
        <v>0</v>
      </c>
      <c r="BW126" s="172">
        <v>0</v>
      </c>
      <c r="BX126" s="172">
        <v>0</v>
      </c>
      <c r="BY126" s="172">
        <v>0</v>
      </c>
      <c r="BZ126" s="172">
        <v>9879488</v>
      </c>
      <c r="CA126" s="172">
        <f t="shared" si="23"/>
        <v>9879488</v>
      </c>
      <c r="CB126" s="172">
        <f t="shared" si="24"/>
        <v>0</v>
      </c>
      <c r="CC126" s="494">
        <f t="shared" si="25"/>
        <v>1</v>
      </c>
      <c r="CD126" s="192"/>
      <c r="CE126" s="192"/>
      <c r="CF126" s="172"/>
      <c r="CG126" s="172"/>
      <c r="CH126" s="172"/>
      <c r="CI126" s="172"/>
      <c r="CJ126" s="172"/>
      <c r="CK126" s="172"/>
      <c r="CL126" s="172"/>
      <c r="CM126" s="172"/>
      <c r="CN126" s="172"/>
      <c r="CO126" s="172"/>
      <c r="CP126" s="172"/>
      <c r="CQ126" s="172"/>
      <c r="CR126" s="172"/>
      <c r="CS126" s="172">
        <v>0</v>
      </c>
      <c r="CT126" s="172">
        <v>0</v>
      </c>
      <c r="CU126" s="192" t="e">
        <v>#DIV/0!</v>
      </c>
    </row>
    <row r="127" spans="1:99" s="68" customFormat="1" x14ac:dyDescent="0.25">
      <c r="A127" s="490">
        <v>129</v>
      </c>
      <c r="B127" s="63" t="s">
        <v>189</v>
      </c>
      <c r="C127" s="490">
        <v>1170</v>
      </c>
      <c r="D127" s="63" t="s">
        <v>186</v>
      </c>
      <c r="E127" s="490">
        <v>2</v>
      </c>
      <c r="F127" s="559"/>
      <c r="G127" s="559"/>
      <c r="H127" s="559"/>
      <c r="I127" s="559"/>
      <c r="J127" s="604"/>
      <c r="K127" s="604"/>
      <c r="L127" s="166"/>
      <c r="M127" s="166"/>
      <c r="N127" s="173"/>
      <c r="O127" s="166"/>
      <c r="P127" s="173"/>
      <c r="Q127" s="173"/>
      <c r="R127" s="173"/>
      <c r="S127" s="166"/>
      <c r="T127" s="173"/>
      <c r="U127" s="166"/>
      <c r="V127" s="173"/>
      <c r="W127" s="173"/>
      <c r="X127" s="173"/>
      <c r="Y127" s="166"/>
      <c r="Z127" s="174"/>
      <c r="AA127" s="175"/>
      <c r="AB127" s="174"/>
      <c r="AC127" s="175"/>
      <c r="AD127" s="175"/>
      <c r="AE127" s="175"/>
      <c r="AF127" s="175"/>
      <c r="AG127" s="175"/>
      <c r="AH127" s="175"/>
      <c r="AI127" s="175"/>
      <c r="AJ127" s="175"/>
      <c r="AK127" s="175"/>
      <c r="AL127" s="175"/>
      <c r="AM127" s="175"/>
      <c r="AN127" s="175"/>
      <c r="AO127" s="175"/>
      <c r="AP127" s="175"/>
      <c r="AQ127" s="175"/>
      <c r="AR127" s="176"/>
      <c r="AS127" s="176"/>
      <c r="AT127" s="174"/>
      <c r="AU127" s="174"/>
      <c r="AV127" s="175"/>
      <c r="AW127" s="174"/>
      <c r="AX127" s="174"/>
      <c r="AY127" s="174"/>
      <c r="AZ127" s="174"/>
      <c r="BA127" s="174"/>
      <c r="BB127" s="174"/>
      <c r="BC127" s="174"/>
      <c r="BD127" s="174"/>
      <c r="BE127" s="174"/>
      <c r="BF127" s="174"/>
      <c r="BG127" s="174"/>
      <c r="BH127" s="174"/>
      <c r="BI127" s="175">
        <f t="shared" si="30"/>
        <v>0</v>
      </c>
      <c r="BJ127" s="175">
        <f t="shared" si="31"/>
        <v>0</v>
      </c>
      <c r="BK127" s="176"/>
      <c r="BL127" s="170"/>
      <c r="BM127" s="170"/>
      <c r="BN127" s="170"/>
      <c r="BO127" s="172"/>
      <c r="BP127" s="172"/>
      <c r="BQ127" s="172"/>
      <c r="BR127" s="172"/>
      <c r="BS127" s="172"/>
      <c r="BT127" s="172"/>
      <c r="BU127" s="172"/>
      <c r="BV127" s="172"/>
      <c r="BW127" s="172"/>
      <c r="BX127" s="172"/>
      <c r="BY127" s="172"/>
      <c r="BZ127" s="172"/>
      <c r="CA127" s="172">
        <f t="shared" si="23"/>
        <v>0</v>
      </c>
      <c r="CB127" s="172">
        <f t="shared" si="24"/>
        <v>0</v>
      </c>
      <c r="CC127" s="494" t="e">
        <f t="shared" si="25"/>
        <v>#DIV/0!</v>
      </c>
      <c r="CD127" s="192"/>
      <c r="CE127" s="192"/>
      <c r="CF127" s="172"/>
      <c r="CG127" s="172"/>
      <c r="CH127" s="172"/>
      <c r="CI127" s="172"/>
      <c r="CJ127" s="172"/>
      <c r="CK127" s="172"/>
      <c r="CL127" s="172"/>
      <c r="CM127" s="172"/>
      <c r="CN127" s="172"/>
      <c r="CO127" s="172"/>
      <c r="CP127" s="172"/>
      <c r="CQ127" s="172"/>
      <c r="CR127" s="172"/>
      <c r="CS127" s="172">
        <v>0</v>
      </c>
      <c r="CT127" s="172">
        <v>0</v>
      </c>
      <c r="CU127" s="192" t="e">
        <v>#DIV/0!</v>
      </c>
    </row>
    <row r="128" spans="1:99" s="68" customFormat="1" x14ac:dyDescent="0.25">
      <c r="A128" s="490">
        <v>129</v>
      </c>
      <c r="B128" s="63" t="s">
        <v>189</v>
      </c>
      <c r="C128" s="490">
        <v>1170</v>
      </c>
      <c r="D128" s="63" t="s">
        <v>186</v>
      </c>
      <c r="E128" s="490">
        <v>2</v>
      </c>
      <c r="F128" s="559"/>
      <c r="G128" s="559"/>
      <c r="H128" s="559"/>
      <c r="I128" s="559"/>
      <c r="J128" s="604"/>
      <c r="K128" s="604"/>
      <c r="L128" s="166"/>
      <c r="M128" s="166"/>
      <c r="N128" s="166"/>
      <c r="O128" s="166"/>
      <c r="P128" s="180"/>
      <c r="Q128" s="180"/>
      <c r="R128" s="166"/>
      <c r="S128" s="166"/>
      <c r="T128" s="166"/>
      <c r="U128" s="166"/>
      <c r="V128" s="166"/>
      <c r="W128" s="166"/>
      <c r="X128" s="166"/>
      <c r="Y128" s="166"/>
      <c r="Z128" s="174"/>
      <c r="AA128" s="175"/>
      <c r="AB128" s="174"/>
      <c r="AC128" s="175"/>
      <c r="AD128" s="175"/>
      <c r="AE128" s="175"/>
      <c r="AF128" s="175"/>
      <c r="AG128" s="175"/>
      <c r="AH128" s="175"/>
      <c r="AI128" s="175"/>
      <c r="AJ128" s="175"/>
      <c r="AK128" s="175"/>
      <c r="AL128" s="175"/>
      <c r="AM128" s="175"/>
      <c r="AN128" s="175"/>
      <c r="AO128" s="175"/>
      <c r="AP128" s="175"/>
      <c r="AQ128" s="175"/>
      <c r="AR128" s="176"/>
      <c r="AS128" s="176"/>
      <c r="AT128" s="174"/>
      <c r="AU128" s="174"/>
      <c r="AV128" s="175"/>
      <c r="AW128" s="174"/>
      <c r="AX128" s="174"/>
      <c r="AY128" s="174"/>
      <c r="AZ128" s="174"/>
      <c r="BA128" s="174"/>
      <c r="BB128" s="174"/>
      <c r="BC128" s="174"/>
      <c r="BD128" s="174"/>
      <c r="BE128" s="174"/>
      <c r="BF128" s="174"/>
      <c r="BG128" s="174"/>
      <c r="BH128" s="174"/>
      <c r="BI128" s="175">
        <f t="shared" si="30"/>
        <v>0</v>
      </c>
      <c r="BJ128" s="175">
        <f t="shared" si="31"/>
        <v>0</v>
      </c>
      <c r="BK128" s="176"/>
      <c r="BL128" s="170"/>
      <c r="BM128" s="170"/>
      <c r="BN128" s="170"/>
      <c r="BO128" s="172"/>
      <c r="BP128" s="172"/>
      <c r="BQ128" s="172"/>
      <c r="BR128" s="172"/>
      <c r="BS128" s="172"/>
      <c r="BT128" s="172"/>
      <c r="BU128" s="172"/>
      <c r="BV128" s="172"/>
      <c r="BW128" s="172"/>
      <c r="BX128" s="172"/>
      <c r="BY128" s="172"/>
      <c r="BZ128" s="172"/>
      <c r="CA128" s="172">
        <f t="shared" si="23"/>
        <v>0</v>
      </c>
      <c r="CB128" s="172">
        <f t="shared" si="24"/>
        <v>0</v>
      </c>
      <c r="CC128" s="494" t="e">
        <f t="shared" si="25"/>
        <v>#DIV/0!</v>
      </c>
      <c r="CD128" s="192"/>
      <c r="CE128" s="192"/>
      <c r="CF128" s="172"/>
      <c r="CG128" s="172"/>
      <c r="CH128" s="172"/>
      <c r="CI128" s="172"/>
      <c r="CJ128" s="172"/>
      <c r="CK128" s="172"/>
      <c r="CL128" s="172"/>
      <c r="CM128" s="172"/>
      <c r="CN128" s="172"/>
      <c r="CO128" s="172"/>
      <c r="CP128" s="172"/>
      <c r="CQ128" s="172"/>
      <c r="CR128" s="172"/>
      <c r="CS128" s="172">
        <v>0</v>
      </c>
      <c r="CT128" s="172">
        <v>0</v>
      </c>
      <c r="CU128" s="192" t="e">
        <v>#DIV/0!</v>
      </c>
    </row>
    <row r="129" spans="1:99" s="68" customFormat="1" x14ac:dyDescent="0.25">
      <c r="A129" s="490">
        <v>130</v>
      </c>
      <c r="B129" s="63" t="s">
        <v>194</v>
      </c>
      <c r="C129" s="490">
        <v>1172</v>
      </c>
      <c r="D129" s="63" t="s">
        <v>196</v>
      </c>
      <c r="E129" s="490">
        <v>1</v>
      </c>
      <c r="F129" s="559" t="s">
        <v>53</v>
      </c>
      <c r="G129" s="559">
        <v>400</v>
      </c>
      <c r="H129" s="559" t="s">
        <v>61</v>
      </c>
      <c r="I129" s="559" t="s">
        <v>197</v>
      </c>
      <c r="J129" s="560"/>
      <c r="K129" s="560"/>
      <c r="L129" s="166" t="s">
        <v>683</v>
      </c>
      <c r="M129" s="166" t="s">
        <v>198</v>
      </c>
      <c r="N129" s="166" t="s">
        <v>329</v>
      </c>
      <c r="O129" s="166" t="s">
        <v>320</v>
      </c>
      <c r="P129" s="180">
        <v>41635</v>
      </c>
      <c r="Q129" s="173"/>
      <c r="R129" s="166" t="s">
        <v>337</v>
      </c>
      <c r="S129" s="166" t="s">
        <v>684</v>
      </c>
      <c r="T129" s="199" t="s">
        <v>685</v>
      </c>
      <c r="U129" s="166" t="s">
        <v>686</v>
      </c>
      <c r="V129" s="166">
        <v>4206807</v>
      </c>
      <c r="W129" s="173"/>
      <c r="X129" s="166" t="s">
        <v>315</v>
      </c>
      <c r="Y129" s="166"/>
      <c r="Z129" s="174">
        <v>828</v>
      </c>
      <c r="AA129" s="175">
        <v>11580000</v>
      </c>
      <c r="AB129" s="174">
        <v>872</v>
      </c>
      <c r="AC129" s="175">
        <v>11580000</v>
      </c>
      <c r="AD129" s="175">
        <v>0</v>
      </c>
      <c r="AE129" s="175">
        <v>0</v>
      </c>
      <c r="AF129" s="175">
        <v>0</v>
      </c>
      <c r="AG129" s="175">
        <v>0</v>
      </c>
      <c r="AH129" s="175">
        <v>0</v>
      </c>
      <c r="AI129" s="175">
        <v>0</v>
      </c>
      <c r="AJ129" s="175">
        <v>0</v>
      </c>
      <c r="AK129" s="175">
        <v>0</v>
      </c>
      <c r="AL129" s="175">
        <v>0</v>
      </c>
      <c r="AM129" s="175">
        <v>0</v>
      </c>
      <c r="AN129" s="175">
        <v>0</v>
      </c>
      <c r="AO129" s="175">
        <v>0</v>
      </c>
      <c r="AP129" s="175">
        <f>SUM(AD129:AO129)</f>
        <v>0</v>
      </c>
      <c r="AQ129" s="175">
        <f>+AC129-AP129</f>
        <v>11580000</v>
      </c>
      <c r="AR129" s="176">
        <f>AP129/AC129</f>
        <v>0</v>
      </c>
      <c r="AS129" s="176"/>
      <c r="AT129" s="174">
        <v>208</v>
      </c>
      <c r="AU129" s="174">
        <v>208</v>
      </c>
      <c r="AV129" s="175">
        <v>11580000</v>
      </c>
      <c r="AW129" s="174">
        <v>0</v>
      </c>
      <c r="AX129" s="174">
        <v>0</v>
      </c>
      <c r="AY129" s="174">
        <v>0</v>
      </c>
      <c r="AZ129" s="174">
        <v>1930000</v>
      </c>
      <c r="BA129" s="174">
        <v>1930000</v>
      </c>
      <c r="BB129" s="174">
        <v>3860000</v>
      </c>
      <c r="BC129" s="174">
        <v>0</v>
      </c>
      <c r="BD129" s="174">
        <v>1930000</v>
      </c>
      <c r="BE129" s="174">
        <v>0</v>
      </c>
      <c r="BF129" s="174">
        <v>0</v>
      </c>
      <c r="BG129" s="174">
        <v>0</v>
      </c>
      <c r="BH129" s="174">
        <v>1930000</v>
      </c>
      <c r="BI129" s="175">
        <f t="shared" si="30"/>
        <v>11580000</v>
      </c>
      <c r="BJ129" s="175">
        <f t="shared" si="31"/>
        <v>0</v>
      </c>
      <c r="BK129" s="176">
        <f>+BI129/AV129</f>
        <v>1</v>
      </c>
      <c r="BL129" s="170"/>
      <c r="BM129" s="170"/>
      <c r="BN129" s="170"/>
      <c r="BO129" s="172"/>
      <c r="BP129" s="172"/>
      <c r="BQ129" s="172"/>
      <c r="BR129" s="172"/>
      <c r="BS129" s="172"/>
      <c r="BT129" s="172"/>
      <c r="BU129" s="172"/>
      <c r="BV129" s="172"/>
      <c r="BW129" s="172"/>
      <c r="BX129" s="172"/>
      <c r="BY129" s="172"/>
      <c r="BZ129" s="172"/>
      <c r="CA129" s="172">
        <f t="shared" si="23"/>
        <v>0</v>
      </c>
      <c r="CB129" s="172">
        <f t="shared" si="24"/>
        <v>0</v>
      </c>
      <c r="CC129" s="494" t="e">
        <f t="shared" si="25"/>
        <v>#DIV/0!</v>
      </c>
      <c r="CD129" s="192"/>
      <c r="CE129" s="192"/>
      <c r="CF129" s="172"/>
      <c r="CG129" s="172"/>
      <c r="CH129" s="172"/>
      <c r="CI129" s="172"/>
      <c r="CJ129" s="172"/>
      <c r="CK129" s="172"/>
      <c r="CL129" s="172"/>
      <c r="CM129" s="172"/>
      <c r="CN129" s="172"/>
      <c r="CO129" s="172"/>
      <c r="CP129" s="172"/>
      <c r="CQ129" s="172"/>
      <c r="CR129" s="172"/>
      <c r="CS129" s="172">
        <v>0</v>
      </c>
      <c r="CT129" s="172">
        <v>0</v>
      </c>
      <c r="CU129" s="192" t="e">
        <v>#DIV/0!</v>
      </c>
    </row>
    <row r="130" spans="1:99" s="68" customFormat="1" x14ac:dyDescent="0.25">
      <c r="A130" s="490">
        <v>130</v>
      </c>
      <c r="B130" s="63" t="s">
        <v>194</v>
      </c>
      <c r="C130" s="490">
        <v>1172</v>
      </c>
      <c r="D130" s="63" t="s">
        <v>196</v>
      </c>
      <c r="E130" s="490">
        <v>1</v>
      </c>
      <c r="F130" s="559"/>
      <c r="G130" s="559"/>
      <c r="H130" s="559"/>
      <c r="I130" s="559"/>
      <c r="J130" s="561"/>
      <c r="K130" s="561"/>
      <c r="L130" s="166" t="s">
        <v>687</v>
      </c>
      <c r="M130" s="166" t="s">
        <v>198</v>
      </c>
      <c r="N130" s="189" t="s">
        <v>409</v>
      </c>
      <c r="O130" s="166" t="s">
        <v>356</v>
      </c>
      <c r="P130" s="180">
        <v>41619</v>
      </c>
      <c r="Q130" s="173"/>
      <c r="R130" s="166" t="s">
        <v>337</v>
      </c>
      <c r="S130" s="189" t="s">
        <v>688</v>
      </c>
      <c r="T130" s="199" t="s">
        <v>685</v>
      </c>
      <c r="U130" s="166" t="s">
        <v>689</v>
      </c>
      <c r="V130" s="189">
        <v>900175862</v>
      </c>
      <c r="W130" s="173"/>
      <c r="X130" s="173"/>
      <c r="Y130" s="166"/>
      <c r="Z130" s="174">
        <v>783</v>
      </c>
      <c r="AA130" s="175">
        <v>118420000</v>
      </c>
      <c r="AB130" s="174">
        <v>842</v>
      </c>
      <c r="AC130" s="175">
        <v>117235800</v>
      </c>
      <c r="AD130" s="175">
        <v>0</v>
      </c>
      <c r="AE130" s="175">
        <v>0</v>
      </c>
      <c r="AF130" s="175">
        <v>0</v>
      </c>
      <c r="AG130" s="175">
        <v>0</v>
      </c>
      <c r="AH130" s="175">
        <v>0</v>
      </c>
      <c r="AI130" s="175">
        <v>0</v>
      </c>
      <c r="AJ130" s="175">
        <v>0</v>
      </c>
      <c r="AK130" s="175">
        <v>0</v>
      </c>
      <c r="AL130" s="175">
        <v>0</v>
      </c>
      <c r="AM130" s="175">
        <v>0</v>
      </c>
      <c r="AN130" s="175">
        <v>0</v>
      </c>
      <c r="AO130" s="175">
        <v>0</v>
      </c>
      <c r="AP130" s="175">
        <f>SUM(AD130:AO130)</f>
        <v>0</v>
      </c>
      <c r="AQ130" s="175">
        <f>+AC130-AP130</f>
        <v>117235800</v>
      </c>
      <c r="AR130" s="176">
        <f>AP130/AC130</f>
        <v>0</v>
      </c>
      <c r="AS130" s="176"/>
      <c r="AT130" s="174">
        <v>53</v>
      </c>
      <c r="AU130" s="174">
        <v>55</v>
      </c>
      <c r="AV130" s="175">
        <v>115307133</v>
      </c>
      <c r="AW130" s="174">
        <v>35170740</v>
      </c>
      <c r="AX130" s="174">
        <v>0</v>
      </c>
      <c r="AY130" s="174">
        <v>0</v>
      </c>
      <c r="AZ130" s="174">
        <v>0</v>
      </c>
      <c r="BA130" s="174">
        <v>0</v>
      </c>
      <c r="BB130" s="174">
        <v>20104451</v>
      </c>
      <c r="BC130" s="174">
        <v>0</v>
      </c>
      <c r="BD130" s="174">
        <v>23638974</v>
      </c>
      <c r="BE130" s="174">
        <v>0</v>
      </c>
      <c r="BF130" s="174">
        <v>0</v>
      </c>
      <c r="BG130" s="174">
        <v>0</v>
      </c>
      <c r="BH130" s="174">
        <v>36392968</v>
      </c>
      <c r="BI130" s="175">
        <f t="shared" si="30"/>
        <v>115307133</v>
      </c>
      <c r="BJ130" s="175">
        <f t="shared" si="31"/>
        <v>0</v>
      </c>
      <c r="BK130" s="176">
        <f>+BI130/AV130</f>
        <v>1</v>
      </c>
      <c r="BL130" s="170"/>
      <c r="BM130" s="170"/>
      <c r="BN130" s="170"/>
      <c r="BO130" s="172"/>
      <c r="BP130" s="172"/>
      <c r="BQ130" s="172"/>
      <c r="BR130" s="172"/>
      <c r="BS130" s="172"/>
      <c r="BT130" s="172"/>
      <c r="BU130" s="172"/>
      <c r="BV130" s="172"/>
      <c r="BW130" s="172"/>
      <c r="BX130" s="172"/>
      <c r="BY130" s="172"/>
      <c r="BZ130" s="172"/>
      <c r="CA130" s="172">
        <f t="shared" si="23"/>
        <v>0</v>
      </c>
      <c r="CB130" s="172">
        <f t="shared" si="24"/>
        <v>0</v>
      </c>
      <c r="CC130" s="494" t="e">
        <f t="shared" si="25"/>
        <v>#DIV/0!</v>
      </c>
      <c r="CD130" s="192"/>
      <c r="CE130" s="192"/>
      <c r="CF130" s="172"/>
      <c r="CG130" s="172"/>
      <c r="CH130" s="172"/>
      <c r="CI130" s="172"/>
      <c r="CJ130" s="172"/>
      <c r="CK130" s="172"/>
      <c r="CL130" s="172"/>
      <c r="CM130" s="172"/>
      <c r="CN130" s="172"/>
      <c r="CO130" s="172"/>
      <c r="CP130" s="172"/>
      <c r="CQ130" s="172"/>
      <c r="CR130" s="172"/>
      <c r="CS130" s="172">
        <v>0</v>
      </c>
      <c r="CT130" s="172">
        <v>0</v>
      </c>
      <c r="CU130" s="192" t="e">
        <v>#DIV/0!</v>
      </c>
    </row>
    <row r="131" spans="1:99" s="68" customFormat="1" x14ac:dyDescent="0.25">
      <c r="A131" s="490">
        <v>130</v>
      </c>
      <c r="B131" s="63" t="s">
        <v>194</v>
      </c>
      <c r="C131" s="490">
        <v>1172</v>
      </c>
      <c r="D131" s="63" t="s">
        <v>196</v>
      </c>
      <c r="E131" s="490">
        <v>1</v>
      </c>
      <c r="F131" s="559"/>
      <c r="G131" s="559"/>
      <c r="H131" s="559"/>
      <c r="I131" s="559"/>
      <c r="J131" s="561"/>
      <c r="K131" s="561"/>
      <c r="L131" s="166"/>
      <c r="M131" s="166"/>
      <c r="N131" s="173"/>
      <c r="O131" s="166"/>
      <c r="P131" s="173"/>
      <c r="Q131" s="173"/>
      <c r="R131" s="173"/>
      <c r="S131" s="166"/>
      <c r="T131" s="173"/>
      <c r="U131" s="166"/>
      <c r="V131" s="173"/>
      <c r="W131" s="173"/>
      <c r="X131" s="173"/>
      <c r="Y131" s="166"/>
      <c r="Z131" s="174"/>
      <c r="AA131" s="175"/>
      <c r="AB131" s="174"/>
      <c r="AC131" s="175"/>
      <c r="AD131" s="175"/>
      <c r="AE131" s="175"/>
      <c r="AF131" s="175"/>
      <c r="AG131" s="175"/>
      <c r="AH131" s="175"/>
      <c r="AI131" s="175"/>
      <c r="AJ131" s="175"/>
      <c r="AK131" s="175"/>
      <c r="AL131" s="175"/>
      <c r="AM131" s="175"/>
      <c r="AN131" s="175"/>
      <c r="AO131" s="175"/>
      <c r="AP131" s="175"/>
      <c r="AQ131" s="175"/>
      <c r="AR131" s="176"/>
      <c r="AS131" s="176"/>
      <c r="AT131" s="174"/>
      <c r="AU131" s="174"/>
      <c r="AV131" s="175"/>
      <c r="AW131" s="174"/>
      <c r="AX131" s="174"/>
      <c r="AY131" s="174"/>
      <c r="AZ131" s="174"/>
      <c r="BA131" s="174"/>
      <c r="BB131" s="174"/>
      <c r="BC131" s="174"/>
      <c r="BD131" s="174"/>
      <c r="BE131" s="174"/>
      <c r="BF131" s="174"/>
      <c r="BG131" s="174"/>
      <c r="BH131" s="174"/>
      <c r="BI131" s="175">
        <f t="shared" ref="BI131:BI162" si="39">SUM(AW131:BH131)</f>
        <v>0</v>
      </c>
      <c r="BJ131" s="175">
        <f t="shared" ref="BJ131:BJ162" si="40">+AV131-BI131</f>
        <v>0</v>
      </c>
      <c r="BK131" s="176"/>
      <c r="BL131" s="170"/>
      <c r="BM131" s="170"/>
      <c r="BN131" s="170"/>
      <c r="BO131" s="172"/>
      <c r="BP131" s="172"/>
      <c r="BQ131" s="172"/>
      <c r="BR131" s="172"/>
      <c r="BS131" s="172"/>
      <c r="BT131" s="172"/>
      <c r="BU131" s="172"/>
      <c r="BV131" s="172"/>
      <c r="BW131" s="172"/>
      <c r="BX131" s="172"/>
      <c r="BY131" s="172"/>
      <c r="BZ131" s="172"/>
      <c r="CA131" s="172">
        <f t="shared" si="23"/>
        <v>0</v>
      </c>
      <c r="CB131" s="172">
        <f t="shared" si="24"/>
        <v>0</v>
      </c>
      <c r="CC131" s="494" t="e">
        <f t="shared" si="25"/>
        <v>#DIV/0!</v>
      </c>
      <c r="CD131" s="192"/>
      <c r="CE131" s="192"/>
      <c r="CF131" s="172"/>
      <c r="CG131" s="172"/>
      <c r="CH131" s="172"/>
      <c r="CI131" s="172"/>
      <c r="CJ131" s="172"/>
      <c r="CK131" s="172"/>
      <c r="CL131" s="172"/>
      <c r="CM131" s="172"/>
      <c r="CN131" s="172"/>
      <c r="CO131" s="172"/>
      <c r="CP131" s="172"/>
      <c r="CQ131" s="172"/>
      <c r="CR131" s="172"/>
      <c r="CS131" s="172">
        <v>0</v>
      </c>
      <c r="CT131" s="172">
        <v>0</v>
      </c>
      <c r="CU131" s="192" t="e">
        <v>#DIV/0!</v>
      </c>
    </row>
    <row r="132" spans="1:99" s="68" customFormat="1" x14ac:dyDescent="0.25">
      <c r="A132" s="490">
        <v>131</v>
      </c>
      <c r="B132" s="63" t="s">
        <v>201</v>
      </c>
      <c r="C132" s="490">
        <v>1174</v>
      </c>
      <c r="D132" s="63" t="s">
        <v>202</v>
      </c>
      <c r="E132" s="490">
        <v>1</v>
      </c>
      <c r="F132" s="559" t="s">
        <v>53</v>
      </c>
      <c r="G132" s="559">
        <v>160</v>
      </c>
      <c r="H132" s="559" t="s">
        <v>61</v>
      </c>
      <c r="I132" s="559" t="s">
        <v>203</v>
      </c>
      <c r="J132" s="560"/>
      <c r="K132" s="560"/>
      <c r="L132" s="166" t="s">
        <v>690</v>
      </c>
      <c r="M132" s="166" t="s">
        <v>198</v>
      </c>
      <c r="N132" s="189" t="s">
        <v>319</v>
      </c>
      <c r="O132" s="166" t="s">
        <v>400</v>
      </c>
      <c r="P132" s="180">
        <v>41586</v>
      </c>
      <c r="Q132" s="173"/>
      <c r="R132" s="166" t="s">
        <v>357</v>
      </c>
      <c r="S132" s="189" t="s">
        <v>691</v>
      </c>
      <c r="T132" s="199" t="s">
        <v>692</v>
      </c>
      <c r="U132" s="166" t="s">
        <v>693</v>
      </c>
      <c r="V132" s="189">
        <v>900219569</v>
      </c>
      <c r="W132" s="173"/>
      <c r="X132" s="173"/>
      <c r="Y132" s="166"/>
      <c r="Z132" s="174">
        <v>814</v>
      </c>
      <c r="AA132" s="175">
        <v>174000000</v>
      </c>
      <c r="AB132" s="174">
        <v>786</v>
      </c>
      <c r="AC132" s="175">
        <v>174000000</v>
      </c>
      <c r="AD132" s="175">
        <v>0</v>
      </c>
      <c r="AE132" s="175">
        <v>0</v>
      </c>
      <c r="AF132" s="175">
        <v>0</v>
      </c>
      <c r="AG132" s="175">
        <v>0</v>
      </c>
      <c r="AH132" s="175">
        <v>0</v>
      </c>
      <c r="AI132" s="175">
        <v>0</v>
      </c>
      <c r="AJ132" s="175">
        <v>0</v>
      </c>
      <c r="AK132" s="175">
        <v>0</v>
      </c>
      <c r="AL132" s="175">
        <v>0</v>
      </c>
      <c r="AM132" s="175">
        <v>0</v>
      </c>
      <c r="AN132" s="175">
        <v>0</v>
      </c>
      <c r="AO132" s="175">
        <v>0</v>
      </c>
      <c r="AP132" s="175">
        <f>SUM(AD132:AO132)</f>
        <v>0</v>
      </c>
      <c r="AQ132" s="175">
        <f>+AC132-AP132</f>
        <v>174000000</v>
      </c>
      <c r="AR132" s="176">
        <f>AP132/AC132</f>
        <v>0</v>
      </c>
      <c r="AS132" s="176"/>
      <c r="AT132" s="174">
        <v>209</v>
      </c>
      <c r="AU132" s="174">
        <v>209</v>
      </c>
      <c r="AV132" s="175">
        <v>173840000</v>
      </c>
      <c r="AW132" s="174">
        <v>0</v>
      </c>
      <c r="AX132" s="174">
        <v>0</v>
      </c>
      <c r="AY132" s="174">
        <v>0</v>
      </c>
      <c r="AZ132" s="174">
        <v>52880000</v>
      </c>
      <c r="BA132" s="174">
        <v>0</v>
      </c>
      <c r="BB132" s="174">
        <v>78010000</v>
      </c>
      <c r="BC132" s="174">
        <v>0</v>
      </c>
      <c r="BD132" s="174">
        <v>0</v>
      </c>
      <c r="BE132" s="174">
        <v>0</v>
      </c>
      <c r="BF132" s="174">
        <v>0</v>
      </c>
      <c r="BG132" s="174">
        <v>42950000</v>
      </c>
      <c r="BH132" s="174">
        <v>0</v>
      </c>
      <c r="BI132" s="175">
        <f t="shared" si="39"/>
        <v>173840000</v>
      </c>
      <c r="BJ132" s="175">
        <f t="shared" si="40"/>
        <v>0</v>
      </c>
      <c r="BK132" s="176">
        <f>+BI132/AV132</f>
        <v>1</v>
      </c>
      <c r="BL132" s="170"/>
      <c r="BM132" s="170"/>
      <c r="BN132" s="170"/>
      <c r="BO132" s="172"/>
      <c r="BP132" s="172"/>
      <c r="BQ132" s="172"/>
      <c r="BR132" s="172"/>
      <c r="BS132" s="172"/>
      <c r="BT132" s="172"/>
      <c r="BU132" s="172"/>
      <c r="BV132" s="172"/>
      <c r="BW132" s="172"/>
      <c r="BX132" s="172"/>
      <c r="BY132" s="172"/>
      <c r="BZ132" s="172"/>
      <c r="CA132" s="172">
        <f t="shared" ref="CA132:CA176" si="41">SUM(BO132:BZ132)</f>
        <v>0</v>
      </c>
      <c r="CB132" s="172">
        <f t="shared" ref="CB132:CB176" si="42">+BN132-CA132</f>
        <v>0</v>
      </c>
      <c r="CC132" s="494" t="e">
        <f t="shared" ref="CC132:CC176" si="43">+CA132/BN132</f>
        <v>#DIV/0!</v>
      </c>
      <c r="CD132" s="192"/>
      <c r="CE132" s="192"/>
      <c r="CF132" s="172"/>
      <c r="CG132" s="172"/>
      <c r="CH132" s="172"/>
      <c r="CI132" s="172"/>
      <c r="CJ132" s="172"/>
      <c r="CK132" s="172"/>
      <c r="CL132" s="172"/>
      <c r="CM132" s="172"/>
      <c r="CN132" s="172"/>
      <c r="CO132" s="172"/>
      <c r="CP132" s="172"/>
      <c r="CQ132" s="172"/>
      <c r="CR132" s="172"/>
      <c r="CS132" s="172">
        <v>0</v>
      </c>
      <c r="CT132" s="172">
        <v>0</v>
      </c>
      <c r="CU132" s="192" t="e">
        <v>#DIV/0!</v>
      </c>
    </row>
    <row r="133" spans="1:99" s="68" customFormat="1" x14ac:dyDescent="0.25">
      <c r="A133" s="490">
        <v>131</v>
      </c>
      <c r="B133" s="63" t="s">
        <v>201</v>
      </c>
      <c r="C133" s="490">
        <v>1174</v>
      </c>
      <c r="D133" s="63" t="s">
        <v>202</v>
      </c>
      <c r="E133" s="490">
        <v>1</v>
      </c>
      <c r="F133" s="559"/>
      <c r="G133" s="559"/>
      <c r="H133" s="559"/>
      <c r="I133" s="559"/>
      <c r="J133" s="561"/>
      <c r="K133" s="561"/>
      <c r="L133" s="166" t="s">
        <v>694</v>
      </c>
      <c r="M133" s="166" t="s">
        <v>198</v>
      </c>
      <c r="N133" s="189" t="s">
        <v>349</v>
      </c>
      <c r="O133" s="166" t="s">
        <v>320</v>
      </c>
      <c r="P133" s="180">
        <v>41619</v>
      </c>
      <c r="Q133" s="180">
        <v>41621</v>
      </c>
      <c r="R133" s="166" t="s">
        <v>357</v>
      </c>
      <c r="S133" s="189" t="s">
        <v>695</v>
      </c>
      <c r="T133" s="199" t="s">
        <v>696</v>
      </c>
      <c r="U133" s="166" t="s">
        <v>372</v>
      </c>
      <c r="V133" s="189">
        <v>17904681</v>
      </c>
      <c r="W133" s="173"/>
      <c r="X133" s="173"/>
      <c r="Y133" s="166"/>
      <c r="Z133" s="174">
        <v>844</v>
      </c>
      <c r="AA133" s="175">
        <v>10200000</v>
      </c>
      <c r="AB133" s="174">
        <v>844</v>
      </c>
      <c r="AC133" s="175">
        <v>9500000</v>
      </c>
      <c r="AD133" s="175">
        <v>0</v>
      </c>
      <c r="AE133" s="175">
        <v>0</v>
      </c>
      <c r="AF133" s="175">
        <v>0</v>
      </c>
      <c r="AG133" s="175">
        <v>0</v>
      </c>
      <c r="AH133" s="175">
        <v>0</v>
      </c>
      <c r="AI133" s="175">
        <v>0</v>
      </c>
      <c r="AJ133" s="175">
        <v>0</v>
      </c>
      <c r="AK133" s="175">
        <v>0</v>
      </c>
      <c r="AL133" s="175">
        <v>0</v>
      </c>
      <c r="AM133" s="175">
        <v>0</v>
      </c>
      <c r="AN133" s="175">
        <v>0</v>
      </c>
      <c r="AO133" s="175">
        <v>0</v>
      </c>
      <c r="AP133" s="175">
        <f>SUM(AD133:AO133)</f>
        <v>0</v>
      </c>
      <c r="AQ133" s="175">
        <f>+AC133-AP133</f>
        <v>9500000</v>
      </c>
      <c r="AR133" s="176">
        <f>AP133/AC133</f>
        <v>0</v>
      </c>
      <c r="AS133" s="176"/>
      <c r="AT133" s="174">
        <v>210</v>
      </c>
      <c r="AU133" s="174">
        <v>210</v>
      </c>
      <c r="AV133" s="175">
        <v>9500000</v>
      </c>
      <c r="AW133" s="174">
        <v>0</v>
      </c>
      <c r="AX133" s="174">
        <v>0</v>
      </c>
      <c r="AY133" s="174">
        <v>1900000</v>
      </c>
      <c r="AZ133" s="174">
        <v>1900000</v>
      </c>
      <c r="BA133" s="174">
        <v>1900000</v>
      </c>
      <c r="BB133" s="174">
        <v>0</v>
      </c>
      <c r="BC133" s="174">
        <v>0</v>
      </c>
      <c r="BD133" s="174">
        <v>0</v>
      </c>
      <c r="BE133" s="174">
        <v>0</v>
      </c>
      <c r="BF133" s="174">
        <v>0</v>
      </c>
      <c r="BG133" s="174">
        <v>0</v>
      </c>
      <c r="BH133" s="174">
        <v>3800000</v>
      </c>
      <c r="BI133" s="175">
        <f t="shared" si="39"/>
        <v>9500000</v>
      </c>
      <c r="BJ133" s="175">
        <f t="shared" si="40"/>
        <v>0</v>
      </c>
      <c r="BK133" s="176">
        <f>+BI133/AV133</f>
        <v>1</v>
      </c>
      <c r="BL133" s="170"/>
      <c r="BM133" s="170"/>
      <c r="BN133" s="170"/>
      <c r="BO133" s="172"/>
      <c r="BP133" s="172"/>
      <c r="BQ133" s="172"/>
      <c r="BR133" s="172"/>
      <c r="BS133" s="172"/>
      <c r="BT133" s="172"/>
      <c r="BU133" s="172"/>
      <c r="BV133" s="172"/>
      <c r="BW133" s="172"/>
      <c r="BX133" s="172"/>
      <c r="BY133" s="172"/>
      <c r="BZ133" s="172"/>
      <c r="CA133" s="172">
        <f t="shared" si="41"/>
        <v>0</v>
      </c>
      <c r="CB133" s="172">
        <f t="shared" si="42"/>
        <v>0</v>
      </c>
      <c r="CC133" s="494" t="e">
        <f t="shared" si="43"/>
        <v>#DIV/0!</v>
      </c>
      <c r="CD133" s="192"/>
      <c r="CE133" s="192"/>
      <c r="CF133" s="172"/>
      <c r="CG133" s="172"/>
      <c r="CH133" s="172"/>
      <c r="CI133" s="172"/>
      <c r="CJ133" s="172"/>
      <c r="CK133" s="172"/>
      <c r="CL133" s="172"/>
      <c r="CM133" s="172"/>
      <c r="CN133" s="172"/>
      <c r="CO133" s="172"/>
      <c r="CP133" s="172"/>
      <c r="CQ133" s="172"/>
      <c r="CR133" s="172"/>
      <c r="CS133" s="172">
        <v>0</v>
      </c>
      <c r="CT133" s="172">
        <v>0</v>
      </c>
      <c r="CU133" s="192" t="e">
        <v>#DIV/0!</v>
      </c>
    </row>
    <row r="134" spans="1:99" s="68" customFormat="1" x14ac:dyDescent="0.25">
      <c r="A134" s="490">
        <v>131</v>
      </c>
      <c r="B134" s="63" t="s">
        <v>201</v>
      </c>
      <c r="C134" s="490">
        <v>1174</v>
      </c>
      <c r="D134" s="63" t="s">
        <v>202</v>
      </c>
      <c r="E134" s="490">
        <v>1</v>
      </c>
      <c r="F134" s="559"/>
      <c r="G134" s="559"/>
      <c r="H134" s="559"/>
      <c r="I134" s="559"/>
      <c r="J134" s="561"/>
      <c r="K134" s="561"/>
      <c r="L134" s="166"/>
      <c r="M134" s="166"/>
      <c r="N134" s="166"/>
      <c r="O134" s="166"/>
      <c r="P134" s="180"/>
      <c r="Q134" s="180"/>
      <c r="R134" s="166"/>
      <c r="S134" s="166"/>
      <c r="T134" s="166"/>
      <c r="U134" s="166"/>
      <c r="V134" s="166"/>
      <c r="W134" s="166"/>
      <c r="X134" s="166"/>
      <c r="Y134" s="166"/>
      <c r="Z134" s="174"/>
      <c r="AA134" s="175"/>
      <c r="AB134" s="174"/>
      <c r="AC134" s="175"/>
      <c r="AD134" s="175"/>
      <c r="AE134" s="175"/>
      <c r="AF134" s="175"/>
      <c r="AG134" s="175"/>
      <c r="AH134" s="175"/>
      <c r="AI134" s="175"/>
      <c r="AJ134" s="175"/>
      <c r="AK134" s="175"/>
      <c r="AL134" s="175"/>
      <c r="AM134" s="175"/>
      <c r="AN134" s="175"/>
      <c r="AO134" s="175"/>
      <c r="AP134" s="175"/>
      <c r="AQ134" s="175"/>
      <c r="AR134" s="176"/>
      <c r="AS134" s="176"/>
      <c r="AT134" s="174"/>
      <c r="AU134" s="174"/>
      <c r="AV134" s="175"/>
      <c r="AW134" s="174"/>
      <c r="AX134" s="174"/>
      <c r="AY134" s="174"/>
      <c r="AZ134" s="174"/>
      <c r="BA134" s="174"/>
      <c r="BB134" s="174"/>
      <c r="BC134" s="174"/>
      <c r="BD134" s="174"/>
      <c r="BE134" s="174"/>
      <c r="BF134" s="174"/>
      <c r="BG134" s="174"/>
      <c r="BH134" s="174"/>
      <c r="BI134" s="175">
        <f t="shared" si="39"/>
        <v>0</v>
      </c>
      <c r="BJ134" s="175">
        <f t="shared" si="40"/>
        <v>0</v>
      </c>
      <c r="BK134" s="176"/>
      <c r="BL134" s="170"/>
      <c r="BM134" s="170"/>
      <c r="BN134" s="170"/>
      <c r="BO134" s="172"/>
      <c r="BP134" s="172"/>
      <c r="BQ134" s="172"/>
      <c r="BR134" s="172"/>
      <c r="BS134" s="172"/>
      <c r="BT134" s="172"/>
      <c r="BU134" s="172"/>
      <c r="BV134" s="172"/>
      <c r="BW134" s="172"/>
      <c r="BX134" s="172"/>
      <c r="BY134" s="172"/>
      <c r="BZ134" s="172"/>
      <c r="CA134" s="172">
        <f t="shared" si="41"/>
        <v>0</v>
      </c>
      <c r="CB134" s="172">
        <f t="shared" si="42"/>
        <v>0</v>
      </c>
      <c r="CC134" s="494" t="e">
        <f t="shared" si="43"/>
        <v>#DIV/0!</v>
      </c>
      <c r="CD134" s="192"/>
      <c r="CE134" s="192"/>
      <c r="CF134" s="172"/>
      <c r="CG134" s="172"/>
      <c r="CH134" s="172"/>
      <c r="CI134" s="172"/>
      <c r="CJ134" s="172"/>
      <c r="CK134" s="172"/>
      <c r="CL134" s="172"/>
      <c r="CM134" s="172"/>
      <c r="CN134" s="172"/>
      <c r="CO134" s="172"/>
      <c r="CP134" s="172"/>
      <c r="CQ134" s="172"/>
      <c r="CR134" s="172"/>
      <c r="CS134" s="172">
        <v>0</v>
      </c>
      <c r="CT134" s="172">
        <v>0</v>
      </c>
      <c r="CU134" s="192" t="e">
        <v>#DIV/0!</v>
      </c>
    </row>
    <row r="135" spans="1:99" s="68" customFormat="1" x14ac:dyDescent="0.25">
      <c r="A135" s="490">
        <v>132</v>
      </c>
      <c r="B135" s="63" t="s">
        <v>206</v>
      </c>
      <c r="C135" s="490">
        <v>1177</v>
      </c>
      <c r="D135" s="63" t="s">
        <v>208</v>
      </c>
      <c r="E135" s="490">
        <v>1</v>
      </c>
      <c r="F135" s="559" t="s">
        <v>53</v>
      </c>
      <c r="G135" s="559">
        <v>600</v>
      </c>
      <c r="H135" s="559" t="s">
        <v>61</v>
      </c>
      <c r="I135" s="559" t="s">
        <v>209</v>
      </c>
      <c r="J135" s="560"/>
      <c r="K135" s="560"/>
      <c r="L135" s="166"/>
      <c r="M135" s="195"/>
      <c r="N135" s="173"/>
      <c r="O135" s="166"/>
      <c r="P135" s="173"/>
      <c r="Q135" s="173"/>
      <c r="R135" s="173"/>
      <c r="S135" s="166"/>
      <c r="T135" s="173"/>
      <c r="U135" s="166"/>
      <c r="V135" s="173"/>
      <c r="W135" s="173"/>
      <c r="X135" s="173"/>
      <c r="Y135" s="166"/>
      <c r="Z135" s="174"/>
      <c r="AA135" s="175"/>
      <c r="AB135" s="174"/>
      <c r="AC135" s="175"/>
      <c r="AD135" s="175"/>
      <c r="AE135" s="175"/>
      <c r="AF135" s="175"/>
      <c r="AG135" s="175"/>
      <c r="AH135" s="175"/>
      <c r="AI135" s="175"/>
      <c r="AJ135" s="175"/>
      <c r="AK135" s="175"/>
      <c r="AL135" s="175"/>
      <c r="AM135" s="175"/>
      <c r="AN135" s="175"/>
      <c r="AO135" s="175"/>
      <c r="AP135" s="175"/>
      <c r="AQ135" s="175"/>
      <c r="AR135" s="176"/>
      <c r="AS135" s="176"/>
      <c r="AT135" s="174"/>
      <c r="AU135" s="174"/>
      <c r="AV135" s="175"/>
      <c r="AW135" s="174"/>
      <c r="AX135" s="174"/>
      <c r="AY135" s="174"/>
      <c r="AZ135" s="174"/>
      <c r="BA135" s="174"/>
      <c r="BB135" s="174"/>
      <c r="BC135" s="174"/>
      <c r="BD135" s="174"/>
      <c r="BE135" s="174"/>
      <c r="BF135" s="174"/>
      <c r="BG135" s="174"/>
      <c r="BH135" s="174"/>
      <c r="BI135" s="175">
        <f t="shared" si="39"/>
        <v>0</v>
      </c>
      <c r="BJ135" s="175">
        <f t="shared" si="40"/>
        <v>0</v>
      </c>
      <c r="BK135" s="176"/>
      <c r="BL135" s="170"/>
      <c r="BM135" s="170"/>
      <c r="BN135" s="170"/>
      <c r="BO135" s="172"/>
      <c r="BP135" s="172"/>
      <c r="BQ135" s="172"/>
      <c r="BR135" s="172"/>
      <c r="BS135" s="172"/>
      <c r="BT135" s="172"/>
      <c r="BU135" s="172"/>
      <c r="BV135" s="172"/>
      <c r="BW135" s="172"/>
      <c r="BX135" s="172"/>
      <c r="BY135" s="172"/>
      <c r="BZ135" s="172"/>
      <c r="CA135" s="172">
        <f t="shared" si="41"/>
        <v>0</v>
      </c>
      <c r="CB135" s="172">
        <f t="shared" si="42"/>
        <v>0</v>
      </c>
      <c r="CC135" s="494" t="e">
        <f t="shared" si="43"/>
        <v>#DIV/0!</v>
      </c>
      <c r="CD135" s="192"/>
      <c r="CE135" s="192"/>
      <c r="CF135" s="172"/>
      <c r="CG135" s="172"/>
      <c r="CH135" s="172"/>
      <c r="CI135" s="172"/>
      <c r="CJ135" s="172"/>
      <c r="CK135" s="172"/>
      <c r="CL135" s="172"/>
      <c r="CM135" s="172"/>
      <c r="CN135" s="172"/>
      <c r="CO135" s="172"/>
      <c r="CP135" s="172"/>
      <c r="CQ135" s="172"/>
      <c r="CR135" s="172"/>
      <c r="CS135" s="172">
        <v>0</v>
      </c>
      <c r="CT135" s="172">
        <v>0</v>
      </c>
      <c r="CU135" s="192" t="e">
        <v>#DIV/0!</v>
      </c>
    </row>
    <row r="136" spans="1:99" s="68" customFormat="1" x14ac:dyDescent="0.25">
      <c r="A136" s="490">
        <v>132</v>
      </c>
      <c r="B136" s="63" t="s">
        <v>206</v>
      </c>
      <c r="C136" s="490">
        <v>1177</v>
      </c>
      <c r="D136" s="63" t="s">
        <v>208</v>
      </c>
      <c r="E136" s="490">
        <v>1</v>
      </c>
      <c r="F136" s="559"/>
      <c r="G136" s="559"/>
      <c r="H136" s="559"/>
      <c r="I136" s="559"/>
      <c r="J136" s="561"/>
      <c r="K136" s="561"/>
      <c r="L136" s="166"/>
      <c r="M136" s="166"/>
      <c r="N136" s="166"/>
      <c r="O136" s="166"/>
      <c r="P136" s="180"/>
      <c r="Q136" s="180"/>
      <c r="R136" s="166"/>
      <c r="S136" s="166"/>
      <c r="T136" s="166"/>
      <c r="U136" s="166"/>
      <c r="V136" s="166"/>
      <c r="W136" s="166"/>
      <c r="X136" s="166"/>
      <c r="Y136" s="166"/>
      <c r="Z136" s="174"/>
      <c r="AA136" s="175"/>
      <c r="AB136" s="174"/>
      <c r="AC136" s="175"/>
      <c r="AD136" s="175"/>
      <c r="AE136" s="175"/>
      <c r="AF136" s="175"/>
      <c r="AG136" s="175"/>
      <c r="AH136" s="175"/>
      <c r="AI136" s="175"/>
      <c r="AJ136" s="175"/>
      <c r="AK136" s="175"/>
      <c r="AL136" s="175"/>
      <c r="AM136" s="175"/>
      <c r="AN136" s="175"/>
      <c r="AO136" s="175"/>
      <c r="AP136" s="175"/>
      <c r="AQ136" s="175"/>
      <c r="AR136" s="176"/>
      <c r="AS136" s="176"/>
      <c r="AT136" s="174"/>
      <c r="AU136" s="174"/>
      <c r="AV136" s="175"/>
      <c r="AW136" s="174"/>
      <c r="AX136" s="174"/>
      <c r="AY136" s="174"/>
      <c r="AZ136" s="174"/>
      <c r="BA136" s="174"/>
      <c r="BB136" s="174"/>
      <c r="BC136" s="174"/>
      <c r="BD136" s="174"/>
      <c r="BE136" s="174"/>
      <c r="BF136" s="174"/>
      <c r="BG136" s="174"/>
      <c r="BH136" s="174"/>
      <c r="BI136" s="175">
        <f t="shared" si="39"/>
        <v>0</v>
      </c>
      <c r="BJ136" s="175">
        <f t="shared" si="40"/>
        <v>0</v>
      </c>
      <c r="BK136" s="176"/>
      <c r="BL136" s="170"/>
      <c r="BM136" s="170"/>
      <c r="BN136" s="170"/>
      <c r="BO136" s="172"/>
      <c r="BP136" s="172"/>
      <c r="BQ136" s="172"/>
      <c r="BR136" s="172"/>
      <c r="BS136" s="172"/>
      <c r="BT136" s="172"/>
      <c r="BU136" s="172"/>
      <c r="BV136" s="172"/>
      <c r="BW136" s="172"/>
      <c r="BX136" s="172"/>
      <c r="BY136" s="172"/>
      <c r="BZ136" s="172"/>
      <c r="CA136" s="172">
        <f t="shared" si="41"/>
        <v>0</v>
      </c>
      <c r="CB136" s="172">
        <f t="shared" si="42"/>
        <v>0</v>
      </c>
      <c r="CC136" s="494" t="e">
        <f t="shared" si="43"/>
        <v>#DIV/0!</v>
      </c>
      <c r="CD136" s="192"/>
      <c r="CE136" s="192"/>
      <c r="CF136" s="172"/>
      <c r="CG136" s="172"/>
      <c r="CH136" s="172"/>
      <c r="CI136" s="172"/>
      <c r="CJ136" s="172"/>
      <c r="CK136" s="172"/>
      <c r="CL136" s="172"/>
      <c r="CM136" s="172"/>
      <c r="CN136" s="172"/>
      <c r="CO136" s="172"/>
      <c r="CP136" s="172"/>
      <c r="CQ136" s="172"/>
      <c r="CR136" s="172"/>
      <c r="CS136" s="172">
        <v>0</v>
      </c>
      <c r="CT136" s="172">
        <v>0</v>
      </c>
      <c r="CU136" s="192" t="e">
        <v>#DIV/0!</v>
      </c>
    </row>
    <row r="137" spans="1:99" s="68" customFormat="1" x14ac:dyDescent="0.25">
      <c r="A137" s="490">
        <v>132</v>
      </c>
      <c r="B137" s="63" t="s">
        <v>206</v>
      </c>
      <c r="C137" s="490">
        <v>1177</v>
      </c>
      <c r="D137" s="63" t="s">
        <v>208</v>
      </c>
      <c r="E137" s="490">
        <v>1</v>
      </c>
      <c r="F137" s="559"/>
      <c r="G137" s="559"/>
      <c r="H137" s="559"/>
      <c r="I137" s="559"/>
      <c r="J137" s="561"/>
      <c r="K137" s="561"/>
      <c r="L137" s="166"/>
      <c r="M137" s="166"/>
      <c r="N137" s="166"/>
      <c r="O137" s="166"/>
      <c r="P137" s="180"/>
      <c r="Q137" s="180"/>
      <c r="R137" s="166"/>
      <c r="S137" s="166"/>
      <c r="T137" s="166"/>
      <c r="U137" s="166"/>
      <c r="V137" s="166"/>
      <c r="W137" s="166"/>
      <c r="X137" s="166"/>
      <c r="Y137" s="166"/>
      <c r="Z137" s="174"/>
      <c r="AA137" s="175"/>
      <c r="AB137" s="174"/>
      <c r="AC137" s="175"/>
      <c r="AD137" s="175"/>
      <c r="AE137" s="175"/>
      <c r="AF137" s="175"/>
      <c r="AG137" s="175"/>
      <c r="AH137" s="175"/>
      <c r="AI137" s="175"/>
      <c r="AJ137" s="175"/>
      <c r="AK137" s="175"/>
      <c r="AL137" s="175"/>
      <c r="AM137" s="175"/>
      <c r="AN137" s="175"/>
      <c r="AO137" s="175"/>
      <c r="AP137" s="175"/>
      <c r="AQ137" s="175"/>
      <c r="AR137" s="176"/>
      <c r="AS137" s="176"/>
      <c r="AT137" s="174"/>
      <c r="AU137" s="174"/>
      <c r="AV137" s="175"/>
      <c r="AW137" s="174"/>
      <c r="AX137" s="174"/>
      <c r="AY137" s="174"/>
      <c r="AZ137" s="174"/>
      <c r="BA137" s="174"/>
      <c r="BB137" s="174"/>
      <c r="BC137" s="174"/>
      <c r="BD137" s="174"/>
      <c r="BE137" s="174"/>
      <c r="BF137" s="174"/>
      <c r="BG137" s="174"/>
      <c r="BH137" s="174"/>
      <c r="BI137" s="175">
        <f t="shared" si="39"/>
        <v>0</v>
      </c>
      <c r="BJ137" s="175">
        <f t="shared" si="40"/>
        <v>0</v>
      </c>
      <c r="BK137" s="176"/>
      <c r="BL137" s="170"/>
      <c r="BM137" s="170"/>
      <c r="BN137" s="170"/>
      <c r="BO137" s="172"/>
      <c r="BP137" s="172"/>
      <c r="BQ137" s="172"/>
      <c r="BR137" s="172"/>
      <c r="BS137" s="172"/>
      <c r="BT137" s="172"/>
      <c r="BU137" s="172"/>
      <c r="BV137" s="172"/>
      <c r="BW137" s="172"/>
      <c r="BX137" s="172"/>
      <c r="BY137" s="172"/>
      <c r="BZ137" s="172"/>
      <c r="CA137" s="172">
        <f t="shared" si="41"/>
        <v>0</v>
      </c>
      <c r="CB137" s="172">
        <f t="shared" si="42"/>
        <v>0</v>
      </c>
      <c r="CC137" s="494" t="e">
        <f t="shared" si="43"/>
        <v>#DIV/0!</v>
      </c>
      <c r="CD137" s="192"/>
      <c r="CE137" s="192"/>
      <c r="CF137" s="172"/>
      <c r="CG137" s="172"/>
      <c r="CH137" s="172"/>
      <c r="CI137" s="172"/>
      <c r="CJ137" s="172"/>
      <c r="CK137" s="172"/>
      <c r="CL137" s="172"/>
      <c r="CM137" s="172"/>
      <c r="CN137" s="172"/>
      <c r="CO137" s="172"/>
      <c r="CP137" s="172"/>
      <c r="CQ137" s="172"/>
      <c r="CR137" s="172"/>
      <c r="CS137" s="172">
        <v>0</v>
      </c>
      <c r="CT137" s="172">
        <v>0</v>
      </c>
      <c r="CU137" s="192" t="e">
        <v>#DIV/0!</v>
      </c>
    </row>
    <row r="138" spans="1:99" s="68" customFormat="1" x14ac:dyDescent="0.25">
      <c r="A138" s="490">
        <v>133</v>
      </c>
      <c r="B138" s="63" t="s">
        <v>210</v>
      </c>
      <c r="C138" s="490">
        <v>1177</v>
      </c>
      <c r="D138" s="63" t="s">
        <v>208</v>
      </c>
      <c r="E138" s="490">
        <v>2</v>
      </c>
      <c r="F138" s="559" t="s">
        <v>212</v>
      </c>
      <c r="G138" s="559">
        <v>60</v>
      </c>
      <c r="H138" s="559" t="s">
        <v>213</v>
      </c>
      <c r="I138" s="559" t="s">
        <v>214</v>
      </c>
      <c r="J138" s="560"/>
      <c r="K138" s="560"/>
      <c r="L138" s="166" t="s">
        <v>697</v>
      </c>
      <c r="M138" s="195" t="s">
        <v>115</v>
      </c>
      <c r="N138" s="166" t="s">
        <v>336</v>
      </c>
      <c r="O138" s="166" t="s">
        <v>320</v>
      </c>
      <c r="P138" s="173"/>
      <c r="Q138" s="180">
        <v>41404</v>
      </c>
      <c r="R138" s="173"/>
      <c r="S138" s="166">
        <v>167</v>
      </c>
      <c r="T138" s="173"/>
      <c r="U138" s="166" t="s">
        <v>698</v>
      </c>
      <c r="V138" s="173"/>
      <c r="W138" s="166" t="s">
        <v>699</v>
      </c>
      <c r="X138" s="173"/>
      <c r="Y138" s="166" t="s">
        <v>700</v>
      </c>
      <c r="Z138" s="174">
        <v>527</v>
      </c>
      <c r="AA138" s="175">
        <v>612500</v>
      </c>
      <c r="AB138" s="174">
        <v>468</v>
      </c>
      <c r="AC138" s="175">
        <v>612500</v>
      </c>
      <c r="AD138" s="175">
        <v>0</v>
      </c>
      <c r="AE138" s="175">
        <v>0</v>
      </c>
      <c r="AF138" s="175">
        <v>0</v>
      </c>
      <c r="AG138" s="175">
        <v>0</v>
      </c>
      <c r="AH138" s="175">
        <v>0</v>
      </c>
      <c r="AI138" s="175">
        <v>0</v>
      </c>
      <c r="AJ138" s="175">
        <v>0</v>
      </c>
      <c r="AK138" s="175">
        <v>0</v>
      </c>
      <c r="AL138" s="175">
        <v>0</v>
      </c>
      <c r="AM138" s="175">
        <v>0</v>
      </c>
      <c r="AN138" s="175">
        <v>612500</v>
      </c>
      <c r="AO138" s="175">
        <v>0</v>
      </c>
      <c r="AP138" s="175">
        <f t="shared" ref="AP138:AP145" si="44">SUM(AD138:AO138)</f>
        <v>612500</v>
      </c>
      <c r="AQ138" s="175">
        <f t="shared" ref="AQ138:AQ145" si="45">+AC138-AP138</f>
        <v>0</v>
      </c>
      <c r="AR138" s="176">
        <f t="shared" ref="AR138:AR145" si="46">AP138/AC138</f>
        <v>1</v>
      </c>
      <c r="AS138" s="176"/>
      <c r="AT138" s="174"/>
      <c r="AU138" s="174"/>
      <c r="AV138" s="175"/>
      <c r="AW138" s="174"/>
      <c r="AX138" s="174"/>
      <c r="AY138" s="174"/>
      <c r="AZ138" s="174"/>
      <c r="BA138" s="174">
        <v>0</v>
      </c>
      <c r="BB138" s="174">
        <v>0</v>
      </c>
      <c r="BC138" s="174">
        <v>0</v>
      </c>
      <c r="BD138" s="174">
        <v>0</v>
      </c>
      <c r="BE138" s="174">
        <v>0</v>
      </c>
      <c r="BF138" s="174">
        <v>0</v>
      </c>
      <c r="BG138" s="174">
        <v>0</v>
      </c>
      <c r="BH138" s="174">
        <v>0</v>
      </c>
      <c r="BI138" s="175">
        <f t="shared" si="39"/>
        <v>0</v>
      </c>
      <c r="BJ138" s="175">
        <f t="shared" si="40"/>
        <v>0</v>
      </c>
      <c r="BK138" s="176"/>
      <c r="BL138" s="170"/>
      <c r="BM138" s="170"/>
      <c r="BN138" s="170"/>
      <c r="BO138" s="172"/>
      <c r="BP138" s="172"/>
      <c r="BQ138" s="172"/>
      <c r="BR138" s="172"/>
      <c r="BS138" s="172"/>
      <c r="BT138" s="172"/>
      <c r="BU138" s="172"/>
      <c r="BV138" s="172"/>
      <c r="BW138" s="172"/>
      <c r="BX138" s="172"/>
      <c r="BY138" s="172"/>
      <c r="BZ138" s="172"/>
      <c r="CA138" s="172">
        <f t="shared" si="41"/>
        <v>0</v>
      </c>
      <c r="CB138" s="172">
        <f t="shared" si="42"/>
        <v>0</v>
      </c>
      <c r="CC138" s="494" t="e">
        <f t="shared" si="43"/>
        <v>#DIV/0!</v>
      </c>
      <c r="CD138" s="192"/>
      <c r="CE138" s="192"/>
      <c r="CF138" s="172"/>
      <c r="CG138" s="172"/>
      <c r="CH138" s="172"/>
      <c r="CI138" s="172"/>
      <c r="CJ138" s="172"/>
      <c r="CK138" s="172"/>
      <c r="CL138" s="172"/>
      <c r="CM138" s="172"/>
      <c r="CN138" s="172"/>
      <c r="CO138" s="172"/>
      <c r="CP138" s="172"/>
      <c r="CQ138" s="172"/>
      <c r="CR138" s="172"/>
      <c r="CS138" s="172">
        <v>0</v>
      </c>
      <c r="CT138" s="172">
        <v>0</v>
      </c>
      <c r="CU138" s="192" t="e">
        <v>#DIV/0!</v>
      </c>
    </row>
    <row r="139" spans="1:99" s="68" customFormat="1" x14ac:dyDescent="0.25">
      <c r="A139" s="490">
        <v>133</v>
      </c>
      <c r="B139" s="63" t="s">
        <v>210</v>
      </c>
      <c r="C139" s="490">
        <v>1177</v>
      </c>
      <c r="D139" s="63" t="s">
        <v>208</v>
      </c>
      <c r="E139" s="490">
        <v>2</v>
      </c>
      <c r="F139" s="559"/>
      <c r="G139" s="559"/>
      <c r="H139" s="559"/>
      <c r="I139" s="559"/>
      <c r="J139" s="561"/>
      <c r="K139" s="561"/>
      <c r="L139" s="166" t="s">
        <v>701</v>
      </c>
      <c r="M139" s="195" t="s">
        <v>115</v>
      </c>
      <c r="N139" s="189" t="s">
        <v>349</v>
      </c>
      <c r="O139" s="166" t="s">
        <v>320</v>
      </c>
      <c r="P139" s="180">
        <v>41592</v>
      </c>
      <c r="Q139" s="180">
        <v>41605</v>
      </c>
      <c r="R139" s="166" t="s">
        <v>330</v>
      </c>
      <c r="S139" s="166" t="s">
        <v>702</v>
      </c>
      <c r="T139" s="199" t="s">
        <v>703</v>
      </c>
      <c r="U139" s="166" t="s">
        <v>704</v>
      </c>
      <c r="V139" s="189">
        <v>41720666</v>
      </c>
      <c r="W139" s="173"/>
      <c r="X139" s="173"/>
      <c r="Y139" s="166"/>
      <c r="Z139" s="174">
        <v>652</v>
      </c>
      <c r="AA139" s="175">
        <v>10850000</v>
      </c>
      <c r="AB139" s="174">
        <v>803</v>
      </c>
      <c r="AC139" s="175">
        <v>10500000</v>
      </c>
      <c r="AD139" s="175">
        <v>0</v>
      </c>
      <c r="AE139" s="175">
        <v>0</v>
      </c>
      <c r="AF139" s="175">
        <v>0</v>
      </c>
      <c r="AG139" s="175">
        <v>0</v>
      </c>
      <c r="AH139" s="175">
        <v>0</v>
      </c>
      <c r="AI139" s="175">
        <v>0</v>
      </c>
      <c r="AJ139" s="175">
        <v>0</v>
      </c>
      <c r="AK139" s="175">
        <v>0</v>
      </c>
      <c r="AL139" s="175">
        <v>0</v>
      </c>
      <c r="AM139" s="175">
        <v>0</v>
      </c>
      <c r="AN139" s="175">
        <v>0</v>
      </c>
      <c r="AO139" s="175">
        <v>0</v>
      </c>
      <c r="AP139" s="175">
        <f t="shared" si="44"/>
        <v>0</v>
      </c>
      <c r="AQ139" s="175">
        <f t="shared" si="45"/>
        <v>10500000</v>
      </c>
      <c r="AR139" s="176">
        <f t="shared" si="46"/>
        <v>0</v>
      </c>
      <c r="AS139" s="176"/>
      <c r="AT139" s="174">
        <v>212</v>
      </c>
      <c r="AU139" s="174">
        <v>212</v>
      </c>
      <c r="AV139" s="175">
        <v>10500000</v>
      </c>
      <c r="AW139" s="174">
        <v>0</v>
      </c>
      <c r="AX139" s="174">
        <v>0</v>
      </c>
      <c r="AY139" s="174">
        <v>1500000</v>
      </c>
      <c r="AZ139" s="174">
        <v>0</v>
      </c>
      <c r="BA139" s="174">
        <v>0</v>
      </c>
      <c r="BB139" s="174">
        <v>0</v>
      </c>
      <c r="BC139" s="174">
        <v>0</v>
      </c>
      <c r="BD139" s="174">
        <v>0</v>
      </c>
      <c r="BE139" s="174">
        <v>0</v>
      </c>
      <c r="BF139" s="174">
        <v>0</v>
      </c>
      <c r="BG139" s="174">
        <v>0</v>
      </c>
      <c r="BH139" s="174">
        <v>0</v>
      </c>
      <c r="BI139" s="175">
        <f t="shared" si="39"/>
        <v>1500000</v>
      </c>
      <c r="BJ139" s="175">
        <f t="shared" si="40"/>
        <v>9000000</v>
      </c>
      <c r="BK139" s="176">
        <f t="shared" ref="BK139:BK145" si="47">+BI139/AV139</f>
        <v>0.14285714285714285</v>
      </c>
      <c r="BL139" s="170">
        <v>55</v>
      </c>
      <c r="BM139" s="170">
        <v>42</v>
      </c>
      <c r="BN139" s="170">
        <v>9000000</v>
      </c>
      <c r="BO139" s="172">
        <v>0</v>
      </c>
      <c r="BP139" s="172">
        <v>0</v>
      </c>
      <c r="BQ139" s="172">
        <v>0</v>
      </c>
      <c r="BR139" s="172">
        <v>0</v>
      </c>
      <c r="BS139" s="172">
        <v>0</v>
      </c>
      <c r="BT139" s="172">
        <v>0</v>
      </c>
      <c r="BU139" s="172">
        <v>0</v>
      </c>
      <c r="BV139" s="172">
        <v>0</v>
      </c>
      <c r="BW139" s="172">
        <v>9000000</v>
      </c>
      <c r="BX139" s="172">
        <v>0</v>
      </c>
      <c r="BY139" s="172">
        <v>0</v>
      </c>
      <c r="BZ139" s="172">
        <v>0</v>
      </c>
      <c r="CA139" s="172">
        <f t="shared" si="41"/>
        <v>9000000</v>
      </c>
      <c r="CB139" s="172">
        <f t="shared" si="42"/>
        <v>0</v>
      </c>
      <c r="CC139" s="494">
        <f t="shared" si="43"/>
        <v>1</v>
      </c>
      <c r="CD139" s="192"/>
      <c r="CE139" s="192"/>
      <c r="CF139" s="172"/>
      <c r="CG139" s="172"/>
      <c r="CH139" s="172"/>
      <c r="CI139" s="172"/>
      <c r="CJ139" s="172"/>
      <c r="CK139" s="172"/>
      <c r="CL139" s="172"/>
      <c r="CM139" s="172"/>
      <c r="CN139" s="172"/>
      <c r="CO139" s="172"/>
      <c r="CP139" s="172"/>
      <c r="CQ139" s="172"/>
      <c r="CR139" s="172"/>
      <c r="CS139" s="172">
        <v>0</v>
      </c>
      <c r="CT139" s="172">
        <v>0</v>
      </c>
      <c r="CU139" s="192" t="e">
        <v>#DIV/0!</v>
      </c>
    </row>
    <row r="140" spans="1:99" s="68" customFormat="1" x14ac:dyDescent="0.25">
      <c r="A140" s="490">
        <v>133</v>
      </c>
      <c r="B140" s="63" t="s">
        <v>210</v>
      </c>
      <c r="C140" s="490">
        <v>1177</v>
      </c>
      <c r="D140" s="63" t="s">
        <v>208</v>
      </c>
      <c r="E140" s="490">
        <v>2</v>
      </c>
      <c r="F140" s="559"/>
      <c r="G140" s="559"/>
      <c r="H140" s="559"/>
      <c r="I140" s="559"/>
      <c r="J140" s="561"/>
      <c r="K140" s="561"/>
      <c r="L140" s="166" t="s">
        <v>705</v>
      </c>
      <c r="M140" s="195" t="s">
        <v>115</v>
      </c>
      <c r="N140" s="179" t="s">
        <v>637</v>
      </c>
      <c r="O140" s="166" t="s">
        <v>356</v>
      </c>
      <c r="P140" s="180">
        <v>41584</v>
      </c>
      <c r="Q140" s="180">
        <v>41605</v>
      </c>
      <c r="R140" s="166" t="s">
        <v>330</v>
      </c>
      <c r="S140" s="189" t="s">
        <v>706</v>
      </c>
      <c r="T140" s="199" t="s">
        <v>707</v>
      </c>
      <c r="U140" s="166" t="s">
        <v>708</v>
      </c>
      <c r="V140" s="189">
        <v>900017160</v>
      </c>
      <c r="W140" s="173"/>
      <c r="X140" s="173"/>
      <c r="Y140" s="166"/>
      <c r="Z140" s="174">
        <v>651</v>
      </c>
      <c r="AA140" s="175">
        <v>189150000</v>
      </c>
      <c r="AB140" s="174">
        <v>773</v>
      </c>
      <c r="AC140" s="175">
        <v>186281000</v>
      </c>
      <c r="AD140" s="175">
        <v>0</v>
      </c>
      <c r="AE140" s="175">
        <v>0</v>
      </c>
      <c r="AF140" s="175">
        <v>0</v>
      </c>
      <c r="AG140" s="175">
        <v>0</v>
      </c>
      <c r="AH140" s="175">
        <v>0</v>
      </c>
      <c r="AI140" s="175">
        <v>0</v>
      </c>
      <c r="AJ140" s="175">
        <v>0</v>
      </c>
      <c r="AK140" s="175">
        <v>0</v>
      </c>
      <c r="AL140" s="175">
        <v>0</v>
      </c>
      <c r="AM140" s="175">
        <v>0</v>
      </c>
      <c r="AN140" s="175">
        <v>0</v>
      </c>
      <c r="AO140" s="175">
        <v>0</v>
      </c>
      <c r="AP140" s="175">
        <f t="shared" si="44"/>
        <v>0</v>
      </c>
      <c r="AQ140" s="175">
        <f t="shared" si="45"/>
        <v>186281000</v>
      </c>
      <c r="AR140" s="176">
        <f t="shared" si="46"/>
        <v>0</v>
      </c>
      <c r="AS140" s="176"/>
      <c r="AT140" s="174">
        <v>211</v>
      </c>
      <c r="AU140" s="174">
        <v>211</v>
      </c>
      <c r="AV140" s="175">
        <v>186281000</v>
      </c>
      <c r="AW140" s="174">
        <v>0</v>
      </c>
      <c r="AX140" s="174">
        <v>0</v>
      </c>
      <c r="AY140" s="174">
        <v>0</v>
      </c>
      <c r="AZ140" s="174">
        <v>0</v>
      </c>
      <c r="BA140" s="174">
        <v>0</v>
      </c>
      <c r="BB140" s="174">
        <v>0</v>
      </c>
      <c r="BC140" s="174">
        <v>0</v>
      </c>
      <c r="BD140" s="174">
        <v>0</v>
      </c>
      <c r="BE140" s="174">
        <v>0</v>
      </c>
      <c r="BF140" s="174">
        <v>0</v>
      </c>
      <c r="BG140" s="174">
        <v>0</v>
      </c>
      <c r="BH140" s="174">
        <v>0</v>
      </c>
      <c r="BI140" s="175">
        <f t="shared" si="39"/>
        <v>0</v>
      </c>
      <c r="BJ140" s="175">
        <f t="shared" si="40"/>
        <v>186281000</v>
      </c>
      <c r="BK140" s="176">
        <f t="shared" si="47"/>
        <v>0</v>
      </c>
      <c r="BL140" s="170">
        <v>54</v>
      </c>
      <c r="BM140" s="170">
        <v>41</v>
      </c>
      <c r="BN140" s="170">
        <v>186281000</v>
      </c>
      <c r="BO140" s="172">
        <v>0</v>
      </c>
      <c r="BP140" s="172">
        <v>0</v>
      </c>
      <c r="BQ140" s="172">
        <v>0</v>
      </c>
      <c r="BR140" s="172">
        <v>0</v>
      </c>
      <c r="BS140" s="172">
        <v>0</v>
      </c>
      <c r="BT140" s="172">
        <v>0</v>
      </c>
      <c r="BU140" s="172">
        <v>0</v>
      </c>
      <c r="BV140" s="172">
        <v>0</v>
      </c>
      <c r="BW140" s="172">
        <v>179718318</v>
      </c>
      <c r="BX140" s="172">
        <v>0</v>
      </c>
      <c r="BY140" s="172">
        <v>0</v>
      </c>
      <c r="BZ140" s="172">
        <v>0</v>
      </c>
      <c r="CA140" s="172">
        <f t="shared" si="41"/>
        <v>179718318</v>
      </c>
      <c r="CB140" s="172">
        <f t="shared" si="42"/>
        <v>6562682</v>
      </c>
      <c r="CC140" s="494">
        <f t="shared" si="43"/>
        <v>0.96476998727728536</v>
      </c>
      <c r="CD140" s="192"/>
      <c r="CE140" s="192"/>
      <c r="CF140" s="172"/>
      <c r="CG140" s="172"/>
      <c r="CH140" s="172"/>
      <c r="CI140" s="172"/>
      <c r="CJ140" s="172"/>
      <c r="CK140" s="172"/>
      <c r="CL140" s="172"/>
      <c r="CM140" s="172"/>
      <c r="CN140" s="172"/>
      <c r="CO140" s="172"/>
      <c r="CP140" s="172"/>
      <c r="CQ140" s="172"/>
      <c r="CR140" s="172"/>
      <c r="CS140" s="172">
        <v>0</v>
      </c>
      <c r="CT140" s="172">
        <v>0</v>
      </c>
      <c r="CU140" s="192" t="e">
        <v>#DIV/0!</v>
      </c>
    </row>
    <row r="141" spans="1:99" s="68" customFormat="1" ht="13.5" customHeight="1" x14ac:dyDescent="0.25">
      <c r="A141" s="490">
        <v>134</v>
      </c>
      <c r="B141" s="63" t="s">
        <v>215</v>
      </c>
      <c r="C141" s="490">
        <v>1177</v>
      </c>
      <c r="D141" s="63" t="s">
        <v>208</v>
      </c>
      <c r="E141" s="490">
        <v>3</v>
      </c>
      <c r="F141" s="584" t="s">
        <v>45</v>
      </c>
      <c r="G141" s="584">
        <v>15</v>
      </c>
      <c r="H141" s="584" t="s">
        <v>217</v>
      </c>
      <c r="I141" s="584" t="s">
        <v>218</v>
      </c>
      <c r="J141" s="586"/>
      <c r="K141" s="586"/>
      <c r="L141" s="166" t="s">
        <v>709</v>
      </c>
      <c r="M141" s="195" t="s">
        <v>115</v>
      </c>
      <c r="N141" s="166" t="s">
        <v>329</v>
      </c>
      <c r="O141" s="166" t="s">
        <v>641</v>
      </c>
      <c r="P141" s="180">
        <v>41632</v>
      </c>
      <c r="Q141" s="173"/>
      <c r="R141" s="166" t="s">
        <v>337</v>
      </c>
      <c r="S141" s="189" t="s">
        <v>710</v>
      </c>
      <c r="T141" s="199" t="s">
        <v>711</v>
      </c>
      <c r="U141" s="166" t="s">
        <v>712</v>
      </c>
      <c r="V141" s="189">
        <v>900685237</v>
      </c>
      <c r="W141" s="173"/>
      <c r="X141" s="173"/>
      <c r="Y141" s="166"/>
      <c r="Z141" s="174">
        <v>795</v>
      </c>
      <c r="AA141" s="175">
        <v>165000000</v>
      </c>
      <c r="AB141" s="174">
        <v>901</v>
      </c>
      <c r="AC141" s="175">
        <v>165000000</v>
      </c>
      <c r="AD141" s="175">
        <v>0</v>
      </c>
      <c r="AE141" s="175">
        <v>0</v>
      </c>
      <c r="AF141" s="175">
        <v>0</v>
      </c>
      <c r="AG141" s="175">
        <v>0</v>
      </c>
      <c r="AH141" s="175">
        <v>0</v>
      </c>
      <c r="AI141" s="175">
        <v>0</v>
      </c>
      <c r="AJ141" s="175">
        <v>0</v>
      </c>
      <c r="AK141" s="175">
        <v>0</v>
      </c>
      <c r="AL141" s="175">
        <v>0</v>
      </c>
      <c r="AM141" s="175">
        <v>0</v>
      </c>
      <c r="AN141" s="175">
        <v>0</v>
      </c>
      <c r="AO141" s="175">
        <v>0</v>
      </c>
      <c r="AP141" s="175">
        <f t="shared" si="44"/>
        <v>0</v>
      </c>
      <c r="AQ141" s="175">
        <f t="shared" si="45"/>
        <v>165000000</v>
      </c>
      <c r="AR141" s="176">
        <f t="shared" si="46"/>
        <v>0</v>
      </c>
      <c r="AS141" s="176"/>
      <c r="AT141" s="174">
        <v>217</v>
      </c>
      <c r="AU141" s="174">
        <v>217</v>
      </c>
      <c r="AV141" s="175">
        <v>165000000</v>
      </c>
      <c r="AW141" s="174">
        <v>0</v>
      </c>
      <c r="AX141" s="174">
        <v>0</v>
      </c>
      <c r="AY141" s="174">
        <v>0</v>
      </c>
      <c r="AZ141" s="174">
        <v>87077583</v>
      </c>
      <c r="BA141" s="174">
        <v>14508750</v>
      </c>
      <c r="BB141" s="174">
        <v>14313332</v>
      </c>
      <c r="BC141" s="174">
        <v>0</v>
      </c>
      <c r="BD141" s="174">
        <v>0</v>
      </c>
      <c r="BE141" s="174">
        <v>21730938</v>
      </c>
      <c r="BF141" s="174">
        <v>0</v>
      </c>
      <c r="BG141" s="174">
        <v>0</v>
      </c>
      <c r="BH141" s="174">
        <v>18097948</v>
      </c>
      <c r="BI141" s="175">
        <f t="shared" si="39"/>
        <v>155728551</v>
      </c>
      <c r="BJ141" s="175">
        <f t="shared" si="40"/>
        <v>9271449</v>
      </c>
      <c r="BK141" s="176">
        <f t="shared" si="47"/>
        <v>0.94380940000000002</v>
      </c>
      <c r="BL141" s="170">
        <v>57</v>
      </c>
      <c r="BM141" s="170">
        <v>44</v>
      </c>
      <c r="BN141" s="170">
        <v>9271449</v>
      </c>
      <c r="BO141" s="172">
        <v>0</v>
      </c>
      <c r="BP141" s="172">
        <v>0</v>
      </c>
      <c r="BQ141" s="172">
        <v>0</v>
      </c>
      <c r="BR141" s="172">
        <v>0</v>
      </c>
      <c r="BS141" s="172">
        <v>0</v>
      </c>
      <c r="BT141" s="172">
        <v>9271449</v>
      </c>
      <c r="BU141" s="172">
        <v>0</v>
      </c>
      <c r="BV141" s="172">
        <v>0</v>
      </c>
      <c r="BW141" s="172">
        <v>0</v>
      </c>
      <c r="BX141" s="172">
        <v>0</v>
      </c>
      <c r="BY141" s="172">
        <v>0</v>
      </c>
      <c r="BZ141" s="172">
        <v>0</v>
      </c>
      <c r="CA141" s="172">
        <f t="shared" si="41"/>
        <v>9271449</v>
      </c>
      <c r="CB141" s="172">
        <f t="shared" si="42"/>
        <v>0</v>
      </c>
      <c r="CC141" s="494">
        <f t="shared" si="43"/>
        <v>1</v>
      </c>
      <c r="CD141" s="192"/>
      <c r="CE141" s="192"/>
      <c r="CF141" s="172"/>
      <c r="CG141" s="172"/>
      <c r="CH141" s="172"/>
      <c r="CI141" s="172"/>
      <c r="CJ141" s="172"/>
      <c r="CK141" s="172"/>
      <c r="CL141" s="172"/>
      <c r="CM141" s="172"/>
      <c r="CN141" s="172"/>
      <c r="CO141" s="172"/>
      <c r="CP141" s="172"/>
      <c r="CQ141" s="172"/>
      <c r="CR141" s="172"/>
      <c r="CS141" s="172">
        <v>0</v>
      </c>
      <c r="CT141" s="172">
        <v>0</v>
      </c>
      <c r="CU141" s="192" t="e">
        <v>#DIV/0!</v>
      </c>
    </row>
    <row r="142" spans="1:99" s="68" customFormat="1" x14ac:dyDescent="0.25">
      <c r="A142" s="490">
        <v>134</v>
      </c>
      <c r="B142" s="63" t="s">
        <v>215</v>
      </c>
      <c r="C142" s="490">
        <v>1177</v>
      </c>
      <c r="D142" s="63" t="s">
        <v>208</v>
      </c>
      <c r="E142" s="490">
        <v>3</v>
      </c>
      <c r="F142" s="585"/>
      <c r="G142" s="585"/>
      <c r="H142" s="585"/>
      <c r="I142" s="585"/>
      <c r="J142" s="587"/>
      <c r="K142" s="587"/>
      <c r="L142" s="166" t="s">
        <v>713</v>
      </c>
      <c r="M142" s="195" t="s">
        <v>115</v>
      </c>
      <c r="N142" s="189" t="s">
        <v>349</v>
      </c>
      <c r="O142" s="166" t="s">
        <v>320</v>
      </c>
      <c r="P142" s="180">
        <v>41634</v>
      </c>
      <c r="Q142" s="173"/>
      <c r="R142" s="166" t="s">
        <v>337</v>
      </c>
      <c r="S142" s="189" t="s">
        <v>714</v>
      </c>
      <c r="T142" s="173"/>
      <c r="U142" s="166" t="s">
        <v>715</v>
      </c>
      <c r="V142" s="173"/>
      <c r="W142" s="173"/>
      <c r="X142" s="173"/>
      <c r="Y142" s="166"/>
      <c r="Z142" s="174">
        <v>796</v>
      </c>
      <c r="AA142" s="175">
        <v>16000000</v>
      </c>
      <c r="AB142" s="174">
        <v>881</v>
      </c>
      <c r="AC142" s="175">
        <v>15718000</v>
      </c>
      <c r="AD142" s="175">
        <v>0</v>
      </c>
      <c r="AE142" s="175">
        <v>0</v>
      </c>
      <c r="AF142" s="175">
        <v>0</v>
      </c>
      <c r="AG142" s="175">
        <v>0</v>
      </c>
      <c r="AH142" s="175">
        <v>0</v>
      </c>
      <c r="AI142" s="175">
        <v>0</v>
      </c>
      <c r="AJ142" s="175">
        <v>0</v>
      </c>
      <c r="AK142" s="175">
        <v>0</v>
      </c>
      <c r="AL142" s="175">
        <v>0</v>
      </c>
      <c r="AM142" s="175">
        <v>0</v>
      </c>
      <c r="AN142" s="175">
        <v>0</v>
      </c>
      <c r="AO142" s="175">
        <v>0</v>
      </c>
      <c r="AP142" s="175">
        <f t="shared" si="44"/>
        <v>0</v>
      </c>
      <c r="AQ142" s="175">
        <f t="shared" si="45"/>
        <v>15718000</v>
      </c>
      <c r="AR142" s="176">
        <f t="shared" si="46"/>
        <v>0</v>
      </c>
      <c r="AS142" s="176"/>
      <c r="AT142" s="174">
        <v>213</v>
      </c>
      <c r="AU142" s="174">
        <v>213</v>
      </c>
      <c r="AV142" s="175">
        <v>15718000</v>
      </c>
      <c r="AW142" s="174">
        <v>0</v>
      </c>
      <c r="AX142" s="174">
        <v>0</v>
      </c>
      <c r="AY142" s="174">
        <v>0</v>
      </c>
      <c r="AZ142" s="174">
        <v>0</v>
      </c>
      <c r="BA142" s="174">
        <v>2619666</v>
      </c>
      <c r="BB142" s="174">
        <v>5239332</v>
      </c>
      <c r="BC142" s="174">
        <v>0</v>
      </c>
      <c r="BD142" s="174">
        <v>5239332</v>
      </c>
      <c r="BE142" s="174">
        <v>0</v>
      </c>
      <c r="BF142" s="174">
        <v>0</v>
      </c>
      <c r="BG142" s="174">
        <v>0</v>
      </c>
      <c r="BH142" s="174">
        <v>0</v>
      </c>
      <c r="BI142" s="175">
        <f t="shared" si="39"/>
        <v>13098330</v>
      </c>
      <c r="BJ142" s="175">
        <f t="shared" si="40"/>
        <v>2619670</v>
      </c>
      <c r="BK142" s="176">
        <f t="shared" si="47"/>
        <v>0.83333312126224712</v>
      </c>
      <c r="BL142" s="170">
        <v>56</v>
      </c>
      <c r="BM142" s="170">
        <v>43</v>
      </c>
      <c r="BN142" s="170">
        <v>2619670</v>
      </c>
      <c r="BO142" s="172">
        <v>0</v>
      </c>
      <c r="BP142" s="172">
        <v>0</v>
      </c>
      <c r="BQ142" s="172">
        <v>0</v>
      </c>
      <c r="BR142" s="172">
        <v>0</v>
      </c>
      <c r="BS142" s="172">
        <v>0</v>
      </c>
      <c r="BT142" s="172">
        <v>2619670</v>
      </c>
      <c r="BU142" s="172">
        <v>0</v>
      </c>
      <c r="BV142" s="172">
        <v>0</v>
      </c>
      <c r="BW142" s="172">
        <v>0</v>
      </c>
      <c r="BX142" s="172">
        <v>0</v>
      </c>
      <c r="BY142" s="172">
        <v>0</v>
      </c>
      <c r="BZ142" s="172">
        <v>0</v>
      </c>
      <c r="CA142" s="172">
        <f t="shared" si="41"/>
        <v>2619670</v>
      </c>
      <c r="CB142" s="172">
        <f t="shared" si="42"/>
        <v>0</v>
      </c>
      <c r="CC142" s="494">
        <f t="shared" si="43"/>
        <v>1</v>
      </c>
      <c r="CD142" s="192"/>
      <c r="CE142" s="192"/>
      <c r="CF142" s="172"/>
      <c r="CG142" s="172"/>
      <c r="CH142" s="172"/>
      <c r="CI142" s="172"/>
      <c r="CJ142" s="172"/>
      <c r="CK142" s="172"/>
      <c r="CL142" s="172"/>
      <c r="CM142" s="172"/>
      <c r="CN142" s="172"/>
      <c r="CO142" s="172"/>
      <c r="CP142" s="172"/>
      <c r="CQ142" s="172"/>
      <c r="CR142" s="172"/>
      <c r="CS142" s="172">
        <v>0</v>
      </c>
      <c r="CT142" s="172">
        <v>0</v>
      </c>
      <c r="CU142" s="192" t="e">
        <v>#DIV/0!</v>
      </c>
    </row>
    <row r="143" spans="1:99" s="68" customFormat="1" x14ac:dyDescent="0.25">
      <c r="A143" s="490">
        <v>134</v>
      </c>
      <c r="B143" s="63" t="s">
        <v>215</v>
      </c>
      <c r="C143" s="490">
        <v>1177</v>
      </c>
      <c r="D143" s="63" t="s">
        <v>208</v>
      </c>
      <c r="E143" s="490">
        <v>3</v>
      </c>
      <c r="F143" s="585"/>
      <c r="G143" s="585"/>
      <c r="H143" s="585"/>
      <c r="I143" s="585"/>
      <c r="J143" s="587"/>
      <c r="K143" s="587"/>
      <c r="L143" s="166" t="s">
        <v>716</v>
      </c>
      <c r="M143" s="195" t="s">
        <v>115</v>
      </c>
      <c r="N143" s="189" t="s">
        <v>717</v>
      </c>
      <c r="O143" s="166" t="s">
        <v>309</v>
      </c>
      <c r="P143" s="180">
        <v>41635</v>
      </c>
      <c r="Q143" s="173"/>
      <c r="R143" s="166" t="s">
        <v>718</v>
      </c>
      <c r="S143" s="189" t="s">
        <v>719</v>
      </c>
      <c r="T143" s="199" t="s">
        <v>720</v>
      </c>
      <c r="U143" s="166" t="s">
        <v>496</v>
      </c>
      <c r="V143" s="189">
        <v>900314764</v>
      </c>
      <c r="W143" s="173"/>
      <c r="X143" s="173"/>
      <c r="Y143" s="166"/>
      <c r="Z143" s="174">
        <v>780</v>
      </c>
      <c r="AA143" s="175">
        <f>+AC143</f>
        <v>59953799</v>
      </c>
      <c r="AB143" s="174">
        <v>896</v>
      </c>
      <c r="AC143" s="175">
        <v>59953799</v>
      </c>
      <c r="AD143" s="175">
        <v>0</v>
      </c>
      <c r="AE143" s="175">
        <v>0</v>
      </c>
      <c r="AF143" s="175">
        <v>0</v>
      </c>
      <c r="AG143" s="175">
        <v>0</v>
      </c>
      <c r="AH143" s="175">
        <v>0</v>
      </c>
      <c r="AI143" s="175">
        <v>0</v>
      </c>
      <c r="AJ143" s="175">
        <v>0</v>
      </c>
      <c r="AK143" s="175">
        <v>0</v>
      </c>
      <c r="AL143" s="175">
        <v>0</v>
      </c>
      <c r="AM143" s="175">
        <v>0</v>
      </c>
      <c r="AN143" s="175">
        <v>0</v>
      </c>
      <c r="AO143" s="175">
        <v>0</v>
      </c>
      <c r="AP143" s="175">
        <f t="shared" si="44"/>
        <v>0</v>
      </c>
      <c r="AQ143" s="175">
        <f t="shared" si="45"/>
        <v>59953799</v>
      </c>
      <c r="AR143" s="176">
        <f t="shared" si="46"/>
        <v>0</v>
      </c>
      <c r="AS143" s="176"/>
      <c r="AT143" s="174">
        <v>214</v>
      </c>
      <c r="AU143" s="174">
        <v>214</v>
      </c>
      <c r="AV143" s="175">
        <v>59953799</v>
      </c>
      <c r="AW143" s="174">
        <v>0</v>
      </c>
      <c r="AX143" s="174">
        <v>0</v>
      </c>
      <c r="AY143" s="174">
        <v>59953799</v>
      </c>
      <c r="AZ143" s="174">
        <v>0</v>
      </c>
      <c r="BA143" s="174">
        <v>0</v>
      </c>
      <c r="BB143" s="174">
        <v>0</v>
      </c>
      <c r="BC143" s="174">
        <v>0</v>
      </c>
      <c r="BD143" s="174">
        <v>0</v>
      </c>
      <c r="BE143" s="174">
        <v>0</v>
      </c>
      <c r="BF143" s="174">
        <v>0</v>
      </c>
      <c r="BG143" s="174">
        <v>0</v>
      </c>
      <c r="BH143" s="174">
        <v>0</v>
      </c>
      <c r="BI143" s="175">
        <f t="shared" si="39"/>
        <v>59953799</v>
      </c>
      <c r="BJ143" s="175">
        <f t="shared" si="40"/>
        <v>0</v>
      </c>
      <c r="BK143" s="176">
        <f t="shared" si="47"/>
        <v>1</v>
      </c>
      <c r="BL143" s="170"/>
      <c r="BM143" s="170"/>
      <c r="BN143" s="170"/>
      <c r="BO143" s="172"/>
      <c r="BP143" s="172"/>
      <c r="BQ143" s="172"/>
      <c r="BR143" s="172"/>
      <c r="BS143" s="172"/>
      <c r="BT143" s="172"/>
      <c r="BU143" s="172"/>
      <c r="BV143" s="172"/>
      <c r="BW143" s="172"/>
      <c r="BX143" s="172"/>
      <c r="BY143" s="172"/>
      <c r="BZ143" s="172"/>
      <c r="CA143" s="172">
        <f t="shared" si="41"/>
        <v>0</v>
      </c>
      <c r="CB143" s="172">
        <f t="shared" si="42"/>
        <v>0</v>
      </c>
      <c r="CC143" s="494" t="e">
        <f t="shared" si="43"/>
        <v>#DIV/0!</v>
      </c>
      <c r="CD143" s="192"/>
      <c r="CE143" s="192"/>
      <c r="CF143" s="172"/>
      <c r="CG143" s="172"/>
      <c r="CH143" s="172"/>
      <c r="CI143" s="172"/>
      <c r="CJ143" s="172"/>
      <c r="CK143" s="172"/>
      <c r="CL143" s="172"/>
      <c r="CM143" s="172"/>
      <c r="CN143" s="172"/>
      <c r="CO143" s="172"/>
      <c r="CP143" s="172"/>
      <c r="CQ143" s="172"/>
      <c r="CR143" s="172"/>
      <c r="CS143" s="172">
        <v>0</v>
      </c>
      <c r="CT143" s="172">
        <v>0</v>
      </c>
      <c r="CU143" s="192" t="e">
        <v>#DIV/0!</v>
      </c>
    </row>
    <row r="144" spans="1:99" s="68" customFormat="1" x14ac:dyDescent="0.25">
      <c r="A144" s="490">
        <v>134</v>
      </c>
      <c r="B144" s="63" t="s">
        <v>215</v>
      </c>
      <c r="C144" s="490">
        <v>1177</v>
      </c>
      <c r="D144" s="63" t="s">
        <v>208</v>
      </c>
      <c r="E144" s="490">
        <v>3</v>
      </c>
      <c r="F144" s="585"/>
      <c r="G144" s="585"/>
      <c r="H144" s="585"/>
      <c r="I144" s="585"/>
      <c r="J144" s="587"/>
      <c r="K144" s="587"/>
      <c r="L144" s="166" t="s">
        <v>721</v>
      </c>
      <c r="M144" s="195" t="s">
        <v>115</v>
      </c>
      <c r="N144" s="189" t="s">
        <v>717</v>
      </c>
      <c r="O144" s="166" t="s">
        <v>309</v>
      </c>
      <c r="P144" s="180">
        <v>41635</v>
      </c>
      <c r="Q144" s="173"/>
      <c r="R144" s="166" t="s">
        <v>718</v>
      </c>
      <c r="S144" s="189" t="s">
        <v>719</v>
      </c>
      <c r="T144" s="199" t="s">
        <v>720</v>
      </c>
      <c r="U144" s="166" t="s">
        <v>496</v>
      </c>
      <c r="V144" s="189">
        <v>900314764</v>
      </c>
      <c r="W144" s="173"/>
      <c r="X144" s="173"/>
      <c r="Y144" s="166"/>
      <c r="Z144" s="174">
        <v>898</v>
      </c>
      <c r="AA144" s="175">
        <f>+AC144</f>
        <v>3498785</v>
      </c>
      <c r="AB144" s="174">
        <v>898</v>
      </c>
      <c r="AC144" s="175">
        <v>3498785</v>
      </c>
      <c r="AD144" s="175">
        <v>0</v>
      </c>
      <c r="AE144" s="175">
        <v>0</v>
      </c>
      <c r="AF144" s="175">
        <v>0</v>
      </c>
      <c r="AG144" s="175">
        <v>0</v>
      </c>
      <c r="AH144" s="175">
        <v>0</v>
      </c>
      <c r="AI144" s="175">
        <v>0</v>
      </c>
      <c r="AJ144" s="175">
        <v>0</v>
      </c>
      <c r="AK144" s="175">
        <v>0</v>
      </c>
      <c r="AL144" s="175">
        <v>0</v>
      </c>
      <c r="AM144" s="175">
        <v>0</v>
      </c>
      <c r="AN144" s="175">
        <v>0</v>
      </c>
      <c r="AO144" s="175">
        <v>0</v>
      </c>
      <c r="AP144" s="175">
        <f t="shared" si="44"/>
        <v>0</v>
      </c>
      <c r="AQ144" s="175">
        <f t="shared" si="45"/>
        <v>3498785</v>
      </c>
      <c r="AR144" s="176">
        <f t="shared" si="46"/>
        <v>0</v>
      </c>
      <c r="AS144" s="176"/>
      <c r="AT144" s="174">
        <v>216</v>
      </c>
      <c r="AU144" s="174">
        <v>216</v>
      </c>
      <c r="AV144" s="175">
        <v>3498785</v>
      </c>
      <c r="AW144" s="174">
        <v>0</v>
      </c>
      <c r="AX144" s="174">
        <v>0</v>
      </c>
      <c r="AY144" s="174">
        <v>3498785</v>
      </c>
      <c r="AZ144" s="174">
        <v>0</v>
      </c>
      <c r="BA144" s="174">
        <v>0</v>
      </c>
      <c r="BB144" s="174">
        <v>0</v>
      </c>
      <c r="BC144" s="174">
        <v>0</v>
      </c>
      <c r="BD144" s="174">
        <v>0</v>
      </c>
      <c r="BE144" s="174">
        <v>0</v>
      </c>
      <c r="BF144" s="174">
        <v>0</v>
      </c>
      <c r="BG144" s="174">
        <v>0</v>
      </c>
      <c r="BH144" s="174">
        <v>0</v>
      </c>
      <c r="BI144" s="175">
        <f t="shared" si="39"/>
        <v>3498785</v>
      </c>
      <c r="BJ144" s="175">
        <f t="shared" si="40"/>
        <v>0</v>
      </c>
      <c r="BK144" s="176">
        <f t="shared" si="47"/>
        <v>1</v>
      </c>
      <c r="BL144" s="170"/>
      <c r="BM144" s="170"/>
      <c r="BN144" s="170"/>
      <c r="BO144" s="172"/>
      <c r="BP144" s="172"/>
      <c r="BQ144" s="172"/>
      <c r="BR144" s="172"/>
      <c r="BS144" s="172"/>
      <c r="BT144" s="172"/>
      <c r="BU144" s="172"/>
      <c r="BV144" s="172"/>
      <c r="BW144" s="172"/>
      <c r="BX144" s="172"/>
      <c r="BY144" s="172"/>
      <c r="BZ144" s="172"/>
      <c r="CA144" s="172">
        <f t="shared" si="41"/>
        <v>0</v>
      </c>
      <c r="CB144" s="172">
        <f t="shared" si="42"/>
        <v>0</v>
      </c>
      <c r="CC144" s="494" t="e">
        <f t="shared" si="43"/>
        <v>#DIV/0!</v>
      </c>
      <c r="CD144" s="192"/>
      <c r="CE144" s="192"/>
      <c r="CF144" s="172"/>
      <c r="CG144" s="172"/>
      <c r="CH144" s="172"/>
      <c r="CI144" s="172"/>
      <c r="CJ144" s="172"/>
      <c r="CK144" s="172"/>
      <c r="CL144" s="172"/>
      <c r="CM144" s="172"/>
      <c r="CN144" s="172"/>
      <c r="CO144" s="172"/>
      <c r="CP144" s="172"/>
      <c r="CQ144" s="172"/>
      <c r="CR144" s="172"/>
      <c r="CS144" s="172">
        <v>0</v>
      </c>
      <c r="CT144" s="172">
        <v>0</v>
      </c>
      <c r="CU144" s="192" t="e">
        <v>#DIV/0!</v>
      </c>
    </row>
    <row r="145" spans="1:99" s="68" customFormat="1" x14ac:dyDescent="0.25">
      <c r="A145" s="490">
        <v>134</v>
      </c>
      <c r="B145" s="63" t="s">
        <v>215</v>
      </c>
      <c r="C145" s="490">
        <v>1177</v>
      </c>
      <c r="D145" s="63" t="s">
        <v>208</v>
      </c>
      <c r="E145" s="490">
        <v>3</v>
      </c>
      <c r="F145" s="585"/>
      <c r="G145" s="585"/>
      <c r="H145" s="585"/>
      <c r="I145" s="585"/>
      <c r="J145" s="587"/>
      <c r="K145" s="587"/>
      <c r="L145" s="166" t="s">
        <v>722</v>
      </c>
      <c r="M145" s="195" t="s">
        <v>115</v>
      </c>
      <c r="N145" s="189" t="s">
        <v>717</v>
      </c>
      <c r="O145" s="166" t="s">
        <v>309</v>
      </c>
      <c r="P145" s="180">
        <v>41635</v>
      </c>
      <c r="Q145" s="173"/>
      <c r="R145" s="166" t="s">
        <v>718</v>
      </c>
      <c r="S145" s="189" t="s">
        <v>719</v>
      </c>
      <c r="T145" s="199" t="s">
        <v>720</v>
      </c>
      <c r="U145" s="166" t="s">
        <v>496</v>
      </c>
      <c r="V145" s="189">
        <v>900314764</v>
      </c>
      <c r="W145" s="173"/>
      <c r="X145" s="173"/>
      <c r="Y145" s="166"/>
      <c r="Z145" s="174">
        <v>874</v>
      </c>
      <c r="AA145" s="175">
        <f>+AC145</f>
        <v>32000000</v>
      </c>
      <c r="AB145" s="174">
        <v>897</v>
      </c>
      <c r="AC145" s="175">
        <v>32000000</v>
      </c>
      <c r="AD145" s="175">
        <v>0</v>
      </c>
      <c r="AE145" s="175">
        <v>0</v>
      </c>
      <c r="AF145" s="175">
        <v>0</v>
      </c>
      <c r="AG145" s="175">
        <v>0</v>
      </c>
      <c r="AH145" s="175">
        <v>0</v>
      </c>
      <c r="AI145" s="175">
        <v>0</v>
      </c>
      <c r="AJ145" s="175">
        <v>0</v>
      </c>
      <c r="AK145" s="175">
        <v>0</v>
      </c>
      <c r="AL145" s="175">
        <v>0</v>
      </c>
      <c r="AM145" s="175">
        <v>0</v>
      </c>
      <c r="AN145" s="175">
        <v>0</v>
      </c>
      <c r="AO145" s="175">
        <v>0</v>
      </c>
      <c r="AP145" s="175">
        <f t="shared" si="44"/>
        <v>0</v>
      </c>
      <c r="AQ145" s="175">
        <f t="shared" si="45"/>
        <v>32000000</v>
      </c>
      <c r="AR145" s="176">
        <f t="shared" si="46"/>
        <v>0</v>
      </c>
      <c r="AS145" s="176"/>
      <c r="AT145" s="174">
        <v>215</v>
      </c>
      <c r="AU145" s="174">
        <v>215</v>
      </c>
      <c r="AV145" s="175">
        <v>32000000</v>
      </c>
      <c r="AW145" s="174">
        <v>0</v>
      </c>
      <c r="AX145" s="174">
        <v>0</v>
      </c>
      <c r="AY145" s="174">
        <v>32000000</v>
      </c>
      <c r="AZ145" s="174">
        <v>0</v>
      </c>
      <c r="BA145" s="174">
        <v>0</v>
      </c>
      <c r="BB145" s="174">
        <v>0</v>
      </c>
      <c r="BC145" s="174">
        <v>0</v>
      </c>
      <c r="BD145" s="174">
        <v>0</v>
      </c>
      <c r="BE145" s="174">
        <v>0</v>
      </c>
      <c r="BF145" s="174">
        <v>0</v>
      </c>
      <c r="BG145" s="174">
        <v>0</v>
      </c>
      <c r="BH145" s="174">
        <v>0</v>
      </c>
      <c r="BI145" s="175">
        <f t="shared" si="39"/>
        <v>32000000</v>
      </c>
      <c r="BJ145" s="175">
        <f t="shared" si="40"/>
        <v>0</v>
      </c>
      <c r="BK145" s="176">
        <f t="shared" si="47"/>
        <v>1</v>
      </c>
      <c r="BL145" s="170"/>
      <c r="BM145" s="170"/>
      <c r="BN145" s="170"/>
      <c r="BO145" s="172"/>
      <c r="BP145" s="172"/>
      <c r="BQ145" s="172"/>
      <c r="BR145" s="172"/>
      <c r="BS145" s="172"/>
      <c r="BT145" s="172"/>
      <c r="BU145" s="172"/>
      <c r="BV145" s="172"/>
      <c r="BW145" s="172"/>
      <c r="BX145" s="172"/>
      <c r="BY145" s="172"/>
      <c r="BZ145" s="172"/>
      <c r="CA145" s="172">
        <f t="shared" si="41"/>
        <v>0</v>
      </c>
      <c r="CB145" s="172">
        <f t="shared" si="42"/>
        <v>0</v>
      </c>
      <c r="CC145" s="494" t="e">
        <f t="shared" si="43"/>
        <v>#DIV/0!</v>
      </c>
      <c r="CD145" s="192"/>
      <c r="CE145" s="192"/>
      <c r="CF145" s="172"/>
      <c r="CG145" s="172"/>
      <c r="CH145" s="172"/>
      <c r="CI145" s="172"/>
      <c r="CJ145" s="172"/>
      <c r="CK145" s="172"/>
      <c r="CL145" s="172"/>
      <c r="CM145" s="172"/>
      <c r="CN145" s="172"/>
      <c r="CO145" s="172"/>
      <c r="CP145" s="172"/>
      <c r="CQ145" s="172"/>
      <c r="CR145" s="172"/>
      <c r="CS145" s="172">
        <v>0</v>
      </c>
      <c r="CT145" s="172">
        <v>0</v>
      </c>
      <c r="CU145" s="192" t="e">
        <v>#DIV/0!</v>
      </c>
    </row>
    <row r="146" spans="1:99" s="68" customFormat="1" x14ac:dyDescent="0.25">
      <c r="A146" s="490">
        <v>135</v>
      </c>
      <c r="B146" s="63" t="s">
        <v>220</v>
      </c>
      <c r="C146" s="490">
        <v>1178</v>
      </c>
      <c r="D146" s="63" t="s">
        <v>222</v>
      </c>
      <c r="E146" s="490">
        <v>1</v>
      </c>
      <c r="F146" s="559" t="s">
        <v>53</v>
      </c>
      <c r="G146" s="559">
        <v>400</v>
      </c>
      <c r="H146" s="559" t="s">
        <v>61</v>
      </c>
      <c r="I146" s="559" t="s">
        <v>223</v>
      </c>
      <c r="J146" s="560"/>
      <c r="K146" s="560"/>
      <c r="L146" s="166"/>
      <c r="M146" s="166"/>
      <c r="N146" s="166"/>
      <c r="O146" s="166"/>
      <c r="P146" s="180"/>
      <c r="Q146" s="180"/>
      <c r="R146" s="166"/>
      <c r="S146" s="166"/>
      <c r="T146" s="166"/>
      <c r="U146" s="166"/>
      <c r="V146" s="166"/>
      <c r="W146" s="166"/>
      <c r="X146" s="166"/>
      <c r="Y146" s="166"/>
      <c r="Z146" s="174"/>
      <c r="AA146" s="175"/>
      <c r="AB146" s="174"/>
      <c r="AC146" s="175"/>
      <c r="AD146" s="175"/>
      <c r="AE146" s="175"/>
      <c r="AF146" s="175"/>
      <c r="AG146" s="175"/>
      <c r="AH146" s="175"/>
      <c r="AI146" s="175"/>
      <c r="AJ146" s="175"/>
      <c r="AK146" s="175"/>
      <c r="AL146" s="175"/>
      <c r="AM146" s="175"/>
      <c r="AN146" s="175"/>
      <c r="AO146" s="175"/>
      <c r="AP146" s="175"/>
      <c r="AQ146" s="175"/>
      <c r="AR146" s="176"/>
      <c r="AS146" s="176"/>
      <c r="AT146" s="174"/>
      <c r="AU146" s="174"/>
      <c r="AV146" s="175"/>
      <c r="AW146" s="174"/>
      <c r="AX146" s="174"/>
      <c r="AY146" s="174"/>
      <c r="AZ146" s="174"/>
      <c r="BA146" s="174"/>
      <c r="BB146" s="174"/>
      <c r="BC146" s="174"/>
      <c r="BD146" s="174"/>
      <c r="BE146" s="174"/>
      <c r="BF146" s="174"/>
      <c r="BG146" s="174"/>
      <c r="BH146" s="174"/>
      <c r="BI146" s="175">
        <f t="shared" si="39"/>
        <v>0</v>
      </c>
      <c r="BJ146" s="175">
        <f t="shared" si="40"/>
        <v>0</v>
      </c>
      <c r="BK146" s="176"/>
      <c r="BL146" s="170"/>
      <c r="BM146" s="170"/>
      <c r="BN146" s="170"/>
      <c r="BO146" s="172"/>
      <c r="BP146" s="172"/>
      <c r="BQ146" s="172"/>
      <c r="BR146" s="172"/>
      <c r="BS146" s="172"/>
      <c r="BT146" s="172"/>
      <c r="BU146" s="172"/>
      <c r="BV146" s="172"/>
      <c r="BW146" s="172"/>
      <c r="BX146" s="172"/>
      <c r="BY146" s="172"/>
      <c r="BZ146" s="172"/>
      <c r="CA146" s="172">
        <f t="shared" si="41"/>
        <v>0</v>
      </c>
      <c r="CB146" s="172">
        <f t="shared" si="42"/>
        <v>0</v>
      </c>
      <c r="CC146" s="494" t="e">
        <f t="shared" si="43"/>
        <v>#DIV/0!</v>
      </c>
      <c r="CD146" s="192"/>
      <c r="CE146" s="192"/>
      <c r="CF146" s="172"/>
      <c r="CG146" s="172"/>
      <c r="CH146" s="172"/>
      <c r="CI146" s="172"/>
      <c r="CJ146" s="172"/>
      <c r="CK146" s="172"/>
      <c r="CL146" s="172"/>
      <c r="CM146" s="172"/>
      <c r="CN146" s="172"/>
      <c r="CO146" s="172"/>
      <c r="CP146" s="172"/>
      <c r="CQ146" s="172"/>
      <c r="CR146" s="172"/>
      <c r="CS146" s="172">
        <v>0</v>
      </c>
      <c r="CT146" s="172">
        <v>0</v>
      </c>
      <c r="CU146" s="192" t="e">
        <v>#DIV/0!</v>
      </c>
    </row>
    <row r="147" spans="1:99" s="68" customFormat="1" x14ac:dyDescent="0.25">
      <c r="A147" s="490">
        <v>135</v>
      </c>
      <c r="B147" s="63" t="s">
        <v>220</v>
      </c>
      <c r="C147" s="490">
        <v>1178</v>
      </c>
      <c r="D147" s="63" t="s">
        <v>222</v>
      </c>
      <c r="E147" s="490">
        <v>1</v>
      </c>
      <c r="F147" s="559"/>
      <c r="G147" s="559"/>
      <c r="H147" s="559"/>
      <c r="I147" s="559"/>
      <c r="J147" s="561"/>
      <c r="K147" s="561"/>
      <c r="L147" s="166"/>
      <c r="M147" s="166"/>
      <c r="N147" s="166"/>
      <c r="O147" s="166"/>
      <c r="P147" s="180"/>
      <c r="Q147" s="180"/>
      <c r="R147" s="166"/>
      <c r="S147" s="166"/>
      <c r="T147" s="166"/>
      <c r="U147" s="166"/>
      <c r="V147" s="166"/>
      <c r="W147" s="166"/>
      <c r="X147" s="166"/>
      <c r="Y147" s="166"/>
      <c r="Z147" s="174"/>
      <c r="AA147" s="175"/>
      <c r="AB147" s="174"/>
      <c r="AC147" s="175"/>
      <c r="AD147" s="175"/>
      <c r="AE147" s="175"/>
      <c r="AF147" s="175"/>
      <c r="AG147" s="175"/>
      <c r="AH147" s="175"/>
      <c r="AI147" s="175"/>
      <c r="AJ147" s="175"/>
      <c r="AK147" s="175"/>
      <c r="AL147" s="175"/>
      <c r="AM147" s="175"/>
      <c r="AN147" s="175"/>
      <c r="AO147" s="175"/>
      <c r="AP147" s="175"/>
      <c r="AQ147" s="175"/>
      <c r="AR147" s="176"/>
      <c r="AS147" s="176"/>
      <c r="AT147" s="174"/>
      <c r="AU147" s="174"/>
      <c r="AV147" s="175"/>
      <c r="AW147" s="174"/>
      <c r="AX147" s="174"/>
      <c r="AY147" s="174"/>
      <c r="AZ147" s="174"/>
      <c r="BA147" s="174"/>
      <c r="BB147" s="174"/>
      <c r="BC147" s="174"/>
      <c r="BD147" s="174"/>
      <c r="BE147" s="174"/>
      <c r="BF147" s="174"/>
      <c r="BG147" s="174"/>
      <c r="BH147" s="174"/>
      <c r="BI147" s="175">
        <f t="shared" si="39"/>
        <v>0</v>
      </c>
      <c r="BJ147" s="175">
        <f t="shared" si="40"/>
        <v>0</v>
      </c>
      <c r="BK147" s="176"/>
      <c r="BL147" s="170"/>
      <c r="BM147" s="170"/>
      <c r="BN147" s="170"/>
      <c r="BO147" s="172"/>
      <c r="BP147" s="172"/>
      <c r="BQ147" s="172"/>
      <c r="BR147" s="172"/>
      <c r="BS147" s="172"/>
      <c r="BT147" s="172"/>
      <c r="BU147" s="172"/>
      <c r="BV147" s="172"/>
      <c r="BW147" s="172"/>
      <c r="BX147" s="172"/>
      <c r="BY147" s="172"/>
      <c r="BZ147" s="172"/>
      <c r="CA147" s="172">
        <f t="shared" si="41"/>
        <v>0</v>
      </c>
      <c r="CB147" s="172">
        <f t="shared" si="42"/>
        <v>0</v>
      </c>
      <c r="CC147" s="494" t="e">
        <f t="shared" si="43"/>
        <v>#DIV/0!</v>
      </c>
      <c r="CD147" s="192"/>
      <c r="CE147" s="192"/>
      <c r="CF147" s="172"/>
      <c r="CG147" s="172"/>
      <c r="CH147" s="172"/>
      <c r="CI147" s="172"/>
      <c r="CJ147" s="172"/>
      <c r="CK147" s="172"/>
      <c r="CL147" s="172"/>
      <c r="CM147" s="172"/>
      <c r="CN147" s="172"/>
      <c r="CO147" s="172"/>
      <c r="CP147" s="172"/>
      <c r="CQ147" s="172"/>
      <c r="CR147" s="172"/>
      <c r="CS147" s="172">
        <v>0</v>
      </c>
      <c r="CT147" s="172">
        <v>0</v>
      </c>
      <c r="CU147" s="192" t="e">
        <v>#DIV/0!</v>
      </c>
    </row>
    <row r="148" spans="1:99" s="68" customFormat="1" x14ac:dyDescent="0.25">
      <c r="A148" s="490">
        <v>135</v>
      </c>
      <c r="B148" s="63" t="s">
        <v>220</v>
      </c>
      <c r="C148" s="490">
        <v>1178</v>
      </c>
      <c r="D148" s="63" t="s">
        <v>222</v>
      </c>
      <c r="E148" s="490">
        <v>1</v>
      </c>
      <c r="F148" s="559"/>
      <c r="G148" s="559"/>
      <c r="H148" s="559"/>
      <c r="I148" s="559"/>
      <c r="J148" s="561"/>
      <c r="K148" s="561"/>
      <c r="L148" s="166"/>
      <c r="M148" s="166"/>
      <c r="N148" s="166"/>
      <c r="O148" s="166"/>
      <c r="P148" s="180"/>
      <c r="Q148" s="180"/>
      <c r="R148" s="166"/>
      <c r="S148" s="166"/>
      <c r="T148" s="166"/>
      <c r="U148" s="166"/>
      <c r="V148" s="166"/>
      <c r="W148" s="166"/>
      <c r="X148" s="166"/>
      <c r="Y148" s="166"/>
      <c r="Z148" s="174"/>
      <c r="AA148" s="175"/>
      <c r="AB148" s="174"/>
      <c r="AC148" s="175"/>
      <c r="AD148" s="175"/>
      <c r="AE148" s="175"/>
      <c r="AF148" s="175"/>
      <c r="AG148" s="175"/>
      <c r="AH148" s="175"/>
      <c r="AI148" s="175"/>
      <c r="AJ148" s="175"/>
      <c r="AK148" s="175"/>
      <c r="AL148" s="175"/>
      <c r="AM148" s="175"/>
      <c r="AN148" s="175"/>
      <c r="AO148" s="175"/>
      <c r="AP148" s="175"/>
      <c r="AQ148" s="175"/>
      <c r="AR148" s="176"/>
      <c r="AS148" s="176"/>
      <c r="AT148" s="174"/>
      <c r="AU148" s="174"/>
      <c r="AV148" s="175"/>
      <c r="AW148" s="174"/>
      <c r="AX148" s="174"/>
      <c r="AY148" s="174"/>
      <c r="AZ148" s="174"/>
      <c r="BA148" s="174"/>
      <c r="BB148" s="174"/>
      <c r="BC148" s="174"/>
      <c r="BD148" s="174"/>
      <c r="BE148" s="174"/>
      <c r="BF148" s="174"/>
      <c r="BG148" s="174"/>
      <c r="BH148" s="174"/>
      <c r="BI148" s="175">
        <f t="shared" si="39"/>
        <v>0</v>
      </c>
      <c r="BJ148" s="175">
        <f t="shared" si="40"/>
        <v>0</v>
      </c>
      <c r="BK148" s="176"/>
      <c r="BL148" s="170"/>
      <c r="BM148" s="170"/>
      <c r="BN148" s="170"/>
      <c r="BO148" s="172"/>
      <c r="BP148" s="172"/>
      <c r="BQ148" s="172"/>
      <c r="BR148" s="172"/>
      <c r="BS148" s="172"/>
      <c r="BT148" s="172"/>
      <c r="BU148" s="172"/>
      <c r="BV148" s="172"/>
      <c r="BW148" s="172"/>
      <c r="BX148" s="172"/>
      <c r="BY148" s="172"/>
      <c r="BZ148" s="172"/>
      <c r="CA148" s="172">
        <f t="shared" si="41"/>
        <v>0</v>
      </c>
      <c r="CB148" s="172">
        <f t="shared" si="42"/>
        <v>0</v>
      </c>
      <c r="CC148" s="494" t="e">
        <f t="shared" si="43"/>
        <v>#DIV/0!</v>
      </c>
      <c r="CD148" s="192"/>
      <c r="CE148" s="192"/>
      <c r="CF148" s="172"/>
      <c r="CG148" s="172"/>
      <c r="CH148" s="172"/>
      <c r="CI148" s="172"/>
      <c r="CJ148" s="172"/>
      <c r="CK148" s="172"/>
      <c r="CL148" s="172"/>
      <c r="CM148" s="172"/>
      <c r="CN148" s="172"/>
      <c r="CO148" s="172"/>
      <c r="CP148" s="172"/>
      <c r="CQ148" s="172"/>
      <c r="CR148" s="172"/>
      <c r="CS148" s="172">
        <v>0</v>
      </c>
      <c r="CT148" s="172">
        <v>0</v>
      </c>
      <c r="CU148" s="192" t="e">
        <v>#DIV/0!</v>
      </c>
    </row>
    <row r="149" spans="1:99" s="68" customFormat="1" x14ac:dyDescent="0.25">
      <c r="A149" s="490">
        <v>136</v>
      </c>
      <c r="B149" s="63" t="s">
        <v>226</v>
      </c>
      <c r="C149" s="490">
        <v>1167</v>
      </c>
      <c r="D149" s="63" t="s">
        <v>228</v>
      </c>
      <c r="E149" s="490">
        <v>1</v>
      </c>
      <c r="F149" s="559" t="s">
        <v>53</v>
      </c>
      <c r="G149" s="559">
        <v>800</v>
      </c>
      <c r="H149" s="559" t="s">
        <v>61</v>
      </c>
      <c r="I149" s="584" t="s">
        <v>229</v>
      </c>
      <c r="J149" s="560"/>
      <c r="K149" s="560"/>
      <c r="L149" s="166" t="s">
        <v>723</v>
      </c>
      <c r="M149" s="166" t="s">
        <v>115</v>
      </c>
      <c r="N149" s="189" t="s">
        <v>319</v>
      </c>
      <c r="O149" s="166" t="s">
        <v>400</v>
      </c>
      <c r="P149" s="180">
        <v>41534</v>
      </c>
      <c r="Q149" s="173"/>
      <c r="R149" s="166" t="s">
        <v>724</v>
      </c>
      <c r="S149" s="166" t="s">
        <v>725</v>
      </c>
      <c r="T149" s="181" t="s">
        <v>726</v>
      </c>
      <c r="U149" s="166" t="s">
        <v>727</v>
      </c>
      <c r="V149" s="182">
        <v>830031031</v>
      </c>
      <c r="W149" s="166">
        <v>200</v>
      </c>
      <c r="X149" s="166" t="s">
        <v>498</v>
      </c>
      <c r="Y149" s="166" t="s">
        <v>728</v>
      </c>
      <c r="Z149" s="174">
        <v>659</v>
      </c>
      <c r="AA149" s="175">
        <v>124350000</v>
      </c>
      <c r="AB149" s="174">
        <v>717</v>
      </c>
      <c r="AC149" s="175">
        <v>124350000</v>
      </c>
      <c r="AD149" s="175">
        <v>0</v>
      </c>
      <c r="AE149" s="175">
        <v>0</v>
      </c>
      <c r="AF149" s="175">
        <v>0</v>
      </c>
      <c r="AG149" s="175">
        <v>0</v>
      </c>
      <c r="AH149" s="175">
        <v>0</v>
      </c>
      <c r="AI149" s="175">
        <v>0</v>
      </c>
      <c r="AJ149" s="175">
        <v>0</v>
      </c>
      <c r="AK149" s="175">
        <v>0</v>
      </c>
      <c r="AL149" s="175">
        <v>0</v>
      </c>
      <c r="AM149" s="175">
        <v>0</v>
      </c>
      <c r="AN149" s="175">
        <v>0</v>
      </c>
      <c r="AO149" s="175">
        <v>0</v>
      </c>
      <c r="AP149" s="175">
        <f>SUM(AD149:AO149)</f>
        <v>0</v>
      </c>
      <c r="AQ149" s="175">
        <f>+AC149-AP149</f>
        <v>124350000</v>
      </c>
      <c r="AR149" s="176">
        <f>AP149/AC149</f>
        <v>0</v>
      </c>
      <c r="AS149" s="176"/>
      <c r="AT149" s="174">
        <v>442</v>
      </c>
      <c r="AU149" s="174">
        <v>424</v>
      </c>
      <c r="AV149" s="198">
        <v>69350000</v>
      </c>
      <c r="AW149" s="174">
        <v>0</v>
      </c>
      <c r="AX149" s="174">
        <v>0</v>
      </c>
      <c r="AY149" s="174">
        <v>49740000</v>
      </c>
      <c r="AZ149" s="174">
        <v>19610000</v>
      </c>
      <c r="BA149" s="174">
        <v>0</v>
      </c>
      <c r="BB149" s="174">
        <v>0</v>
      </c>
      <c r="BC149" s="174">
        <v>0</v>
      </c>
      <c r="BD149" s="174">
        <v>0</v>
      </c>
      <c r="BE149" s="174">
        <v>0</v>
      </c>
      <c r="BF149" s="174">
        <v>0</v>
      </c>
      <c r="BG149" s="174">
        <v>0</v>
      </c>
      <c r="BH149" s="174">
        <v>0</v>
      </c>
      <c r="BI149" s="175">
        <f t="shared" si="39"/>
        <v>69350000</v>
      </c>
      <c r="BJ149" s="175">
        <f t="shared" si="40"/>
        <v>0</v>
      </c>
      <c r="BK149" s="176">
        <f>+BI149/AV149</f>
        <v>1</v>
      </c>
      <c r="BL149" s="170"/>
      <c r="BM149" s="170"/>
      <c r="BN149" s="170"/>
      <c r="BO149" s="172"/>
      <c r="BP149" s="172"/>
      <c r="BQ149" s="172"/>
      <c r="BR149" s="172"/>
      <c r="BS149" s="172"/>
      <c r="BT149" s="172"/>
      <c r="BU149" s="172"/>
      <c r="BV149" s="172"/>
      <c r="BW149" s="172"/>
      <c r="BX149" s="172"/>
      <c r="BY149" s="172"/>
      <c r="BZ149" s="172"/>
      <c r="CA149" s="172">
        <f t="shared" si="41"/>
        <v>0</v>
      </c>
      <c r="CB149" s="172">
        <f t="shared" si="42"/>
        <v>0</v>
      </c>
      <c r="CC149" s="494" t="e">
        <f t="shared" si="43"/>
        <v>#DIV/0!</v>
      </c>
      <c r="CD149" s="192"/>
      <c r="CE149" s="192"/>
      <c r="CF149" s="172"/>
      <c r="CG149" s="172"/>
      <c r="CH149" s="172"/>
      <c r="CI149" s="172"/>
      <c r="CJ149" s="172"/>
      <c r="CK149" s="172"/>
      <c r="CL149" s="172"/>
      <c r="CM149" s="172"/>
      <c r="CN149" s="172"/>
      <c r="CO149" s="172"/>
      <c r="CP149" s="172"/>
      <c r="CQ149" s="172"/>
      <c r="CR149" s="172"/>
      <c r="CS149" s="172">
        <v>0</v>
      </c>
      <c r="CT149" s="172">
        <v>0</v>
      </c>
      <c r="CU149" s="192" t="e">
        <v>#DIV/0!</v>
      </c>
    </row>
    <row r="150" spans="1:99" s="68" customFormat="1" x14ac:dyDescent="0.25">
      <c r="A150" s="490">
        <v>136</v>
      </c>
      <c r="B150" s="63" t="s">
        <v>226</v>
      </c>
      <c r="C150" s="490">
        <v>1167</v>
      </c>
      <c r="D150" s="63" t="s">
        <v>228</v>
      </c>
      <c r="E150" s="490">
        <v>1</v>
      </c>
      <c r="F150" s="559"/>
      <c r="G150" s="559"/>
      <c r="H150" s="559"/>
      <c r="I150" s="585"/>
      <c r="J150" s="561"/>
      <c r="K150" s="561"/>
      <c r="L150" s="166" t="s">
        <v>723</v>
      </c>
      <c r="M150" s="166" t="s">
        <v>115</v>
      </c>
      <c r="N150" s="189" t="s">
        <v>319</v>
      </c>
      <c r="O150" s="166" t="s">
        <v>400</v>
      </c>
      <c r="P150" s="180">
        <v>41534</v>
      </c>
      <c r="Q150" s="180">
        <v>41585</v>
      </c>
      <c r="R150" s="166" t="s">
        <v>724</v>
      </c>
      <c r="S150" s="166" t="s">
        <v>725</v>
      </c>
      <c r="T150" s="181" t="s">
        <v>726</v>
      </c>
      <c r="U150" s="166" t="s">
        <v>727</v>
      </c>
      <c r="V150" s="182">
        <v>830031031</v>
      </c>
      <c r="W150" s="166">
        <v>200</v>
      </c>
      <c r="X150" s="166" t="s">
        <v>498</v>
      </c>
      <c r="Y150" s="166" t="s">
        <v>728</v>
      </c>
      <c r="Z150" s="174">
        <v>659</v>
      </c>
      <c r="AA150" s="175"/>
      <c r="AB150" s="174">
        <v>717</v>
      </c>
      <c r="AC150" s="175"/>
      <c r="AD150" s="175">
        <v>0</v>
      </c>
      <c r="AE150" s="175">
        <v>0</v>
      </c>
      <c r="AF150" s="175">
        <v>0</v>
      </c>
      <c r="AG150" s="175">
        <v>0</v>
      </c>
      <c r="AH150" s="175">
        <v>0</v>
      </c>
      <c r="AI150" s="175">
        <v>0</v>
      </c>
      <c r="AJ150" s="175">
        <v>0</v>
      </c>
      <c r="AK150" s="175">
        <v>0</v>
      </c>
      <c r="AL150" s="175">
        <v>0</v>
      </c>
      <c r="AM150" s="175">
        <v>0</v>
      </c>
      <c r="AN150" s="175">
        <v>0</v>
      </c>
      <c r="AO150" s="175">
        <v>0</v>
      </c>
      <c r="AP150" s="175">
        <f>SUM(AD150:AO150)</f>
        <v>0</v>
      </c>
      <c r="AQ150" s="175">
        <f>+AC150-AP150</f>
        <v>0</v>
      </c>
      <c r="AR150" s="176" t="e">
        <f>AP150/AC150</f>
        <v>#DIV/0!</v>
      </c>
      <c r="AS150" s="176"/>
      <c r="AT150" s="174">
        <v>491</v>
      </c>
      <c r="AU150" s="174">
        <v>486</v>
      </c>
      <c r="AV150" s="198">
        <v>55000000</v>
      </c>
      <c r="AW150" s="174">
        <v>0</v>
      </c>
      <c r="AX150" s="174">
        <v>0</v>
      </c>
      <c r="AY150" s="174">
        <v>0</v>
      </c>
      <c r="AZ150" s="174">
        <v>54885000</v>
      </c>
      <c r="BA150" s="174">
        <v>0</v>
      </c>
      <c r="BB150" s="174">
        <v>0</v>
      </c>
      <c r="BC150" s="174">
        <v>0</v>
      </c>
      <c r="BD150" s="174">
        <v>0</v>
      </c>
      <c r="BE150" s="174">
        <v>0</v>
      </c>
      <c r="BF150" s="174">
        <v>0</v>
      </c>
      <c r="BG150" s="174">
        <v>0</v>
      </c>
      <c r="BH150" s="174">
        <v>0</v>
      </c>
      <c r="BI150" s="175">
        <f t="shared" si="39"/>
        <v>54885000</v>
      </c>
      <c r="BJ150" s="175">
        <f t="shared" si="40"/>
        <v>115000</v>
      </c>
      <c r="BK150" s="176">
        <f>+BI150/AV150</f>
        <v>0.99790909090909086</v>
      </c>
      <c r="BL150" s="170">
        <v>142</v>
      </c>
      <c r="BM150" s="170">
        <v>401</v>
      </c>
      <c r="BN150" s="170">
        <v>0</v>
      </c>
      <c r="BO150" s="172">
        <v>0</v>
      </c>
      <c r="BP150" s="172">
        <v>0</v>
      </c>
      <c r="BQ150" s="172">
        <v>0</v>
      </c>
      <c r="BR150" s="172">
        <v>0</v>
      </c>
      <c r="BS150" s="172">
        <v>0</v>
      </c>
      <c r="BT150" s="172">
        <v>0</v>
      </c>
      <c r="BU150" s="172">
        <v>0</v>
      </c>
      <c r="BV150" s="172">
        <v>0</v>
      </c>
      <c r="BW150" s="172">
        <v>0</v>
      </c>
      <c r="BX150" s="172">
        <v>0</v>
      </c>
      <c r="BY150" s="172">
        <v>0</v>
      </c>
      <c r="BZ150" s="172">
        <v>0</v>
      </c>
      <c r="CA150" s="172">
        <f t="shared" si="41"/>
        <v>0</v>
      </c>
      <c r="CB150" s="172">
        <f t="shared" si="42"/>
        <v>0</v>
      </c>
      <c r="CC150" s="494" t="e">
        <f t="shared" si="43"/>
        <v>#DIV/0!</v>
      </c>
      <c r="CD150" s="192"/>
      <c r="CE150" s="192"/>
      <c r="CF150" s="172"/>
      <c r="CG150" s="172"/>
      <c r="CH150" s="172"/>
      <c r="CI150" s="172"/>
      <c r="CJ150" s="172"/>
      <c r="CK150" s="172"/>
      <c r="CL150" s="172"/>
      <c r="CM150" s="172"/>
      <c r="CN150" s="172"/>
      <c r="CO150" s="172"/>
      <c r="CP150" s="172"/>
      <c r="CQ150" s="172"/>
      <c r="CR150" s="172"/>
      <c r="CS150" s="172">
        <v>0</v>
      </c>
      <c r="CT150" s="172">
        <v>0</v>
      </c>
      <c r="CU150" s="192" t="e">
        <v>#DIV/0!</v>
      </c>
    </row>
    <row r="151" spans="1:99" s="68" customFormat="1" x14ac:dyDescent="0.25">
      <c r="A151" s="490">
        <v>136</v>
      </c>
      <c r="B151" s="63" t="s">
        <v>226</v>
      </c>
      <c r="C151" s="490">
        <v>1167</v>
      </c>
      <c r="D151" s="63" t="s">
        <v>228</v>
      </c>
      <c r="E151" s="490">
        <v>1</v>
      </c>
      <c r="F151" s="559"/>
      <c r="G151" s="559"/>
      <c r="H151" s="559"/>
      <c r="I151" s="585"/>
      <c r="J151" s="561"/>
      <c r="K151" s="561"/>
      <c r="L151" s="166" t="s">
        <v>729</v>
      </c>
      <c r="M151" s="166" t="s">
        <v>115</v>
      </c>
      <c r="N151" s="189" t="s">
        <v>391</v>
      </c>
      <c r="O151" s="166" t="s">
        <v>320</v>
      </c>
      <c r="P151" s="180">
        <v>41576</v>
      </c>
      <c r="Q151" s="180">
        <v>41585</v>
      </c>
      <c r="R151" s="166" t="s">
        <v>724</v>
      </c>
      <c r="S151" s="189" t="s">
        <v>730</v>
      </c>
      <c r="T151" s="199" t="s">
        <v>731</v>
      </c>
      <c r="U151" s="166" t="s">
        <v>732</v>
      </c>
      <c r="V151" s="189">
        <v>64695399</v>
      </c>
      <c r="W151" s="166">
        <v>200</v>
      </c>
      <c r="X151" s="166" t="s">
        <v>498</v>
      </c>
      <c r="Y151" s="166"/>
      <c r="Z151" s="174">
        <v>768</v>
      </c>
      <c r="AA151" s="175">
        <v>6000000</v>
      </c>
      <c r="AB151" s="174">
        <v>762</v>
      </c>
      <c r="AC151" s="175">
        <v>6000000</v>
      </c>
      <c r="AD151" s="175">
        <v>0</v>
      </c>
      <c r="AE151" s="175">
        <v>0</v>
      </c>
      <c r="AF151" s="175">
        <v>0</v>
      </c>
      <c r="AG151" s="175">
        <v>0</v>
      </c>
      <c r="AH151" s="175">
        <v>0</v>
      </c>
      <c r="AI151" s="175">
        <v>0</v>
      </c>
      <c r="AJ151" s="175">
        <v>0</v>
      </c>
      <c r="AK151" s="175">
        <v>0</v>
      </c>
      <c r="AL151" s="175">
        <v>0</v>
      </c>
      <c r="AM151" s="175">
        <v>0</v>
      </c>
      <c r="AN151" s="175">
        <v>0</v>
      </c>
      <c r="AO151" s="175">
        <v>0</v>
      </c>
      <c r="AP151" s="175">
        <f>SUM(AD151:AO151)</f>
        <v>0</v>
      </c>
      <c r="AQ151" s="175">
        <f>+AC151-AP151</f>
        <v>6000000</v>
      </c>
      <c r="AR151" s="176">
        <f>AP151/AC151</f>
        <v>0</v>
      </c>
      <c r="AS151" s="176"/>
      <c r="AT151" s="174">
        <v>167</v>
      </c>
      <c r="AU151" s="174">
        <v>166</v>
      </c>
      <c r="AV151" s="198">
        <v>6000000</v>
      </c>
      <c r="AW151" s="174">
        <v>0</v>
      </c>
      <c r="AX151" s="174">
        <v>2000000</v>
      </c>
      <c r="AY151" s="174">
        <v>0</v>
      </c>
      <c r="AZ151" s="174">
        <v>4000000</v>
      </c>
      <c r="BA151" s="174">
        <v>0</v>
      </c>
      <c r="BB151" s="174">
        <v>0</v>
      </c>
      <c r="BC151" s="174">
        <v>0</v>
      </c>
      <c r="BD151" s="174">
        <v>0</v>
      </c>
      <c r="BE151" s="174">
        <v>0</v>
      </c>
      <c r="BF151" s="174">
        <v>0</v>
      </c>
      <c r="BG151" s="174">
        <v>0</v>
      </c>
      <c r="BH151" s="174">
        <v>0</v>
      </c>
      <c r="BI151" s="175">
        <f t="shared" si="39"/>
        <v>6000000</v>
      </c>
      <c r="BJ151" s="175">
        <f t="shared" si="40"/>
        <v>0</v>
      </c>
      <c r="BK151" s="176">
        <f>+BI151/AV151</f>
        <v>1</v>
      </c>
      <c r="BL151" s="170"/>
      <c r="BM151" s="170"/>
      <c r="BN151" s="170"/>
      <c r="BO151" s="172"/>
      <c r="BP151" s="172"/>
      <c r="BQ151" s="172"/>
      <c r="BR151" s="172"/>
      <c r="BS151" s="172"/>
      <c r="BT151" s="172"/>
      <c r="BU151" s="172"/>
      <c r="BV151" s="172"/>
      <c r="BW151" s="172"/>
      <c r="BX151" s="172"/>
      <c r="BY151" s="172"/>
      <c r="BZ151" s="172"/>
      <c r="CA151" s="172">
        <f t="shared" si="41"/>
        <v>0</v>
      </c>
      <c r="CB151" s="172">
        <f t="shared" si="42"/>
        <v>0</v>
      </c>
      <c r="CC151" s="494" t="e">
        <f t="shared" si="43"/>
        <v>#DIV/0!</v>
      </c>
      <c r="CD151" s="192"/>
      <c r="CE151" s="192"/>
      <c r="CF151" s="172"/>
      <c r="CG151" s="172"/>
      <c r="CH151" s="172"/>
      <c r="CI151" s="172"/>
      <c r="CJ151" s="172"/>
      <c r="CK151" s="172"/>
      <c r="CL151" s="172"/>
      <c r="CM151" s="172"/>
      <c r="CN151" s="172"/>
      <c r="CO151" s="172"/>
      <c r="CP151" s="172"/>
      <c r="CQ151" s="172"/>
      <c r="CR151" s="172"/>
      <c r="CS151" s="172">
        <v>0</v>
      </c>
      <c r="CT151" s="172">
        <v>0</v>
      </c>
      <c r="CU151" s="192" t="e">
        <v>#DIV/0!</v>
      </c>
    </row>
    <row r="152" spans="1:99" s="68" customFormat="1" ht="13.5" customHeight="1" x14ac:dyDescent="0.25">
      <c r="A152" s="490">
        <v>137</v>
      </c>
      <c r="B152" s="63" t="s">
        <v>231</v>
      </c>
      <c r="C152" s="490">
        <v>1167</v>
      </c>
      <c r="D152" s="63" t="s">
        <v>228</v>
      </c>
      <c r="E152" s="490">
        <v>2</v>
      </c>
      <c r="F152" s="584" t="s">
        <v>53</v>
      </c>
      <c r="G152" s="584">
        <v>800</v>
      </c>
      <c r="H152" s="584" t="s">
        <v>61</v>
      </c>
      <c r="I152" s="584" t="s">
        <v>232</v>
      </c>
      <c r="J152" s="586"/>
      <c r="K152" s="586"/>
      <c r="L152" s="166" t="s">
        <v>733</v>
      </c>
      <c r="M152" s="166" t="s">
        <v>115</v>
      </c>
      <c r="N152" s="189" t="s">
        <v>349</v>
      </c>
      <c r="O152" s="166" t="s">
        <v>320</v>
      </c>
      <c r="P152" s="180">
        <v>41619</v>
      </c>
      <c r="Q152" s="180">
        <v>41652</v>
      </c>
      <c r="R152" s="166" t="s">
        <v>310</v>
      </c>
      <c r="S152" s="189" t="s">
        <v>734</v>
      </c>
      <c r="T152" s="199" t="s">
        <v>735</v>
      </c>
      <c r="U152" s="166" t="s">
        <v>736</v>
      </c>
      <c r="V152" s="189">
        <v>52825968</v>
      </c>
      <c r="W152" s="166">
        <v>60</v>
      </c>
      <c r="X152" s="166" t="s">
        <v>737</v>
      </c>
      <c r="Y152" s="166"/>
      <c r="Z152" s="174">
        <v>799</v>
      </c>
      <c r="AA152" s="175">
        <v>3800000</v>
      </c>
      <c r="AB152" s="174">
        <v>840</v>
      </c>
      <c r="AC152" s="175">
        <v>1800000</v>
      </c>
      <c r="AD152" s="175">
        <v>0</v>
      </c>
      <c r="AE152" s="175">
        <v>0</v>
      </c>
      <c r="AF152" s="175">
        <v>0</v>
      </c>
      <c r="AG152" s="175">
        <v>0</v>
      </c>
      <c r="AH152" s="175">
        <v>0</v>
      </c>
      <c r="AI152" s="175">
        <v>0</v>
      </c>
      <c r="AJ152" s="175">
        <v>0</v>
      </c>
      <c r="AK152" s="175">
        <v>0</v>
      </c>
      <c r="AL152" s="175">
        <v>0</v>
      </c>
      <c r="AM152" s="175">
        <v>0</v>
      </c>
      <c r="AN152" s="175">
        <v>0</v>
      </c>
      <c r="AO152" s="175">
        <v>0</v>
      </c>
      <c r="AP152" s="175">
        <f>SUM(AD152:AO152)</f>
        <v>0</v>
      </c>
      <c r="AQ152" s="175">
        <f>+AC152-AP152</f>
        <v>1800000</v>
      </c>
      <c r="AR152" s="176">
        <f>AP152/AC152</f>
        <v>0</v>
      </c>
      <c r="AS152" s="176"/>
      <c r="AT152" s="174">
        <v>219</v>
      </c>
      <c r="AU152" s="174">
        <v>219</v>
      </c>
      <c r="AV152" s="198">
        <v>1800000</v>
      </c>
      <c r="AW152" s="174">
        <v>0</v>
      </c>
      <c r="AX152" s="174">
        <v>0</v>
      </c>
      <c r="AY152" s="174">
        <v>0</v>
      </c>
      <c r="AZ152" s="174">
        <v>1800000</v>
      </c>
      <c r="BA152" s="174">
        <v>0</v>
      </c>
      <c r="BB152" s="174">
        <v>0</v>
      </c>
      <c r="BC152" s="174">
        <v>0</v>
      </c>
      <c r="BD152" s="174">
        <v>0</v>
      </c>
      <c r="BE152" s="174">
        <v>0</v>
      </c>
      <c r="BF152" s="174">
        <v>0</v>
      </c>
      <c r="BG152" s="174">
        <v>0</v>
      </c>
      <c r="BH152" s="174">
        <v>0</v>
      </c>
      <c r="BI152" s="175">
        <f t="shared" si="39"/>
        <v>1800000</v>
      </c>
      <c r="BJ152" s="175">
        <f t="shared" si="40"/>
        <v>0</v>
      </c>
      <c r="BK152" s="176">
        <f>+BI152/AV152</f>
        <v>1</v>
      </c>
      <c r="BL152" s="170"/>
      <c r="BM152" s="170"/>
      <c r="BN152" s="170"/>
      <c r="BO152" s="172"/>
      <c r="BP152" s="172"/>
      <c r="BQ152" s="172"/>
      <c r="BR152" s="172"/>
      <c r="BS152" s="172"/>
      <c r="BT152" s="172"/>
      <c r="BU152" s="172"/>
      <c r="BV152" s="172"/>
      <c r="BW152" s="172"/>
      <c r="BX152" s="172"/>
      <c r="BY152" s="172"/>
      <c r="BZ152" s="172"/>
      <c r="CA152" s="172">
        <f t="shared" si="41"/>
        <v>0</v>
      </c>
      <c r="CB152" s="172">
        <f t="shared" si="42"/>
        <v>0</v>
      </c>
      <c r="CC152" s="494" t="e">
        <f t="shared" si="43"/>
        <v>#DIV/0!</v>
      </c>
      <c r="CD152" s="192"/>
      <c r="CE152" s="192"/>
      <c r="CF152" s="172"/>
      <c r="CG152" s="172"/>
      <c r="CH152" s="172"/>
      <c r="CI152" s="172"/>
      <c r="CJ152" s="172"/>
      <c r="CK152" s="172"/>
      <c r="CL152" s="172"/>
      <c r="CM152" s="172"/>
      <c r="CN152" s="172"/>
      <c r="CO152" s="172"/>
      <c r="CP152" s="172"/>
      <c r="CQ152" s="172"/>
      <c r="CR152" s="172"/>
      <c r="CS152" s="172">
        <v>0</v>
      </c>
      <c r="CT152" s="172">
        <v>0</v>
      </c>
      <c r="CU152" s="192" t="e">
        <v>#DIV/0!</v>
      </c>
    </row>
    <row r="153" spans="1:99" s="68" customFormat="1" x14ac:dyDescent="0.25">
      <c r="A153" s="490">
        <v>137</v>
      </c>
      <c r="B153" s="63" t="s">
        <v>231</v>
      </c>
      <c r="C153" s="490">
        <v>1167</v>
      </c>
      <c r="D153" s="63" t="s">
        <v>228</v>
      </c>
      <c r="E153" s="490">
        <v>2</v>
      </c>
      <c r="F153" s="585"/>
      <c r="G153" s="585"/>
      <c r="H153" s="585"/>
      <c r="I153" s="585"/>
      <c r="J153" s="587"/>
      <c r="K153" s="587"/>
      <c r="L153" s="166" t="s">
        <v>738</v>
      </c>
      <c r="M153" s="166" t="s">
        <v>115</v>
      </c>
      <c r="N153" s="189" t="s">
        <v>349</v>
      </c>
      <c r="O153" s="166" t="s">
        <v>356</v>
      </c>
      <c r="P153" s="180">
        <v>41611</v>
      </c>
      <c r="Q153" s="180">
        <v>41652</v>
      </c>
      <c r="R153" s="166" t="s">
        <v>310</v>
      </c>
      <c r="S153" s="189" t="s">
        <v>739</v>
      </c>
      <c r="T153" s="199" t="s">
        <v>740</v>
      </c>
      <c r="U153" s="166" t="s">
        <v>385</v>
      </c>
      <c r="V153" s="189">
        <v>900133924</v>
      </c>
      <c r="W153" s="166">
        <v>60</v>
      </c>
      <c r="X153" s="166" t="s">
        <v>737</v>
      </c>
      <c r="Y153" s="166"/>
      <c r="Z153" s="174">
        <v>798</v>
      </c>
      <c r="AA153" s="175">
        <v>16200000</v>
      </c>
      <c r="AB153" s="174">
        <v>831</v>
      </c>
      <c r="AC153" s="175">
        <v>12850000</v>
      </c>
      <c r="AD153" s="175">
        <v>0</v>
      </c>
      <c r="AE153" s="175">
        <v>0</v>
      </c>
      <c r="AF153" s="175">
        <v>0</v>
      </c>
      <c r="AG153" s="175">
        <v>0</v>
      </c>
      <c r="AH153" s="175">
        <v>0</v>
      </c>
      <c r="AI153" s="175">
        <v>0</v>
      </c>
      <c r="AJ153" s="175">
        <v>0</v>
      </c>
      <c r="AK153" s="175">
        <v>0</v>
      </c>
      <c r="AL153" s="175">
        <v>0</v>
      </c>
      <c r="AM153" s="175">
        <v>0</v>
      </c>
      <c r="AN153" s="175">
        <v>0</v>
      </c>
      <c r="AO153" s="175">
        <v>0</v>
      </c>
      <c r="AP153" s="175">
        <f>SUM(AD153:AO153)</f>
        <v>0</v>
      </c>
      <c r="AQ153" s="175">
        <f>+AC153-AP153</f>
        <v>12850000</v>
      </c>
      <c r="AR153" s="176">
        <f>AP153/AC153</f>
        <v>0</v>
      </c>
      <c r="AS153" s="176"/>
      <c r="AT153" s="174">
        <v>218</v>
      </c>
      <c r="AU153" s="174">
        <v>218</v>
      </c>
      <c r="AV153" s="198">
        <v>12850000</v>
      </c>
      <c r="AW153" s="174">
        <v>0</v>
      </c>
      <c r="AX153" s="174">
        <v>0</v>
      </c>
      <c r="AY153" s="174">
        <v>0</v>
      </c>
      <c r="AZ153" s="174">
        <v>12850000</v>
      </c>
      <c r="BA153" s="174">
        <v>0</v>
      </c>
      <c r="BB153" s="174">
        <v>0</v>
      </c>
      <c r="BC153" s="174">
        <v>0</v>
      </c>
      <c r="BD153" s="174">
        <v>0</v>
      </c>
      <c r="BE153" s="174">
        <v>0</v>
      </c>
      <c r="BF153" s="174">
        <v>0</v>
      </c>
      <c r="BG153" s="174">
        <v>0</v>
      </c>
      <c r="BH153" s="174">
        <v>0</v>
      </c>
      <c r="BI153" s="175">
        <f t="shared" si="39"/>
        <v>12850000</v>
      </c>
      <c r="BJ153" s="175">
        <f t="shared" si="40"/>
        <v>0</v>
      </c>
      <c r="BK153" s="176">
        <f>+BI153/AV153</f>
        <v>1</v>
      </c>
      <c r="BL153" s="170"/>
      <c r="BM153" s="170"/>
      <c r="BN153" s="170"/>
      <c r="BO153" s="172"/>
      <c r="BP153" s="172"/>
      <c r="BQ153" s="172"/>
      <c r="BR153" s="172"/>
      <c r="BS153" s="172"/>
      <c r="BT153" s="172"/>
      <c r="BU153" s="172"/>
      <c r="BV153" s="172"/>
      <c r="BW153" s="172"/>
      <c r="BX153" s="172"/>
      <c r="BY153" s="172"/>
      <c r="BZ153" s="172"/>
      <c r="CA153" s="172">
        <f t="shared" si="41"/>
        <v>0</v>
      </c>
      <c r="CB153" s="172">
        <f t="shared" si="42"/>
        <v>0</v>
      </c>
      <c r="CC153" s="494" t="e">
        <f t="shared" si="43"/>
        <v>#DIV/0!</v>
      </c>
      <c r="CD153" s="192"/>
      <c r="CE153" s="192"/>
      <c r="CF153" s="172"/>
      <c r="CG153" s="172"/>
      <c r="CH153" s="172"/>
      <c r="CI153" s="172"/>
      <c r="CJ153" s="172"/>
      <c r="CK153" s="172"/>
      <c r="CL153" s="172"/>
      <c r="CM153" s="172"/>
      <c r="CN153" s="172"/>
      <c r="CO153" s="172"/>
      <c r="CP153" s="172"/>
      <c r="CQ153" s="172"/>
      <c r="CR153" s="172"/>
      <c r="CS153" s="172">
        <v>0</v>
      </c>
      <c r="CT153" s="172">
        <v>0</v>
      </c>
      <c r="CU153" s="192" t="e">
        <v>#DIV/0!</v>
      </c>
    </row>
    <row r="154" spans="1:99" s="68" customFormat="1" x14ac:dyDescent="0.25">
      <c r="A154" s="490">
        <v>137</v>
      </c>
      <c r="B154" s="63" t="s">
        <v>231</v>
      </c>
      <c r="C154" s="490">
        <v>1167</v>
      </c>
      <c r="D154" s="63" t="s">
        <v>228</v>
      </c>
      <c r="E154" s="490">
        <v>2</v>
      </c>
      <c r="F154" s="585"/>
      <c r="G154" s="585"/>
      <c r="H154" s="585"/>
      <c r="I154" s="585"/>
      <c r="J154" s="587"/>
      <c r="K154" s="587"/>
      <c r="L154" s="166"/>
      <c r="M154" s="166"/>
      <c r="N154" s="166"/>
      <c r="O154" s="166"/>
      <c r="P154" s="180"/>
      <c r="Q154" s="180"/>
      <c r="R154" s="180"/>
      <c r="S154" s="189"/>
      <c r="T154" s="166"/>
      <c r="U154" s="166"/>
      <c r="V154" s="166"/>
      <c r="W154" s="166"/>
      <c r="X154" s="166"/>
      <c r="Y154" s="166"/>
      <c r="Z154" s="174"/>
      <c r="AA154" s="175"/>
      <c r="AB154" s="174"/>
      <c r="AC154" s="175"/>
      <c r="AD154" s="175"/>
      <c r="AE154" s="175"/>
      <c r="AF154" s="175"/>
      <c r="AG154" s="175"/>
      <c r="AH154" s="175"/>
      <c r="AI154" s="175"/>
      <c r="AJ154" s="175"/>
      <c r="AK154" s="175"/>
      <c r="AL154" s="175"/>
      <c r="AM154" s="175"/>
      <c r="AN154" s="175"/>
      <c r="AO154" s="175"/>
      <c r="AP154" s="175"/>
      <c r="AQ154" s="175"/>
      <c r="AR154" s="176"/>
      <c r="AS154" s="176"/>
      <c r="AT154" s="174"/>
      <c r="AU154" s="174"/>
      <c r="AV154" s="198"/>
      <c r="AW154" s="174"/>
      <c r="AX154" s="174"/>
      <c r="AY154" s="174"/>
      <c r="AZ154" s="174"/>
      <c r="BA154" s="174"/>
      <c r="BB154" s="174"/>
      <c r="BC154" s="174"/>
      <c r="BD154" s="174"/>
      <c r="BE154" s="174"/>
      <c r="BF154" s="174"/>
      <c r="BG154" s="174"/>
      <c r="BH154" s="174"/>
      <c r="BI154" s="175">
        <f t="shared" si="39"/>
        <v>0</v>
      </c>
      <c r="BJ154" s="175">
        <f t="shared" si="40"/>
        <v>0</v>
      </c>
      <c r="BK154" s="176"/>
      <c r="BL154" s="170"/>
      <c r="BM154" s="170"/>
      <c r="BN154" s="170"/>
      <c r="BO154" s="172"/>
      <c r="BP154" s="172"/>
      <c r="BQ154" s="172"/>
      <c r="BR154" s="172"/>
      <c r="BS154" s="172"/>
      <c r="BT154" s="172"/>
      <c r="BU154" s="172"/>
      <c r="BV154" s="172"/>
      <c r="BW154" s="172"/>
      <c r="BX154" s="172"/>
      <c r="BY154" s="172"/>
      <c r="BZ154" s="172"/>
      <c r="CA154" s="172">
        <f t="shared" si="41"/>
        <v>0</v>
      </c>
      <c r="CB154" s="172">
        <f t="shared" si="42"/>
        <v>0</v>
      </c>
      <c r="CC154" s="494" t="e">
        <f t="shared" si="43"/>
        <v>#DIV/0!</v>
      </c>
      <c r="CD154" s="192"/>
      <c r="CE154" s="192"/>
      <c r="CF154" s="172"/>
      <c r="CG154" s="172"/>
      <c r="CH154" s="172"/>
      <c r="CI154" s="172"/>
      <c r="CJ154" s="172"/>
      <c r="CK154" s="172"/>
      <c r="CL154" s="172"/>
      <c r="CM154" s="172"/>
      <c r="CN154" s="172"/>
      <c r="CO154" s="172"/>
      <c r="CP154" s="172"/>
      <c r="CQ154" s="172"/>
      <c r="CR154" s="172"/>
      <c r="CS154" s="172">
        <v>0</v>
      </c>
      <c r="CT154" s="172">
        <v>0</v>
      </c>
      <c r="CU154" s="192" t="e">
        <v>#DIV/0!</v>
      </c>
    </row>
    <row r="155" spans="1:99" s="68" customFormat="1" x14ac:dyDescent="0.25">
      <c r="A155" s="490">
        <v>138</v>
      </c>
      <c r="B155" s="63" t="s">
        <v>233</v>
      </c>
      <c r="C155" s="490">
        <v>1167</v>
      </c>
      <c r="D155" s="63" t="s">
        <v>228</v>
      </c>
      <c r="E155" s="490">
        <v>3</v>
      </c>
      <c r="F155" s="559" t="s">
        <v>53</v>
      </c>
      <c r="G155" s="559">
        <v>800</v>
      </c>
      <c r="H155" s="559" t="s">
        <v>61</v>
      </c>
      <c r="I155" s="559" t="s">
        <v>234</v>
      </c>
      <c r="J155" s="560"/>
      <c r="K155" s="560"/>
      <c r="L155" s="166"/>
      <c r="M155" s="166"/>
      <c r="N155" s="173"/>
      <c r="O155" s="166"/>
      <c r="P155" s="173"/>
      <c r="Q155" s="173"/>
      <c r="R155" s="173"/>
      <c r="S155" s="189"/>
      <c r="T155" s="173"/>
      <c r="U155" s="166"/>
      <c r="V155" s="173"/>
      <c r="W155" s="173"/>
      <c r="X155" s="173"/>
      <c r="Y155" s="166"/>
      <c r="Z155" s="192"/>
      <c r="AA155" s="192"/>
      <c r="AB155" s="192"/>
      <c r="AC155" s="192"/>
      <c r="AD155" s="192"/>
      <c r="AE155" s="192"/>
      <c r="AF155" s="192"/>
      <c r="AG155" s="192"/>
      <c r="AH155" s="192"/>
      <c r="AI155" s="192"/>
      <c r="AJ155" s="192"/>
      <c r="AK155" s="192"/>
      <c r="AL155" s="192"/>
      <c r="AM155" s="192"/>
      <c r="AN155" s="192"/>
      <c r="AO155" s="192"/>
      <c r="AP155" s="192"/>
      <c r="AQ155" s="192"/>
      <c r="AR155" s="192"/>
      <c r="AS155" s="192"/>
      <c r="AT155" s="174"/>
      <c r="AU155" s="174"/>
      <c r="AV155" s="198"/>
      <c r="AW155" s="191"/>
      <c r="AX155" s="192"/>
      <c r="AY155" s="192"/>
      <c r="AZ155" s="192"/>
      <c r="BA155" s="192"/>
      <c r="BB155" s="192"/>
      <c r="BC155" s="192"/>
      <c r="BD155" s="192"/>
      <c r="BE155" s="192"/>
      <c r="BF155" s="174"/>
      <c r="BG155" s="174"/>
      <c r="BH155" s="174"/>
      <c r="BI155" s="175">
        <f t="shared" si="39"/>
        <v>0</v>
      </c>
      <c r="BJ155" s="175">
        <f t="shared" si="40"/>
        <v>0</v>
      </c>
      <c r="BK155" s="176"/>
      <c r="BL155" s="170"/>
      <c r="BM155" s="170"/>
      <c r="BN155" s="170"/>
      <c r="BO155" s="172"/>
      <c r="BP155" s="172"/>
      <c r="BQ155" s="172"/>
      <c r="BR155" s="172"/>
      <c r="BS155" s="172"/>
      <c r="BT155" s="172"/>
      <c r="BU155" s="172"/>
      <c r="BV155" s="172"/>
      <c r="BW155" s="172"/>
      <c r="BX155" s="172"/>
      <c r="BY155" s="172"/>
      <c r="BZ155" s="172"/>
      <c r="CA155" s="172">
        <f t="shared" si="41"/>
        <v>0</v>
      </c>
      <c r="CB155" s="172">
        <f t="shared" si="42"/>
        <v>0</v>
      </c>
      <c r="CC155" s="494" t="e">
        <f t="shared" si="43"/>
        <v>#DIV/0!</v>
      </c>
      <c r="CD155" s="192"/>
      <c r="CE155" s="192"/>
      <c r="CF155" s="172"/>
      <c r="CG155" s="172"/>
      <c r="CH155" s="172"/>
      <c r="CI155" s="172"/>
      <c r="CJ155" s="172"/>
      <c r="CK155" s="172"/>
      <c r="CL155" s="172"/>
      <c r="CM155" s="172"/>
      <c r="CN155" s="172"/>
      <c r="CO155" s="172"/>
      <c r="CP155" s="172"/>
      <c r="CQ155" s="172"/>
      <c r="CR155" s="172"/>
      <c r="CS155" s="172">
        <v>0</v>
      </c>
      <c r="CT155" s="172">
        <v>0</v>
      </c>
      <c r="CU155" s="192" t="e">
        <v>#DIV/0!</v>
      </c>
    </row>
    <row r="156" spans="1:99" s="68" customFormat="1" x14ac:dyDescent="0.25">
      <c r="A156" s="490">
        <v>138</v>
      </c>
      <c r="B156" s="63" t="s">
        <v>233</v>
      </c>
      <c r="C156" s="490">
        <v>1167</v>
      </c>
      <c r="D156" s="63" t="s">
        <v>228</v>
      </c>
      <c r="E156" s="490">
        <v>3</v>
      </c>
      <c r="F156" s="559"/>
      <c r="G156" s="559"/>
      <c r="H156" s="559"/>
      <c r="I156" s="559"/>
      <c r="J156" s="561"/>
      <c r="K156" s="561"/>
      <c r="L156" s="166"/>
      <c r="M156" s="166"/>
      <c r="N156" s="173"/>
      <c r="O156" s="166"/>
      <c r="P156" s="173"/>
      <c r="Q156" s="173"/>
      <c r="R156" s="173"/>
      <c r="S156" s="189"/>
      <c r="T156" s="173"/>
      <c r="U156" s="166"/>
      <c r="V156" s="173"/>
      <c r="W156" s="173"/>
      <c r="X156" s="173"/>
      <c r="Y156" s="166"/>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74"/>
      <c r="AU156" s="174"/>
      <c r="AV156" s="198"/>
      <c r="AW156" s="191"/>
      <c r="AX156" s="192"/>
      <c r="AY156" s="192"/>
      <c r="AZ156" s="192"/>
      <c r="BA156" s="192"/>
      <c r="BB156" s="192"/>
      <c r="BC156" s="192"/>
      <c r="BD156" s="192"/>
      <c r="BE156" s="192"/>
      <c r="BF156" s="174"/>
      <c r="BG156" s="174"/>
      <c r="BH156" s="174"/>
      <c r="BI156" s="175">
        <f t="shared" si="39"/>
        <v>0</v>
      </c>
      <c r="BJ156" s="175">
        <f t="shared" si="40"/>
        <v>0</v>
      </c>
      <c r="BK156" s="176"/>
      <c r="BL156" s="170"/>
      <c r="BM156" s="170"/>
      <c r="BN156" s="170"/>
      <c r="BO156" s="172"/>
      <c r="BP156" s="172"/>
      <c r="BQ156" s="172"/>
      <c r="BR156" s="172"/>
      <c r="BS156" s="172"/>
      <c r="BT156" s="172"/>
      <c r="BU156" s="172"/>
      <c r="BV156" s="172"/>
      <c r="BW156" s="172"/>
      <c r="BX156" s="172"/>
      <c r="BY156" s="172"/>
      <c r="BZ156" s="172"/>
      <c r="CA156" s="172">
        <f t="shared" si="41"/>
        <v>0</v>
      </c>
      <c r="CB156" s="172">
        <f t="shared" si="42"/>
        <v>0</v>
      </c>
      <c r="CC156" s="494" t="e">
        <f t="shared" si="43"/>
        <v>#DIV/0!</v>
      </c>
      <c r="CD156" s="192"/>
      <c r="CE156" s="192"/>
      <c r="CF156" s="172"/>
      <c r="CG156" s="172"/>
      <c r="CH156" s="172"/>
      <c r="CI156" s="172"/>
      <c r="CJ156" s="172"/>
      <c r="CK156" s="172"/>
      <c r="CL156" s="172"/>
      <c r="CM156" s="172"/>
      <c r="CN156" s="172"/>
      <c r="CO156" s="172"/>
      <c r="CP156" s="172"/>
      <c r="CQ156" s="172"/>
      <c r="CR156" s="172"/>
      <c r="CS156" s="172">
        <v>0</v>
      </c>
      <c r="CT156" s="172">
        <v>0</v>
      </c>
      <c r="CU156" s="192" t="e">
        <v>#DIV/0!</v>
      </c>
    </row>
    <row r="157" spans="1:99" s="68" customFormat="1" x14ac:dyDescent="0.25">
      <c r="A157" s="490">
        <v>138</v>
      </c>
      <c r="B157" s="63" t="s">
        <v>233</v>
      </c>
      <c r="C157" s="490">
        <v>1167</v>
      </c>
      <c r="D157" s="63" t="s">
        <v>228</v>
      </c>
      <c r="E157" s="490">
        <v>3</v>
      </c>
      <c r="F157" s="559"/>
      <c r="G157" s="559"/>
      <c r="H157" s="559"/>
      <c r="I157" s="559"/>
      <c r="J157" s="561"/>
      <c r="K157" s="561"/>
      <c r="L157" s="166"/>
      <c r="M157" s="166"/>
      <c r="N157" s="173"/>
      <c r="O157" s="192"/>
      <c r="P157" s="173"/>
      <c r="Q157" s="173"/>
      <c r="R157" s="173"/>
      <c r="S157" s="192"/>
      <c r="T157" s="173"/>
      <c r="U157" s="192"/>
      <c r="V157" s="173"/>
      <c r="W157" s="173"/>
      <c r="X157" s="173"/>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74"/>
      <c r="AU157" s="174"/>
      <c r="AV157" s="198"/>
      <c r="AW157" s="191"/>
      <c r="AX157" s="192"/>
      <c r="AY157" s="192"/>
      <c r="AZ157" s="192"/>
      <c r="BA157" s="192"/>
      <c r="BB157" s="192"/>
      <c r="BC157" s="192"/>
      <c r="BD157" s="192"/>
      <c r="BE157" s="192"/>
      <c r="BF157" s="174"/>
      <c r="BG157" s="174"/>
      <c r="BH157" s="174"/>
      <c r="BI157" s="175">
        <f t="shared" si="39"/>
        <v>0</v>
      </c>
      <c r="BJ157" s="175">
        <f t="shared" si="40"/>
        <v>0</v>
      </c>
      <c r="BK157" s="176"/>
      <c r="BL157" s="170"/>
      <c r="BM157" s="170"/>
      <c r="BN157" s="170"/>
      <c r="BO157" s="172"/>
      <c r="BP157" s="172"/>
      <c r="BQ157" s="172"/>
      <c r="BR157" s="172"/>
      <c r="BS157" s="172"/>
      <c r="BT157" s="172"/>
      <c r="BU157" s="172"/>
      <c r="BV157" s="172"/>
      <c r="BW157" s="172"/>
      <c r="BX157" s="172"/>
      <c r="BY157" s="172"/>
      <c r="BZ157" s="172"/>
      <c r="CA157" s="172">
        <f t="shared" si="41"/>
        <v>0</v>
      </c>
      <c r="CB157" s="172">
        <f t="shared" si="42"/>
        <v>0</v>
      </c>
      <c r="CC157" s="494" t="e">
        <f t="shared" si="43"/>
        <v>#DIV/0!</v>
      </c>
      <c r="CD157" s="192"/>
      <c r="CE157" s="192"/>
      <c r="CF157" s="172"/>
      <c r="CG157" s="172"/>
      <c r="CH157" s="172"/>
      <c r="CI157" s="172"/>
      <c r="CJ157" s="172"/>
      <c r="CK157" s="172"/>
      <c r="CL157" s="172"/>
      <c r="CM157" s="172"/>
      <c r="CN157" s="172"/>
      <c r="CO157" s="172"/>
      <c r="CP157" s="172"/>
      <c r="CQ157" s="172"/>
      <c r="CR157" s="172"/>
      <c r="CS157" s="172">
        <v>0</v>
      </c>
      <c r="CT157" s="172">
        <v>0</v>
      </c>
      <c r="CU157" s="192" t="e">
        <v>#DIV/0!</v>
      </c>
    </row>
    <row r="158" spans="1:99" s="68" customFormat="1" x14ac:dyDescent="0.25">
      <c r="A158" s="490">
        <v>139</v>
      </c>
      <c r="B158" s="63" t="s">
        <v>236</v>
      </c>
      <c r="C158" s="490">
        <v>1175</v>
      </c>
      <c r="D158" s="63" t="s">
        <v>237</v>
      </c>
      <c r="E158" s="490">
        <v>1</v>
      </c>
      <c r="F158" s="559" t="s">
        <v>212</v>
      </c>
      <c r="G158" s="559">
        <v>1</v>
      </c>
      <c r="H158" s="559" t="s">
        <v>238</v>
      </c>
      <c r="I158" s="559" t="s">
        <v>239</v>
      </c>
      <c r="J158" s="560"/>
      <c r="K158" s="560"/>
      <c r="L158" s="166" t="s">
        <v>741</v>
      </c>
      <c r="M158" s="166" t="s">
        <v>63</v>
      </c>
      <c r="N158" s="189" t="s">
        <v>319</v>
      </c>
      <c r="O158" s="166" t="s">
        <v>325</v>
      </c>
      <c r="P158" s="180">
        <v>41584</v>
      </c>
      <c r="Q158" s="180">
        <v>41610</v>
      </c>
      <c r="R158" s="166" t="s">
        <v>724</v>
      </c>
      <c r="S158" s="189" t="s">
        <v>742</v>
      </c>
      <c r="T158" s="199" t="s">
        <v>743</v>
      </c>
      <c r="U158" s="166" t="s">
        <v>327</v>
      </c>
      <c r="V158" s="189">
        <v>830077644</v>
      </c>
      <c r="W158" s="173"/>
      <c r="X158" s="173"/>
      <c r="Y158" s="166"/>
      <c r="Z158" s="174">
        <v>689</v>
      </c>
      <c r="AA158" s="175">
        <v>20000000</v>
      </c>
      <c r="AB158" s="174">
        <v>772</v>
      </c>
      <c r="AC158" s="175">
        <v>20000000</v>
      </c>
      <c r="AD158" s="175">
        <v>0</v>
      </c>
      <c r="AE158" s="175">
        <v>0</v>
      </c>
      <c r="AF158" s="175">
        <v>0</v>
      </c>
      <c r="AG158" s="175">
        <v>0</v>
      </c>
      <c r="AH158" s="175">
        <v>0</v>
      </c>
      <c r="AI158" s="175">
        <v>0</v>
      </c>
      <c r="AJ158" s="175">
        <v>0</v>
      </c>
      <c r="AK158" s="175">
        <v>0</v>
      </c>
      <c r="AL158" s="175">
        <v>0</v>
      </c>
      <c r="AM158" s="175">
        <v>0</v>
      </c>
      <c r="AN158" s="175">
        <v>0</v>
      </c>
      <c r="AO158" s="175">
        <v>0</v>
      </c>
      <c r="AP158" s="175">
        <f>SUM(AD158:AO158)</f>
        <v>0</v>
      </c>
      <c r="AQ158" s="175">
        <f>+AC158-AP158</f>
        <v>20000000</v>
      </c>
      <c r="AR158" s="176">
        <f>AP158/AC158</f>
        <v>0</v>
      </c>
      <c r="AS158" s="176"/>
      <c r="AT158" s="174">
        <v>220</v>
      </c>
      <c r="AU158" s="174">
        <v>220</v>
      </c>
      <c r="AV158" s="175">
        <v>20000000</v>
      </c>
      <c r="AW158" s="174">
        <v>0</v>
      </c>
      <c r="AX158" s="174">
        <v>0</v>
      </c>
      <c r="AY158" s="174">
        <v>0</v>
      </c>
      <c r="AZ158" s="174">
        <v>0</v>
      </c>
      <c r="BA158" s="174">
        <v>0</v>
      </c>
      <c r="BB158" s="174">
        <v>2510574</v>
      </c>
      <c r="BC158" s="174">
        <v>0</v>
      </c>
      <c r="BD158" s="174">
        <v>0</v>
      </c>
      <c r="BE158" s="174">
        <v>0</v>
      </c>
      <c r="BF158" s="174">
        <v>0</v>
      </c>
      <c r="BG158" s="174">
        <v>0</v>
      </c>
      <c r="BH158" s="174">
        <v>0</v>
      </c>
      <c r="BI158" s="175">
        <f t="shared" si="39"/>
        <v>2510574</v>
      </c>
      <c r="BJ158" s="175">
        <f t="shared" si="40"/>
        <v>17489426</v>
      </c>
      <c r="BK158" s="176">
        <f>+BI158/AV158</f>
        <v>0.12552869999999999</v>
      </c>
      <c r="BL158" s="170">
        <v>58</v>
      </c>
      <c r="BM158" s="170">
        <v>324</v>
      </c>
      <c r="BN158" s="170">
        <v>17489426</v>
      </c>
      <c r="BO158" s="172">
        <v>0</v>
      </c>
      <c r="BP158" s="172">
        <v>0</v>
      </c>
      <c r="BQ158" s="172">
        <v>0</v>
      </c>
      <c r="BR158" s="172">
        <v>0</v>
      </c>
      <c r="BS158" s="172">
        <v>17489426</v>
      </c>
      <c r="BT158" s="172">
        <v>0</v>
      </c>
      <c r="BU158" s="172">
        <v>0</v>
      </c>
      <c r="BV158" s="172">
        <v>0</v>
      </c>
      <c r="BW158" s="172">
        <v>0</v>
      </c>
      <c r="BX158" s="172">
        <v>0</v>
      </c>
      <c r="BY158" s="172">
        <v>0</v>
      </c>
      <c r="BZ158" s="172">
        <v>0</v>
      </c>
      <c r="CA158" s="172">
        <f t="shared" si="41"/>
        <v>17489426</v>
      </c>
      <c r="CB158" s="172">
        <f t="shared" si="42"/>
        <v>0</v>
      </c>
      <c r="CC158" s="494">
        <f t="shared" si="43"/>
        <v>1</v>
      </c>
      <c r="CD158" s="192"/>
      <c r="CE158" s="192"/>
      <c r="CF158" s="172"/>
      <c r="CG158" s="172"/>
      <c r="CH158" s="172"/>
      <c r="CI158" s="172"/>
      <c r="CJ158" s="172"/>
      <c r="CK158" s="172"/>
      <c r="CL158" s="172"/>
      <c r="CM158" s="172"/>
      <c r="CN158" s="172"/>
      <c r="CO158" s="172"/>
      <c r="CP158" s="172"/>
      <c r="CQ158" s="172"/>
      <c r="CR158" s="172"/>
      <c r="CS158" s="172">
        <v>0</v>
      </c>
      <c r="CT158" s="172">
        <v>0</v>
      </c>
      <c r="CU158" s="192" t="e">
        <v>#DIV/0!</v>
      </c>
    </row>
    <row r="159" spans="1:99" s="68" customFormat="1" x14ac:dyDescent="0.25">
      <c r="A159" s="490">
        <v>139</v>
      </c>
      <c r="B159" s="63" t="s">
        <v>236</v>
      </c>
      <c r="C159" s="490">
        <v>1175</v>
      </c>
      <c r="D159" s="63" t="s">
        <v>237</v>
      </c>
      <c r="E159" s="490">
        <v>1</v>
      </c>
      <c r="F159" s="559"/>
      <c r="G159" s="559"/>
      <c r="H159" s="559"/>
      <c r="I159" s="559"/>
      <c r="J159" s="561"/>
      <c r="K159" s="561"/>
      <c r="L159" s="166"/>
      <c r="M159" s="166"/>
      <c r="N159" s="166"/>
      <c r="O159" s="166"/>
      <c r="P159" s="180"/>
      <c r="Q159" s="180"/>
      <c r="R159" s="166"/>
      <c r="S159" s="166"/>
      <c r="T159" s="166"/>
      <c r="U159" s="166"/>
      <c r="V159" s="166"/>
      <c r="W159" s="166"/>
      <c r="X159" s="166"/>
      <c r="Y159" s="166"/>
      <c r="Z159" s="174"/>
      <c r="AA159" s="175"/>
      <c r="AB159" s="174"/>
      <c r="AC159" s="175"/>
      <c r="AD159" s="175"/>
      <c r="AE159" s="175"/>
      <c r="AF159" s="175"/>
      <c r="AG159" s="175"/>
      <c r="AH159" s="175"/>
      <c r="AI159" s="175"/>
      <c r="AJ159" s="175"/>
      <c r="AK159" s="175"/>
      <c r="AL159" s="175"/>
      <c r="AM159" s="175"/>
      <c r="AN159" s="175"/>
      <c r="AO159" s="175"/>
      <c r="AP159" s="175"/>
      <c r="AQ159" s="175"/>
      <c r="AR159" s="176"/>
      <c r="AS159" s="176"/>
      <c r="AT159" s="174"/>
      <c r="AU159" s="174"/>
      <c r="AV159" s="175"/>
      <c r="AW159" s="174"/>
      <c r="AX159" s="174"/>
      <c r="AY159" s="174"/>
      <c r="AZ159" s="174"/>
      <c r="BA159" s="174"/>
      <c r="BB159" s="174"/>
      <c r="BC159" s="174"/>
      <c r="BD159" s="174"/>
      <c r="BE159" s="174"/>
      <c r="BF159" s="174"/>
      <c r="BG159" s="174"/>
      <c r="BH159" s="174"/>
      <c r="BI159" s="175">
        <f t="shared" si="39"/>
        <v>0</v>
      </c>
      <c r="BJ159" s="175">
        <f t="shared" si="40"/>
        <v>0</v>
      </c>
      <c r="BK159" s="176"/>
      <c r="BL159" s="170"/>
      <c r="BM159" s="170"/>
      <c r="BN159" s="170"/>
      <c r="BO159" s="172"/>
      <c r="BP159" s="172"/>
      <c r="BQ159" s="172"/>
      <c r="BR159" s="172"/>
      <c r="BS159" s="172"/>
      <c r="BT159" s="172"/>
      <c r="BU159" s="172"/>
      <c r="BV159" s="172"/>
      <c r="BW159" s="172"/>
      <c r="BX159" s="172"/>
      <c r="BY159" s="172"/>
      <c r="BZ159" s="172"/>
      <c r="CA159" s="172">
        <f t="shared" si="41"/>
        <v>0</v>
      </c>
      <c r="CB159" s="172">
        <f t="shared" si="42"/>
        <v>0</v>
      </c>
      <c r="CC159" s="494" t="e">
        <f t="shared" si="43"/>
        <v>#DIV/0!</v>
      </c>
      <c r="CD159" s="192"/>
      <c r="CE159" s="192"/>
      <c r="CF159" s="172"/>
      <c r="CG159" s="172"/>
      <c r="CH159" s="172"/>
      <c r="CI159" s="172"/>
      <c r="CJ159" s="172"/>
      <c r="CK159" s="172"/>
      <c r="CL159" s="172"/>
      <c r="CM159" s="172"/>
      <c r="CN159" s="172"/>
      <c r="CO159" s="172"/>
      <c r="CP159" s="172"/>
      <c r="CQ159" s="172"/>
      <c r="CR159" s="172"/>
      <c r="CS159" s="172">
        <v>0</v>
      </c>
      <c r="CT159" s="172">
        <v>0</v>
      </c>
      <c r="CU159" s="192" t="e">
        <v>#DIV/0!</v>
      </c>
    </row>
    <row r="160" spans="1:99" s="68" customFormat="1" x14ac:dyDescent="0.25">
      <c r="A160" s="490">
        <v>139</v>
      </c>
      <c r="B160" s="63" t="s">
        <v>236</v>
      </c>
      <c r="C160" s="490">
        <v>1175</v>
      </c>
      <c r="D160" s="63" t="s">
        <v>237</v>
      </c>
      <c r="E160" s="490">
        <v>1</v>
      </c>
      <c r="F160" s="559"/>
      <c r="G160" s="559"/>
      <c r="H160" s="559"/>
      <c r="I160" s="559"/>
      <c r="J160" s="561"/>
      <c r="K160" s="561"/>
      <c r="L160" s="166"/>
      <c r="M160" s="166"/>
      <c r="N160" s="166"/>
      <c r="O160" s="166"/>
      <c r="P160" s="180"/>
      <c r="Q160" s="180"/>
      <c r="R160" s="166"/>
      <c r="S160" s="166"/>
      <c r="T160" s="166"/>
      <c r="U160" s="166"/>
      <c r="V160" s="166"/>
      <c r="W160" s="166"/>
      <c r="X160" s="166"/>
      <c r="Y160" s="166"/>
      <c r="Z160" s="174"/>
      <c r="AA160" s="175"/>
      <c r="AB160" s="174"/>
      <c r="AC160" s="175"/>
      <c r="AD160" s="175"/>
      <c r="AE160" s="175"/>
      <c r="AF160" s="175"/>
      <c r="AG160" s="175"/>
      <c r="AH160" s="175"/>
      <c r="AI160" s="175"/>
      <c r="AJ160" s="175"/>
      <c r="AK160" s="175"/>
      <c r="AL160" s="175"/>
      <c r="AM160" s="175"/>
      <c r="AN160" s="175"/>
      <c r="AO160" s="175"/>
      <c r="AP160" s="175"/>
      <c r="AQ160" s="175"/>
      <c r="AR160" s="176"/>
      <c r="AS160" s="176"/>
      <c r="AT160" s="174"/>
      <c r="AU160" s="174"/>
      <c r="AV160" s="175"/>
      <c r="AW160" s="174"/>
      <c r="AX160" s="174"/>
      <c r="AY160" s="174"/>
      <c r="AZ160" s="174"/>
      <c r="BA160" s="174"/>
      <c r="BB160" s="174"/>
      <c r="BC160" s="174"/>
      <c r="BD160" s="174"/>
      <c r="BE160" s="174"/>
      <c r="BF160" s="174"/>
      <c r="BG160" s="174"/>
      <c r="BH160" s="174"/>
      <c r="BI160" s="175">
        <f t="shared" si="39"/>
        <v>0</v>
      </c>
      <c r="BJ160" s="175">
        <f t="shared" si="40"/>
        <v>0</v>
      </c>
      <c r="BK160" s="176"/>
      <c r="BL160" s="170"/>
      <c r="BM160" s="170"/>
      <c r="BN160" s="170"/>
      <c r="BO160" s="172"/>
      <c r="BP160" s="172"/>
      <c r="BQ160" s="172"/>
      <c r="BR160" s="172"/>
      <c r="BS160" s="172"/>
      <c r="BT160" s="172"/>
      <c r="BU160" s="172"/>
      <c r="BV160" s="172"/>
      <c r="BW160" s="172"/>
      <c r="BX160" s="172"/>
      <c r="BY160" s="172"/>
      <c r="BZ160" s="172"/>
      <c r="CA160" s="172">
        <f t="shared" si="41"/>
        <v>0</v>
      </c>
      <c r="CB160" s="172">
        <f t="shared" si="42"/>
        <v>0</v>
      </c>
      <c r="CC160" s="494" t="e">
        <f t="shared" si="43"/>
        <v>#DIV/0!</v>
      </c>
      <c r="CD160" s="192"/>
      <c r="CE160" s="192"/>
      <c r="CF160" s="172"/>
      <c r="CG160" s="172"/>
      <c r="CH160" s="172"/>
      <c r="CI160" s="172"/>
      <c r="CJ160" s="172"/>
      <c r="CK160" s="172"/>
      <c r="CL160" s="172"/>
      <c r="CM160" s="172"/>
      <c r="CN160" s="172"/>
      <c r="CO160" s="172"/>
      <c r="CP160" s="172"/>
      <c r="CQ160" s="172"/>
      <c r="CR160" s="172"/>
      <c r="CS160" s="172">
        <v>0</v>
      </c>
      <c r="CT160" s="172">
        <v>0</v>
      </c>
      <c r="CU160" s="192" t="e">
        <v>#DIV/0!</v>
      </c>
    </row>
    <row r="161" spans="1:99" s="68" customFormat="1" ht="15" customHeight="1" x14ac:dyDescent="0.25">
      <c r="A161" s="491">
        <v>140</v>
      </c>
      <c r="B161" s="65" t="s">
        <v>241</v>
      </c>
      <c r="C161" s="491">
        <v>1171</v>
      </c>
      <c r="D161" s="65" t="s">
        <v>243</v>
      </c>
      <c r="E161" s="491">
        <v>1</v>
      </c>
      <c r="F161" s="584" t="s">
        <v>130</v>
      </c>
      <c r="G161" s="584">
        <v>1</v>
      </c>
      <c r="H161" s="584" t="s">
        <v>244</v>
      </c>
      <c r="I161" s="584" t="s">
        <v>245</v>
      </c>
      <c r="J161" s="608"/>
      <c r="K161" s="608"/>
      <c r="L161" s="166" t="s">
        <v>744</v>
      </c>
      <c r="M161" s="166" t="s">
        <v>115</v>
      </c>
      <c r="N161" s="166" t="s">
        <v>336</v>
      </c>
      <c r="O161" s="166" t="s">
        <v>356</v>
      </c>
      <c r="P161" s="180" t="s">
        <v>90</v>
      </c>
      <c r="Q161" s="180" t="s">
        <v>90</v>
      </c>
      <c r="R161" s="177" t="s">
        <v>90</v>
      </c>
      <c r="S161" s="177" t="s">
        <v>90</v>
      </c>
      <c r="T161" s="177" t="s">
        <v>745</v>
      </c>
      <c r="U161" s="177" t="s">
        <v>90</v>
      </c>
      <c r="V161" s="177" t="s">
        <v>90</v>
      </c>
      <c r="W161" s="177" t="s">
        <v>90</v>
      </c>
      <c r="X161" s="166" t="s">
        <v>315</v>
      </c>
      <c r="Y161" s="177"/>
      <c r="Z161" s="174" t="s">
        <v>90</v>
      </c>
      <c r="AA161" s="175">
        <v>2170320001</v>
      </c>
      <c r="AB161" s="174" t="s">
        <v>90</v>
      </c>
      <c r="AC161" s="175">
        <v>2078858084</v>
      </c>
      <c r="AD161" s="175">
        <v>41118334</v>
      </c>
      <c r="AE161" s="175">
        <v>33916300</v>
      </c>
      <c r="AF161" s="175">
        <v>3670000</v>
      </c>
      <c r="AG161" s="175">
        <v>24023699</v>
      </c>
      <c r="AH161" s="175">
        <v>78138332</v>
      </c>
      <c r="AI161" s="175">
        <v>107126667</v>
      </c>
      <c r="AJ161" s="175">
        <v>120925000</v>
      </c>
      <c r="AK161" s="175">
        <v>128360116</v>
      </c>
      <c r="AL161" s="175">
        <v>125350000</v>
      </c>
      <c r="AM161" s="175">
        <v>129253213</v>
      </c>
      <c r="AN161" s="175">
        <v>115298330</v>
      </c>
      <c r="AO161" s="175">
        <v>254744997</v>
      </c>
      <c r="AP161" s="175">
        <f t="shared" ref="AP161:AP168" si="48">SUM(AD161:AO161)</f>
        <v>1161924988</v>
      </c>
      <c r="AQ161" s="175">
        <f t="shared" ref="AQ161:AQ168" si="49">+AC161-AP161</f>
        <v>916933096</v>
      </c>
      <c r="AR161" s="176">
        <f t="shared" ref="AR161:AR168" si="50">AP161/AC161</f>
        <v>0.55892463124000336</v>
      </c>
      <c r="AS161" s="176"/>
      <c r="AT161" s="174" t="s">
        <v>90</v>
      </c>
      <c r="AU161" s="174" t="s">
        <v>90</v>
      </c>
      <c r="AV161" s="175">
        <v>897816429</v>
      </c>
      <c r="AW161" s="174"/>
      <c r="AX161" s="174">
        <v>126925000</v>
      </c>
      <c r="AY161" s="174">
        <v>123600000</v>
      </c>
      <c r="AZ161" s="174">
        <v>197070000</v>
      </c>
      <c r="BA161" s="174">
        <v>141163333</v>
      </c>
      <c r="BB161" s="174">
        <v>184476427</v>
      </c>
      <c r="BC161" s="174">
        <v>0</v>
      </c>
      <c r="BD161" s="174">
        <v>45136667</v>
      </c>
      <c r="BE161" s="174">
        <v>17446667</v>
      </c>
      <c r="BF161" s="174">
        <v>23799333</v>
      </c>
      <c r="BG161" s="174">
        <v>0</v>
      </c>
      <c r="BH161" s="174">
        <v>701667</v>
      </c>
      <c r="BI161" s="175">
        <f t="shared" si="39"/>
        <v>860319094</v>
      </c>
      <c r="BJ161" s="175">
        <f t="shared" si="40"/>
        <v>37497335</v>
      </c>
      <c r="BK161" s="176">
        <f>+BI161/AV161</f>
        <v>0.95823496453304491</v>
      </c>
      <c r="BL161" s="170" t="s">
        <v>90</v>
      </c>
      <c r="BM161" s="170" t="s">
        <v>90</v>
      </c>
      <c r="BN161" s="170">
        <v>24040001</v>
      </c>
      <c r="BO161" s="172">
        <v>0</v>
      </c>
      <c r="BP161" s="172">
        <v>1226667</v>
      </c>
      <c r="BQ161" s="172">
        <v>0</v>
      </c>
      <c r="BR161" s="172">
        <v>0</v>
      </c>
      <c r="BS161" s="172">
        <v>0</v>
      </c>
      <c r="BT161" s="172">
        <v>0</v>
      </c>
      <c r="BU161" s="172">
        <v>0</v>
      </c>
      <c r="BV161" s="172">
        <v>0</v>
      </c>
      <c r="BW161" s="172">
        <v>0</v>
      </c>
      <c r="BX161" s="172">
        <v>0</v>
      </c>
      <c r="BY161" s="172">
        <v>0</v>
      </c>
      <c r="BZ161" s="172">
        <v>0</v>
      </c>
      <c r="CA161" s="172">
        <f t="shared" si="41"/>
        <v>1226667</v>
      </c>
      <c r="CB161" s="172">
        <f t="shared" si="42"/>
        <v>22813334</v>
      </c>
      <c r="CC161" s="494">
        <f t="shared" si="43"/>
        <v>5.102607940823297E-2</v>
      </c>
      <c r="CD161" s="192"/>
      <c r="CE161" s="192"/>
      <c r="CF161" s="172"/>
      <c r="CG161" s="172"/>
      <c r="CH161" s="172"/>
      <c r="CI161" s="172"/>
      <c r="CJ161" s="172"/>
      <c r="CK161" s="172"/>
      <c r="CL161" s="172"/>
      <c r="CM161" s="172"/>
      <c r="CN161" s="172"/>
      <c r="CO161" s="172"/>
      <c r="CP161" s="172"/>
      <c r="CQ161" s="172"/>
      <c r="CR161" s="172"/>
      <c r="CS161" s="172">
        <v>0</v>
      </c>
      <c r="CT161" s="172">
        <v>0</v>
      </c>
      <c r="CU161" s="192" t="e">
        <v>#DIV/0!</v>
      </c>
    </row>
    <row r="162" spans="1:99" s="68" customFormat="1" x14ac:dyDescent="0.25">
      <c r="A162" s="491">
        <v>140</v>
      </c>
      <c r="B162" s="65" t="s">
        <v>241</v>
      </c>
      <c r="C162" s="491">
        <v>1171</v>
      </c>
      <c r="D162" s="65" t="s">
        <v>243</v>
      </c>
      <c r="E162" s="491">
        <v>1</v>
      </c>
      <c r="F162" s="585"/>
      <c r="G162" s="585"/>
      <c r="H162" s="585"/>
      <c r="I162" s="585"/>
      <c r="J162" s="609"/>
      <c r="K162" s="609"/>
      <c r="L162" s="166" t="s">
        <v>746</v>
      </c>
      <c r="M162" s="166" t="s">
        <v>115</v>
      </c>
      <c r="N162" s="189" t="s">
        <v>409</v>
      </c>
      <c r="O162" s="166" t="s">
        <v>641</v>
      </c>
      <c r="P162" s="180">
        <v>41635</v>
      </c>
      <c r="Q162" s="180">
        <v>41653</v>
      </c>
      <c r="R162" s="166" t="s">
        <v>310</v>
      </c>
      <c r="S162" s="189" t="s">
        <v>747</v>
      </c>
      <c r="T162" s="177" t="s">
        <v>748</v>
      </c>
      <c r="U162" s="166" t="s">
        <v>749</v>
      </c>
      <c r="V162" s="189">
        <v>900665417</v>
      </c>
      <c r="W162" s="185"/>
      <c r="X162" s="185"/>
      <c r="Y162" s="166"/>
      <c r="Z162" s="174">
        <v>846</v>
      </c>
      <c r="AA162" s="175">
        <v>150000000</v>
      </c>
      <c r="AB162" s="174">
        <v>899</v>
      </c>
      <c r="AC162" s="175">
        <v>150000000</v>
      </c>
      <c r="AD162" s="175">
        <v>0</v>
      </c>
      <c r="AE162" s="175">
        <v>0</v>
      </c>
      <c r="AF162" s="175">
        <v>0</v>
      </c>
      <c r="AG162" s="175">
        <v>0</v>
      </c>
      <c r="AH162" s="175">
        <v>0</v>
      </c>
      <c r="AI162" s="175">
        <v>0</v>
      </c>
      <c r="AJ162" s="175">
        <v>0</v>
      </c>
      <c r="AK162" s="175">
        <v>0</v>
      </c>
      <c r="AL162" s="175">
        <v>0</v>
      </c>
      <c r="AM162" s="175">
        <v>0</v>
      </c>
      <c r="AN162" s="175">
        <v>0</v>
      </c>
      <c r="AO162" s="175">
        <v>0</v>
      </c>
      <c r="AP162" s="175">
        <f t="shared" si="48"/>
        <v>0</v>
      </c>
      <c r="AQ162" s="175">
        <f t="shared" si="49"/>
        <v>150000000</v>
      </c>
      <c r="AR162" s="176">
        <f t="shared" si="50"/>
        <v>0</v>
      </c>
      <c r="AS162" s="176"/>
      <c r="AT162" s="174">
        <v>226</v>
      </c>
      <c r="AU162" s="174">
        <v>226</v>
      </c>
      <c r="AV162" s="175">
        <v>150000000</v>
      </c>
      <c r="AW162" s="174"/>
      <c r="AX162" s="174">
        <v>60000000</v>
      </c>
      <c r="AY162" s="174"/>
      <c r="AZ162" s="174">
        <v>4345306</v>
      </c>
      <c r="BA162" s="174">
        <v>11438734</v>
      </c>
      <c r="BB162" s="174">
        <v>0</v>
      </c>
      <c r="BC162" s="174">
        <v>0</v>
      </c>
      <c r="BD162" s="174">
        <v>0</v>
      </c>
      <c r="BE162" s="174">
        <v>0</v>
      </c>
      <c r="BF162" s="174">
        <v>0</v>
      </c>
      <c r="BG162" s="174">
        <v>0</v>
      </c>
      <c r="BH162" s="174">
        <v>0</v>
      </c>
      <c r="BI162" s="175">
        <f t="shared" si="39"/>
        <v>75784040</v>
      </c>
      <c r="BJ162" s="175">
        <f t="shared" si="40"/>
        <v>74215960</v>
      </c>
      <c r="BK162" s="176">
        <f>+BI162/AV162</f>
        <v>0.50522693333333335</v>
      </c>
      <c r="BL162" s="170">
        <v>61</v>
      </c>
      <c r="BM162" s="170">
        <v>47</v>
      </c>
      <c r="BN162" s="170">
        <v>74215960</v>
      </c>
      <c r="BO162" s="172">
        <v>0</v>
      </c>
      <c r="BP162" s="172">
        <v>0</v>
      </c>
      <c r="BQ162" s="172">
        <v>0</v>
      </c>
      <c r="BR162" s="172">
        <v>0</v>
      </c>
      <c r="BS162" s="172">
        <v>0</v>
      </c>
      <c r="BT162" s="172">
        <v>0</v>
      </c>
      <c r="BU162" s="172">
        <v>0</v>
      </c>
      <c r="BV162" s="172">
        <v>0</v>
      </c>
      <c r="BW162" s="172">
        <v>0</v>
      </c>
      <c r="BX162" s="172">
        <v>0</v>
      </c>
      <c r="BY162" s="172">
        <v>0</v>
      </c>
      <c r="BZ162" s="172">
        <v>35506803</v>
      </c>
      <c r="CA162" s="172">
        <f t="shared" si="41"/>
        <v>35506803</v>
      </c>
      <c r="CB162" s="172">
        <f t="shared" si="42"/>
        <v>38709157</v>
      </c>
      <c r="CC162" s="494">
        <f t="shared" si="43"/>
        <v>0.47842543571490553</v>
      </c>
      <c r="CD162" s="192"/>
      <c r="CE162" s="192"/>
      <c r="CF162" s="172"/>
      <c r="CG162" s="172"/>
      <c r="CH162" s="172"/>
      <c r="CI162" s="172"/>
      <c r="CJ162" s="172"/>
      <c r="CK162" s="172"/>
      <c r="CL162" s="172"/>
      <c r="CM162" s="172"/>
      <c r="CN162" s="172"/>
      <c r="CO162" s="172"/>
      <c r="CP162" s="172"/>
      <c r="CQ162" s="172"/>
      <c r="CR162" s="172"/>
      <c r="CS162" s="172">
        <v>0</v>
      </c>
      <c r="CT162" s="172">
        <v>0</v>
      </c>
      <c r="CU162" s="192" t="e">
        <v>#DIV/0!</v>
      </c>
    </row>
    <row r="163" spans="1:99" s="68" customFormat="1" x14ac:dyDescent="0.25">
      <c r="A163" s="491">
        <v>140</v>
      </c>
      <c r="B163" s="65" t="s">
        <v>241</v>
      </c>
      <c r="C163" s="491">
        <v>1171</v>
      </c>
      <c r="D163" s="65" t="s">
        <v>243</v>
      </c>
      <c r="E163" s="491">
        <v>1</v>
      </c>
      <c r="F163" s="585"/>
      <c r="G163" s="585"/>
      <c r="H163" s="585"/>
      <c r="I163" s="585"/>
      <c r="J163" s="609"/>
      <c r="K163" s="609"/>
      <c r="L163" s="166" t="s">
        <v>750</v>
      </c>
      <c r="M163" s="166" t="s">
        <v>115</v>
      </c>
      <c r="N163" s="189" t="s">
        <v>717</v>
      </c>
      <c r="O163" s="166" t="s">
        <v>309</v>
      </c>
      <c r="P163" s="180">
        <v>41632</v>
      </c>
      <c r="Q163" s="180">
        <v>41647</v>
      </c>
      <c r="R163" s="166" t="s">
        <v>512</v>
      </c>
      <c r="S163" s="166" t="s">
        <v>751</v>
      </c>
      <c r="T163" s="199" t="s">
        <v>752</v>
      </c>
      <c r="U163" s="166" t="s">
        <v>682</v>
      </c>
      <c r="V163" s="189">
        <v>860053274</v>
      </c>
      <c r="W163" s="185"/>
      <c r="X163" s="185"/>
      <c r="Y163" s="166"/>
      <c r="Z163" s="174">
        <v>860</v>
      </c>
      <c r="AA163" s="175">
        <v>150000000</v>
      </c>
      <c r="AB163" s="174">
        <v>869</v>
      </c>
      <c r="AC163" s="175">
        <v>150000000</v>
      </c>
      <c r="AD163" s="175">
        <v>0</v>
      </c>
      <c r="AE163" s="175">
        <v>0</v>
      </c>
      <c r="AF163" s="175">
        <v>0</v>
      </c>
      <c r="AG163" s="175">
        <v>0</v>
      </c>
      <c r="AH163" s="175">
        <v>0</v>
      </c>
      <c r="AI163" s="175">
        <v>0</v>
      </c>
      <c r="AJ163" s="175">
        <v>0</v>
      </c>
      <c r="AK163" s="175">
        <v>0</v>
      </c>
      <c r="AL163" s="175">
        <v>0</v>
      </c>
      <c r="AM163" s="175">
        <v>0</v>
      </c>
      <c r="AN163" s="175">
        <v>0</v>
      </c>
      <c r="AO163" s="175">
        <v>0</v>
      </c>
      <c r="AP163" s="175">
        <f t="shared" si="48"/>
        <v>0</v>
      </c>
      <c r="AQ163" s="175">
        <f t="shared" si="49"/>
        <v>150000000</v>
      </c>
      <c r="AR163" s="176">
        <f t="shared" si="50"/>
        <v>0</v>
      </c>
      <c r="AS163" s="176"/>
      <c r="AT163" s="174">
        <v>222</v>
      </c>
      <c r="AU163" s="174">
        <v>222</v>
      </c>
      <c r="AV163" s="175">
        <v>150000000</v>
      </c>
      <c r="AW163" s="174"/>
      <c r="AX163" s="174"/>
      <c r="AY163" s="174">
        <v>150000000</v>
      </c>
      <c r="AZ163" s="174"/>
      <c r="BA163" s="174">
        <v>0</v>
      </c>
      <c r="BB163" s="174">
        <v>0</v>
      </c>
      <c r="BC163" s="174">
        <v>0</v>
      </c>
      <c r="BD163" s="174">
        <v>0</v>
      </c>
      <c r="BE163" s="174">
        <v>0</v>
      </c>
      <c r="BF163" s="174">
        <v>0</v>
      </c>
      <c r="BG163" s="174">
        <v>0</v>
      </c>
      <c r="BH163" s="174">
        <v>0</v>
      </c>
      <c r="BI163" s="175">
        <f t="shared" ref="BI163:BI176" si="51">SUM(AW163:BH163)</f>
        <v>150000000</v>
      </c>
      <c r="BJ163" s="175">
        <f t="shared" ref="BJ163:BJ176" si="52">+AV163-BI163</f>
        <v>0</v>
      </c>
      <c r="BK163" s="176">
        <f>+BI163/AV163</f>
        <v>1</v>
      </c>
      <c r="BL163" s="170"/>
      <c r="BM163" s="170"/>
      <c r="BN163" s="170"/>
      <c r="BO163" s="172"/>
      <c r="BP163" s="172"/>
      <c r="BQ163" s="172"/>
      <c r="BR163" s="172"/>
      <c r="BS163" s="172"/>
      <c r="BT163" s="172"/>
      <c r="BU163" s="172"/>
      <c r="BV163" s="172"/>
      <c r="BW163" s="172"/>
      <c r="BX163" s="172"/>
      <c r="BY163" s="172"/>
      <c r="BZ163" s="172"/>
      <c r="CA163" s="172">
        <f t="shared" si="41"/>
        <v>0</v>
      </c>
      <c r="CB163" s="172">
        <f t="shared" si="42"/>
        <v>0</v>
      </c>
      <c r="CC163" s="494" t="e">
        <f t="shared" si="43"/>
        <v>#DIV/0!</v>
      </c>
      <c r="CD163" s="192"/>
      <c r="CE163" s="192"/>
      <c r="CF163" s="172"/>
      <c r="CG163" s="172"/>
      <c r="CH163" s="172"/>
      <c r="CI163" s="172"/>
      <c r="CJ163" s="172"/>
      <c r="CK163" s="172"/>
      <c r="CL163" s="172"/>
      <c r="CM163" s="172"/>
      <c r="CN163" s="172"/>
      <c r="CO163" s="172"/>
      <c r="CP163" s="172"/>
      <c r="CQ163" s="172"/>
      <c r="CR163" s="172"/>
      <c r="CS163" s="172">
        <v>0</v>
      </c>
      <c r="CT163" s="172">
        <v>0</v>
      </c>
      <c r="CU163" s="192" t="e">
        <v>#DIV/0!</v>
      </c>
    </row>
    <row r="164" spans="1:99" s="68" customFormat="1" x14ac:dyDescent="0.25">
      <c r="A164" s="491">
        <v>140</v>
      </c>
      <c r="B164" s="65" t="s">
        <v>241</v>
      </c>
      <c r="C164" s="491">
        <v>1171</v>
      </c>
      <c r="D164" s="65" t="s">
        <v>243</v>
      </c>
      <c r="E164" s="491">
        <v>1</v>
      </c>
      <c r="F164" s="585"/>
      <c r="G164" s="585"/>
      <c r="H164" s="585"/>
      <c r="I164" s="585"/>
      <c r="J164" s="609"/>
      <c r="K164" s="609"/>
      <c r="L164" s="166" t="s">
        <v>753</v>
      </c>
      <c r="M164" s="166" t="s">
        <v>115</v>
      </c>
      <c r="N164" s="189" t="s">
        <v>349</v>
      </c>
      <c r="O164" s="166" t="s">
        <v>320</v>
      </c>
      <c r="P164" s="180">
        <v>41635</v>
      </c>
      <c r="Q164" s="185"/>
      <c r="R164" s="166" t="s">
        <v>357</v>
      </c>
      <c r="S164" s="189" t="s">
        <v>754</v>
      </c>
      <c r="T164" s="199" t="s">
        <v>755</v>
      </c>
      <c r="U164" s="166" t="s">
        <v>537</v>
      </c>
      <c r="V164" s="189">
        <v>1030535004</v>
      </c>
      <c r="W164" s="185"/>
      <c r="X164" s="185"/>
      <c r="Y164" s="166"/>
      <c r="Z164" s="174">
        <v>895</v>
      </c>
      <c r="AA164" s="175">
        <v>7500000</v>
      </c>
      <c r="AB164" s="174">
        <v>888</v>
      </c>
      <c r="AC164" s="175">
        <v>5000000</v>
      </c>
      <c r="AD164" s="175">
        <v>0</v>
      </c>
      <c r="AE164" s="175">
        <v>0</v>
      </c>
      <c r="AF164" s="175">
        <v>0</v>
      </c>
      <c r="AG164" s="175">
        <v>0</v>
      </c>
      <c r="AH164" s="175">
        <v>0</v>
      </c>
      <c r="AI164" s="175">
        <v>0</v>
      </c>
      <c r="AJ164" s="175">
        <v>0</v>
      </c>
      <c r="AK164" s="175">
        <v>0</v>
      </c>
      <c r="AL164" s="175">
        <v>0</v>
      </c>
      <c r="AM164" s="175">
        <v>0</v>
      </c>
      <c r="AN164" s="175">
        <v>0</v>
      </c>
      <c r="AO164" s="175">
        <v>0</v>
      </c>
      <c r="AP164" s="175">
        <f t="shared" si="48"/>
        <v>0</v>
      </c>
      <c r="AQ164" s="175">
        <f t="shared" si="49"/>
        <v>5000000</v>
      </c>
      <c r="AR164" s="176">
        <f t="shared" si="50"/>
        <v>0</v>
      </c>
      <c r="AS164" s="176"/>
      <c r="AT164" s="174">
        <v>251</v>
      </c>
      <c r="AU164" s="174">
        <v>250</v>
      </c>
      <c r="AV164" s="175">
        <v>5000000</v>
      </c>
      <c r="AW164" s="174"/>
      <c r="AX164" s="174"/>
      <c r="AY164" s="174"/>
      <c r="AZ164" s="174">
        <v>1000000</v>
      </c>
      <c r="BA164" s="174">
        <v>1000000</v>
      </c>
      <c r="BB164" s="174">
        <v>1000000</v>
      </c>
      <c r="BC164" s="174">
        <v>0</v>
      </c>
      <c r="BD164" s="174">
        <v>1000000</v>
      </c>
      <c r="BE164" s="174">
        <v>0</v>
      </c>
      <c r="BF164" s="174">
        <v>1000000</v>
      </c>
      <c r="BG164" s="174">
        <v>0</v>
      </c>
      <c r="BH164" s="174">
        <v>0</v>
      </c>
      <c r="BI164" s="175">
        <f t="shared" si="51"/>
        <v>5000000</v>
      </c>
      <c r="BJ164" s="175">
        <f t="shared" si="52"/>
        <v>0</v>
      </c>
      <c r="BK164" s="176">
        <f>+BI164/AV164</f>
        <v>1</v>
      </c>
      <c r="BL164" s="170"/>
      <c r="BM164" s="170"/>
      <c r="BN164" s="170"/>
      <c r="BO164" s="172"/>
      <c r="BP164" s="172"/>
      <c r="BQ164" s="172"/>
      <c r="BR164" s="172"/>
      <c r="BS164" s="172"/>
      <c r="BT164" s="172"/>
      <c r="BU164" s="172"/>
      <c r="BV164" s="172"/>
      <c r="BW164" s="172"/>
      <c r="BX164" s="172"/>
      <c r="BY164" s="172"/>
      <c r="BZ164" s="172"/>
      <c r="CA164" s="172">
        <f t="shared" si="41"/>
        <v>0</v>
      </c>
      <c r="CB164" s="172">
        <f t="shared" si="42"/>
        <v>0</v>
      </c>
      <c r="CC164" s="494" t="e">
        <f t="shared" si="43"/>
        <v>#DIV/0!</v>
      </c>
      <c r="CD164" s="192"/>
      <c r="CE164" s="192"/>
      <c r="CF164" s="172"/>
      <c r="CG164" s="172"/>
      <c r="CH164" s="172"/>
      <c r="CI164" s="172"/>
      <c r="CJ164" s="172"/>
      <c r="CK164" s="172"/>
      <c r="CL164" s="172"/>
      <c r="CM164" s="172"/>
      <c r="CN164" s="172"/>
      <c r="CO164" s="172"/>
      <c r="CP164" s="172"/>
      <c r="CQ164" s="172"/>
      <c r="CR164" s="172"/>
      <c r="CS164" s="172">
        <v>0</v>
      </c>
      <c r="CT164" s="172">
        <v>0</v>
      </c>
      <c r="CU164" s="192" t="e">
        <v>#DIV/0!</v>
      </c>
    </row>
    <row r="165" spans="1:99" s="68" customFormat="1" x14ac:dyDescent="0.25">
      <c r="A165" s="491">
        <v>140</v>
      </c>
      <c r="B165" s="65" t="s">
        <v>241</v>
      </c>
      <c r="C165" s="491">
        <v>1171</v>
      </c>
      <c r="D165" s="65" t="s">
        <v>243</v>
      </c>
      <c r="E165" s="491">
        <v>1</v>
      </c>
      <c r="F165" s="585"/>
      <c r="G165" s="585"/>
      <c r="H165" s="585"/>
      <c r="I165" s="585"/>
      <c r="J165" s="609"/>
      <c r="K165" s="609"/>
      <c r="L165" s="166" t="s">
        <v>756</v>
      </c>
      <c r="M165" s="166" t="s">
        <v>115</v>
      </c>
      <c r="N165" s="189" t="s">
        <v>349</v>
      </c>
      <c r="O165" s="166" t="s">
        <v>320</v>
      </c>
      <c r="P165" s="180">
        <v>41635</v>
      </c>
      <c r="Q165" s="180">
        <v>41288</v>
      </c>
      <c r="R165" s="166" t="s">
        <v>310</v>
      </c>
      <c r="S165" s="189" t="s">
        <v>757</v>
      </c>
      <c r="T165" s="199" t="s">
        <v>758</v>
      </c>
      <c r="U165" s="166" t="s">
        <v>759</v>
      </c>
      <c r="V165" s="189">
        <v>79789613</v>
      </c>
      <c r="W165" s="185"/>
      <c r="X165" s="185"/>
      <c r="Y165" s="166"/>
      <c r="Z165" s="174">
        <v>896</v>
      </c>
      <c r="AA165" s="175">
        <v>16000000</v>
      </c>
      <c r="AB165" s="174">
        <v>890</v>
      </c>
      <c r="AC165" s="175">
        <v>11000000</v>
      </c>
      <c r="AD165" s="175">
        <v>0</v>
      </c>
      <c r="AE165" s="175">
        <v>0</v>
      </c>
      <c r="AF165" s="175">
        <v>0</v>
      </c>
      <c r="AG165" s="175">
        <v>0</v>
      </c>
      <c r="AH165" s="175">
        <v>0</v>
      </c>
      <c r="AI165" s="175">
        <v>0</v>
      </c>
      <c r="AJ165" s="175">
        <v>0</v>
      </c>
      <c r="AK165" s="175">
        <v>0</v>
      </c>
      <c r="AL165" s="175">
        <v>0</v>
      </c>
      <c r="AM165" s="175">
        <v>0</v>
      </c>
      <c r="AN165" s="175">
        <v>0</v>
      </c>
      <c r="AO165" s="175">
        <v>0</v>
      </c>
      <c r="AP165" s="175">
        <f t="shared" si="48"/>
        <v>0</v>
      </c>
      <c r="AQ165" s="175">
        <f t="shared" si="49"/>
        <v>11000000</v>
      </c>
      <c r="AR165" s="176">
        <f t="shared" si="50"/>
        <v>0</v>
      </c>
      <c r="AS165" s="176"/>
      <c r="AT165" s="174">
        <v>232</v>
      </c>
      <c r="AU165" s="174">
        <v>230</v>
      </c>
      <c r="AV165" s="175">
        <v>11000000</v>
      </c>
      <c r="AW165" s="174"/>
      <c r="AX165" s="174"/>
      <c r="AY165" s="174"/>
      <c r="AZ165" s="174">
        <v>5500000</v>
      </c>
      <c r="BA165" s="174">
        <v>0</v>
      </c>
      <c r="BB165" s="174">
        <v>5500000</v>
      </c>
      <c r="BC165" s="174">
        <v>0</v>
      </c>
      <c r="BD165" s="174">
        <v>0</v>
      </c>
      <c r="BE165" s="174">
        <v>0</v>
      </c>
      <c r="BF165" s="174">
        <v>0</v>
      </c>
      <c r="BG165" s="174">
        <v>0</v>
      </c>
      <c r="BH165" s="174">
        <v>0</v>
      </c>
      <c r="BI165" s="175">
        <f t="shared" si="51"/>
        <v>11000000</v>
      </c>
      <c r="BJ165" s="175">
        <f t="shared" si="52"/>
        <v>0</v>
      </c>
      <c r="BK165" s="176">
        <f>+BI165/AV165</f>
        <v>1</v>
      </c>
      <c r="BL165" s="170"/>
      <c r="BM165" s="170"/>
      <c r="BN165" s="170"/>
      <c r="BO165" s="172"/>
      <c r="BP165" s="172"/>
      <c r="BQ165" s="172"/>
      <c r="BR165" s="172"/>
      <c r="BS165" s="172"/>
      <c r="BT165" s="172"/>
      <c r="BU165" s="172"/>
      <c r="BV165" s="172"/>
      <c r="BW165" s="172"/>
      <c r="BX165" s="172"/>
      <c r="BY165" s="172"/>
      <c r="BZ165" s="172"/>
      <c r="CA165" s="172">
        <f t="shared" si="41"/>
        <v>0</v>
      </c>
      <c r="CB165" s="172">
        <f t="shared" si="42"/>
        <v>0</v>
      </c>
      <c r="CC165" s="494" t="e">
        <f t="shared" si="43"/>
        <v>#DIV/0!</v>
      </c>
      <c r="CD165" s="192"/>
      <c r="CE165" s="192"/>
      <c r="CF165" s="172"/>
      <c r="CG165" s="172"/>
      <c r="CH165" s="172"/>
      <c r="CI165" s="172"/>
      <c r="CJ165" s="172"/>
      <c r="CK165" s="172"/>
      <c r="CL165" s="172"/>
      <c r="CM165" s="172"/>
      <c r="CN165" s="172"/>
      <c r="CO165" s="172"/>
      <c r="CP165" s="172"/>
      <c r="CQ165" s="172"/>
      <c r="CR165" s="172"/>
      <c r="CS165" s="172">
        <v>0</v>
      </c>
      <c r="CT165" s="172">
        <v>0</v>
      </c>
      <c r="CU165" s="192" t="e">
        <v>#DIV/0!</v>
      </c>
    </row>
    <row r="166" spans="1:99" s="68" customFormat="1" x14ac:dyDescent="0.25">
      <c r="A166" s="491">
        <v>140</v>
      </c>
      <c r="B166" s="65" t="s">
        <v>241</v>
      </c>
      <c r="C166" s="491">
        <v>1171</v>
      </c>
      <c r="D166" s="65" t="s">
        <v>243</v>
      </c>
      <c r="E166" s="491">
        <v>1</v>
      </c>
      <c r="F166" s="585"/>
      <c r="G166" s="585"/>
      <c r="H166" s="585"/>
      <c r="I166" s="585"/>
      <c r="J166" s="609"/>
      <c r="K166" s="609"/>
      <c r="L166" s="166" t="s">
        <v>760</v>
      </c>
      <c r="M166" s="166" t="s">
        <v>115</v>
      </c>
      <c r="N166" s="185"/>
      <c r="O166" s="166" t="s">
        <v>320</v>
      </c>
      <c r="P166" s="185"/>
      <c r="Q166" s="185"/>
      <c r="R166" s="185"/>
      <c r="S166" s="185"/>
      <c r="T166" s="185"/>
      <c r="U166" s="166" t="s">
        <v>761</v>
      </c>
      <c r="V166" s="185"/>
      <c r="W166" s="185"/>
      <c r="X166" s="185"/>
      <c r="Y166" s="166"/>
      <c r="Z166" s="174">
        <v>866</v>
      </c>
      <c r="AA166" s="175"/>
      <c r="AB166" s="174">
        <v>833</v>
      </c>
      <c r="AC166" s="175">
        <v>3000000</v>
      </c>
      <c r="AD166" s="175">
        <v>0</v>
      </c>
      <c r="AE166" s="175">
        <v>0</v>
      </c>
      <c r="AF166" s="175">
        <v>0</v>
      </c>
      <c r="AG166" s="175">
        <v>0</v>
      </c>
      <c r="AH166" s="175">
        <v>0</v>
      </c>
      <c r="AI166" s="175">
        <v>0</v>
      </c>
      <c r="AJ166" s="175">
        <v>0</v>
      </c>
      <c r="AK166" s="175">
        <v>0</v>
      </c>
      <c r="AL166" s="175">
        <v>0</v>
      </c>
      <c r="AM166" s="175">
        <v>0</v>
      </c>
      <c r="AN166" s="175">
        <v>0</v>
      </c>
      <c r="AO166" s="175">
        <v>3000000</v>
      </c>
      <c r="AP166" s="175">
        <f t="shared" si="48"/>
        <v>3000000</v>
      </c>
      <c r="AQ166" s="175">
        <f t="shared" si="49"/>
        <v>0</v>
      </c>
      <c r="AR166" s="176">
        <f t="shared" si="50"/>
        <v>1</v>
      </c>
      <c r="AS166" s="176"/>
      <c r="AT166" s="174"/>
      <c r="AU166" s="174"/>
      <c r="AV166" s="175"/>
      <c r="AW166" s="174"/>
      <c r="AX166" s="174"/>
      <c r="AY166" s="174"/>
      <c r="AZ166" s="174"/>
      <c r="BA166" s="174">
        <v>0</v>
      </c>
      <c r="BB166" s="174">
        <v>0</v>
      </c>
      <c r="BC166" s="174">
        <v>0</v>
      </c>
      <c r="BD166" s="174">
        <v>0</v>
      </c>
      <c r="BE166" s="174">
        <v>0</v>
      </c>
      <c r="BF166" s="174">
        <v>0</v>
      </c>
      <c r="BG166" s="174">
        <v>0</v>
      </c>
      <c r="BH166" s="174">
        <v>0</v>
      </c>
      <c r="BI166" s="175">
        <f t="shared" si="51"/>
        <v>0</v>
      </c>
      <c r="BJ166" s="175">
        <f t="shared" si="52"/>
        <v>0</v>
      </c>
      <c r="BK166" s="176"/>
      <c r="BL166" s="170"/>
      <c r="BM166" s="170"/>
      <c r="BN166" s="170"/>
      <c r="BO166" s="172"/>
      <c r="BP166" s="172"/>
      <c r="BQ166" s="172"/>
      <c r="BR166" s="172"/>
      <c r="BS166" s="172"/>
      <c r="BT166" s="172"/>
      <c r="BU166" s="172"/>
      <c r="BV166" s="172"/>
      <c r="BW166" s="172"/>
      <c r="BX166" s="172"/>
      <c r="BY166" s="172"/>
      <c r="BZ166" s="172"/>
      <c r="CA166" s="172">
        <f t="shared" si="41"/>
        <v>0</v>
      </c>
      <c r="CB166" s="172">
        <f t="shared" si="42"/>
        <v>0</v>
      </c>
      <c r="CC166" s="494" t="e">
        <f t="shared" si="43"/>
        <v>#DIV/0!</v>
      </c>
      <c r="CD166" s="192"/>
      <c r="CE166" s="192"/>
      <c r="CF166" s="172"/>
      <c r="CG166" s="172"/>
      <c r="CH166" s="172"/>
      <c r="CI166" s="172"/>
      <c r="CJ166" s="172"/>
      <c r="CK166" s="172"/>
      <c r="CL166" s="172"/>
      <c r="CM166" s="172"/>
      <c r="CN166" s="172"/>
      <c r="CO166" s="172"/>
      <c r="CP166" s="172"/>
      <c r="CQ166" s="172"/>
      <c r="CR166" s="172"/>
      <c r="CS166" s="172">
        <v>0</v>
      </c>
      <c r="CT166" s="172">
        <v>0</v>
      </c>
      <c r="CU166" s="192" t="e">
        <v>#DIV/0!</v>
      </c>
    </row>
    <row r="167" spans="1:99" s="68" customFormat="1" x14ac:dyDescent="0.25">
      <c r="A167" s="491">
        <v>140</v>
      </c>
      <c r="B167" s="65" t="s">
        <v>241</v>
      </c>
      <c r="C167" s="491">
        <v>1171</v>
      </c>
      <c r="D167" s="65" t="s">
        <v>243</v>
      </c>
      <c r="E167" s="491">
        <v>1</v>
      </c>
      <c r="F167" s="585"/>
      <c r="G167" s="585"/>
      <c r="H167" s="585"/>
      <c r="I167" s="585"/>
      <c r="J167" s="609"/>
      <c r="K167" s="609"/>
      <c r="L167" s="166" t="s">
        <v>762</v>
      </c>
      <c r="M167" s="166" t="s">
        <v>115</v>
      </c>
      <c r="N167" s="189" t="s">
        <v>349</v>
      </c>
      <c r="O167" s="166" t="s">
        <v>320</v>
      </c>
      <c r="P167" s="180">
        <v>41635</v>
      </c>
      <c r="Q167" s="185"/>
      <c r="R167" s="166" t="s">
        <v>724</v>
      </c>
      <c r="S167" s="189" t="s">
        <v>763</v>
      </c>
      <c r="T167" s="199" t="s">
        <v>764</v>
      </c>
      <c r="U167" s="166" t="s">
        <v>537</v>
      </c>
      <c r="V167" s="189">
        <v>1030535004</v>
      </c>
      <c r="W167" s="185"/>
      <c r="X167" s="185"/>
      <c r="Y167" s="166"/>
      <c r="Z167" s="174">
        <v>897</v>
      </c>
      <c r="AA167" s="175">
        <v>4500000</v>
      </c>
      <c r="AB167" s="174">
        <v>886</v>
      </c>
      <c r="AC167" s="175">
        <v>3000000</v>
      </c>
      <c r="AD167" s="175">
        <v>0</v>
      </c>
      <c r="AE167" s="175">
        <v>0</v>
      </c>
      <c r="AF167" s="175">
        <v>0</v>
      </c>
      <c r="AG167" s="175">
        <v>0</v>
      </c>
      <c r="AH167" s="175">
        <v>0</v>
      </c>
      <c r="AI167" s="175">
        <v>0</v>
      </c>
      <c r="AJ167" s="175">
        <v>0</v>
      </c>
      <c r="AK167" s="175">
        <v>0</v>
      </c>
      <c r="AL167" s="175">
        <v>0</v>
      </c>
      <c r="AM167" s="175">
        <v>0</v>
      </c>
      <c r="AN167" s="175">
        <v>0</v>
      </c>
      <c r="AO167" s="175">
        <v>0</v>
      </c>
      <c r="AP167" s="175">
        <f t="shared" si="48"/>
        <v>0</v>
      </c>
      <c r="AQ167" s="175">
        <f t="shared" si="49"/>
        <v>3000000</v>
      </c>
      <c r="AR167" s="176">
        <f t="shared" si="50"/>
        <v>0</v>
      </c>
      <c r="AS167" s="176"/>
      <c r="AT167" s="174">
        <v>231</v>
      </c>
      <c r="AU167" s="174">
        <v>229</v>
      </c>
      <c r="AV167" s="175">
        <v>3000000</v>
      </c>
      <c r="AW167" s="174"/>
      <c r="AX167" s="174"/>
      <c r="AY167" s="174"/>
      <c r="AZ167" s="174">
        <v>1000000</v>
      </c>
      <c r="BA167" s="174">
        <v>1000000</v>
      </c>
      <c r="BB167" s="174">
        <v>0</v>
      </c>
      <c r="BC167" s="174">
        <v>0</v>
      </c>
      <c r="BD167" s="174">
        <v>1000000</v>
      </c>
      <c r="BE167" s="174">
        <v>0</v>
      </c>
      <c r="BF167" s="174">
        <v>0</v>
      </c>
      <c r="BG167" s="174">
        <v>0</v>
      </c>
      <c r="BH167" s="174">
        <v>0</v>
      </c>
      <c r="BI167" s="175">
        <f t="shared" si="51"/>
        <v>3000000</v>
      </c>
      <c r="BJ167" s="175">
        <f t="shared" si="52"/>
        <v>0</v>
      </c>
      <c r="BK167" s="176">
        <f>+BI167/AV167</f>
        <v>1</v>
      </c>
      <c r="BL167" s="170"/>
      <c r="BM167" s="170"/>
      <c r="BN167" s="170"/>
      <c r="BO167" s="172"/>
      <c r="BP167" s="172"/>
      <c r="BQ167" s="172"/>
      <c r="BR167" s="172"/>
      <c r="BS167" s="172"/>
      <c r="BT167" s="172"/>
      <c r="BU167" s="172"/>
      <c r="BV167" s="172"/>
      <c r="BW167" s="172"/>
      <c r="BX167" s="172"/>
      <c r="BY167" s="172"/>
      <c r="BZ167" s="172"/>
      <c r="CA167" s="172">
        <f t="shared" si="41"/>
        <v>0</v>
      </c>
      <c r="CB167" s="172">
        <f t="shared" si="42"/>
        <v>0</v>
      </c>
      <c r="CC167" s="494" t="e">
        <f t="shared" si="43"/>
        <v>#DIV/0!</v>
      </c>
      <c r="CD167" s="192"/>
      <c r="CE167" s="192"/>
      <c r="CF167" s="172"/>
      <c r="CG167" s="172"/>
      <c r="CH167" s="172"/>
      <c r="CI167" s="172"/>
      <c r="CJ167" s="172"/>
      <c r="CK167" s="172"/>
      <c r="CL167" s="172"/>
      <c r="CM167" s="172"/>
      <c r="CN167" s="172"/>
      <c r="CO167" s="172"/>
      <c r="CP167" s="172"/>
      <c r="CQ167" s="172"/>
      <c r="CR167" s="172"/>
      <c r="CS167" s="172">
        <v>0</v>
      </c>
      <c r="CT167" s="172">
        <v>0</v>
      </c>
      <c r="CU167" s="192" t="e">
        <v>#DIV/0!</v>
      </c>
    </row>
    <row r="168" spans="1:99" s="68" customFormat="1" x14ac:dyDescent="0.25">
      <c r="A168" s="490">
        <v>141</v>
      </c>
      <c r="B168" s="63" t="s">
        <v>247</v>
      </c>
      <c r="C168" s="490">
        <v>1171</v>
      </c>
      <c r="D168" s="63" t="s">
        <v>243</v>
      </c>
      <c r="E168" s="490">
        <v>2</v>
      </c>
      <c r="F168" s="559" t="s">
        <v>130</v>
      </c>
      <c r="G168" s="559">
        <v>7</v>
      </c>
      <c r="H168" s="606" t="s">
        <v>249</v>
      </c>
      <c r="I168" s="607" t="s">
        <v>250</v>
      </c>
      <c r="J168" s="605"/>
      <c r="K168" s="605"/>
      <c r="L168" s="166" t="s">
        <v>765</v>
      </c>
      <c r="M168" s="166" t="s">
        <v>115</v>
      </c>
      <c r="N168" s="190" t="s">
        <v>90</v>
      </c>
      <c r="O168" s="190" t="s">
        <v>90</v>
      </c>
      <c r="P168" s="180" t="s">
        <v>90</v>
      </c>
      <c r="Q168" s="180" t="s">
        <v>90</v>
      </c>
      <c r="R168" s="166" t="s">
        <v>90</v>
      </c>
      <c r="S168" s="166" t="s">
        <v>90</v>
      </c>
      <c r="T168" s="177" t="s">
        <v>745</v>
      </c>
      <c r="U168" s="166" t="s">
        <v>90</v>
      </c>
      <c r="V168" s="166" t="s">
        <v>90</v>
      </c>
      <c r="W168" s="166" t="s">
        <v>90</v>
      </c>
      <c r="X168" s="166" t="s">
        <v>315</v>
      </c>
      <c r="Y168" s="166"/>
      <c r="Z168" s="174" t="s">
        <v>90</v>
      </c>
      <c r="AA168" s="175">
        <f>463458443</f>
        <v>463458443</v>
      </c>
      <c r="AB168" s="174" t="s">
        <v>90</v>
      </c>
      <c r="AC168" s="175">
        <v>407157583</v>
      </c>
      <c r="AD168" s="175">
        <v>34223496</v>
      </c>
      <c r="AE168" s="175">
        <v>34715920</v>
      </c>
      <c r="AF168" s="175">
        <v>34469708</v>
      </c>
      <c r="AG168" s="175">
        <v>34469708</v>
      </c>
      <c r="AH168" s="175">
        <v>41260268</v>
      </c>
      <c r="AI168" s="175">
        <v>35827820</v>
      </c>
      <c r="AJ168" s="175">
        <v>35827820</v>
      </c>
      <c r="AK168" s="175">
        <v>35827820</v>
      </c>
      <c r="AL168" s="175">
        <v>30709560</v>
      </c>
      <c r="AM168" s="175">
        <v>28406343</v>
      </c>
      <c r="AN168" s="175">
        <v>30709560</v>
      </c>
      <c r="AO168" s="175">
        <v>27382691</v>
      </c>
      <c r="AP168" s="175">
        <f t="shared" si="48"/>
        <v>403830714</v>
      </c>
      <c r="AQ168" s="175">
        <f t="shared" si="49"/>
        <v>3326869</v>
      </c>
      <c r="AR168" s="176">
        <f t="shared" si="50"/>
        <v>0.99182903834066627</v>
      </c>
      <c r="AS168" s="176"/>
      <c r="AT168" s="174" t="s">
        <v>90</v>
      </c>
      <c r="AU168" s="174" t="s">
        <v>90</v>
      </c>
      <c r="AV168" s="175">
        <v>3326869</v>
      </c>
      <c r="AW168" s="174">
        <v>3326869</v>
      </c>
      <c r="AX168" s="174"/>
      <c r="AY168" s="174"/>
      <c r="AZ168" s="174"/>
      <c r="BA168" s="174"/>
      <c r="BB168" s="174"/>
      <c r="BC168" s="174">
        <v>0</v>
      </c>
      <c r="BD168" s="174">
        <v>0</v>
      </c>
      <c r="BE168" s="174">
        <v>0</v>
      </c>
      <c r="BF168" s="174">
        <v>0</v>
      </c>
      <c r="BG168" s="174">
        <v>0</v>
      </c>
      <c r="BH168" s="174">
        <v>0</v>
      </c>
      <c r="BI168" s="175">
        <f t="shared" si="51"/>
        <v>3326869</v>
      </c>
      <c r="BJ168" s="175">
        <f t="shared" si="52"/>
        <v>0</v>
      </c>
      <c r="BK168" s="176">
        <f>+BI168/AV168</f>
        <v>1</v>
      </c>
      <c r="BL168" s="170"/>
      <c r="BM168" s="170"/>
      <c r="BN168" s="170"/>
      <c r="BO168" s="172"/>
      <c r="BP168" s="172"/>
      <c r="BQ168" s="172"/>
      <c r="BR168" s="172"/>
      <c r="BS168" s="172"/>
      <c r="BT168" s="172"/>
      <c r="BU168" s="172"/>
      <c r="BV168" s="172"/>
      <c r="BW168" s="172"/>
      <c r="BX168" s="172"/>
      <c r="BY168" s="172"/>
      <c r="BZ168" s="172"/>
      <c r="CA168" s="172">
        <f t="shared" si="41"/>
        <v>0</v>
      </c>
      <c r="CB168" s="172">
        <f t="shared" si="42"/>
        <v>0</v>
      </c>
      <c r="CC168" s="494" t="e">
        <f t="shared" si="43"/>
        <v>#DIV/0!</v>
      </c>
      <c r="CD168" s="192"/>
      <c r="CE168" s="192"/>
      <c r="CF168" s="172"/>
      <c r="CG168" s="172"/>
      <c r="CH168" s="172"/>
      <c r="CI168" s="172"/>
      <c r="CJ168" s="172"/>
      <c r="CK168" s="172"/>
      <c r="CL168" s="172"/>
      <c r="CM168" s="172"/>
      <c r="CN168" s="172"/>
      <c r="CO168" s="172"/>
      <c r="CP168" s="172"/>
      <c r="CQ168" s="172"/>
      <c r="CR168" s="172"/>
      <c r="CS168" s="172">
        <v>0</v>
      </c>
      <c r="CT168" s="172">
        <v>0</v>
      </c>
      <c r="CU168" s="192" t="e">
        <v>#DIV/0!</v>
      </c>
    </row>
    <row r="169" spans="1:99" s="68" customFormat="1" x14ac:dyDescent="0.25">
      <c r="A169" s="490">
        <v>141</v>
      </c>
      <c r="B169" s="63" t="s">
        <v>247</v>
      </c>
      <c r="C169" s="490">
        <v>1171</v>
      </c>
      <c r="D169" s="63" t="s">
        <v>243</v>
      </c>
      <c r="E169" s="490">
        <v>2</v>
      </c>
      <c r="F169" s="559"/>
      <c r="G169" s="559"/>
      <c r="H169" s="606"/>
      <c r="I169" s="607"/>
      <c r="J169" s="605"/>
      <c r="K169" s="605"/>
      <c r="L169" s="166"/>
      <c r="M169" s="166"/>
      <c r="N169" s="190"/>
      <c r="O169" s="190"/>
      <c r="P169" s="190"/>
      <c r="Q169" s="190"/>
      <c r="R169" s="190"/>
      <c r="S169" s="190"/>
      <c r="T169" s="177"/>
      <c r="U169" s="166"/>
      <c r="V169" s="166"/>
      <c r="W169" s="166"/>
      <c r="X169" s="166"/>
      <c r="Y169" s="166"/>
      <c r="Z169" s="174"/>
      <c r="AA169" s="175"/>
      <c r="AB169" s="174"/>
      <c r="AC169" s="175"/>
      <c r="AD169" s="175"/>
      <c r="AE169" s="175"/>
      <c r="AF169" s="175"/>
      <c r="AG169" s="175"/>
      <c r="AH169" s="175"/>
      <c r="AI169" s="175"/>
      <c r="AJ169" s="175"/>
      <c r="AK169" s="175"/>
      <c r="AL169" s="175"/>
      <c r="AM169" s="175"/>
      <c r="AN169" s="175"/>
      <c r="AO169" s="175"/>
      <c r="AP169" s="175"/>
      <c r="AQ169" s="175"/>
      <c r="AR169" s="176"/>
      <c r="AS169" s="176"/>
      <c r="AT169" s="174"/>
      <c r="AU169" s="174"/>
      <c r="AV169" s="175"/>
      <c r="AW169" s="174"/>
      <c r="AX169" s="174"/>
      <c r="AY169" s="174"/>
      <c r="AZ169" s="174"/>
      <c r="BA169" s="174"/>
      <c r="BB169" s="174"/>
      <c r="BC169" s="174"/>
      <c r="BD169" s="174"/>
      <c r="BE169" s="174"/>
      <c r="BF169" s="174"/>
      <c r="BG169" s="174"/>
      <c r="BH169" s="174"/>
      <c r="BI169" s="175">
        <f t="shared" si="51"/>
        <v>0</v>
      </c>
      <c r="BJ169" s="175">
        <f t="shared" si="52"/>
        <v>0</v>
      </c>
      <c r="BK169" s="176"/>
      <c r="BL169" s="170"/>
      <c r="BM169" s="170"/>
      <c r="BN169" s="170"/>
      <c r="BO169" s="172"/>
      <c r="BP169" s="172"/>
      <c r="BQ169" s="172"/>
      <c r="BR169" s="172"/>
      <c r="BS169" s="172"/>
      <c r="BT169" s="172"/>
      <c r="BU169" s="172"/>
      <c r="BV169" s="172"/>
      <c r="BW169" s="172"/>
      <c r="BX169" s="172"/>
      <c r="BY169" s="172"/>
      <c r="BZ169" s="172"/>
      <c r="CA169" s="172">
        <f t="shared" si="41"/>
        <v>0</v>
      </c>
      <c r="CB169" s="172">
        <f t="shared" si="42"/>
        <v>0</v>
      </c>
      <c r="CC169" s="494" t="e">
        <f t="shared" si="43"/>
        <v>#DIV/0!</v>
      </c>
      <c r="CD169" s="192"/>
      <c r="CE169" s="192"/>
      <c r="CF169" s="172"/>
      <c r="CG169" s="172"/>
      <c r="CH169" s="172"/>
      <c r="CI169" s="172"/>
      <c r="CJ169" s="172"/>
      <c r="CK169" s="172"/>
      <c r="CL169" s="172"/>
      <c r="CM169" s="172"/>
      <c r="CN169" s="172"/>
      <c r="CO169" s="172"/>
      <c r="CP169" s="172"/>
      <c r="CQ169" s="172"/>
      <c r="CR169" s="172"/>
      <c r="CS169" s="172">
        <v>0</v>
      </c>
      <c r="CT169" s="172">
        <v>0</v>
      </c>
      <c r="CU169" s="192" t="e">
        <v>#DIV/0!</v>
      </c>
    </row>
    <row r="170" spans="1:99" s="68" customFormat="1" x14ac:dyDescent="0.25">
      <c r="A170" s="490">
        <v>141</v>
      </c>
      <c r="B170" s="63" t="s">
        <v>247</v>
      </c>
      <c r="C170" s="490">
        <v>1171</v>
      </c>
      <c r="D170" s="63" t="s">
        <v>243</v>
      </c>
      <c r="E170" s="490">
        <v>2</v>
      </c>
      <c r="F170" s="559"/>
      <c r="G170" s="559"/>
      <c r="H170" s="606"/>
      <c r="I170" s="607"/>
      <c r="J170" s="605"/>
      <c r="K170" s="605"/>
      <c r="L170" s="166"/>
      <c r="M170" s="166"/>
      <c r="N170" s="166"/>
      <c r="O170" s="166"/>
      <c r="P170" s="180"/>
      <c r="Q170" s="180"/>
      <c r="R170" s="166"/>
      <c r="S170" s="166"/>
      <c r="T170" s="166"/>
      <c r="U170" s="166"/>
      <c r="V170" s="166"/>
      <c r="W170" s="166"/>
      <c r="X170" s="166"/>
      <c r="Y170" s="166"/>
      <c r="Z170" s="174"/>
      <c r="AA170" s="175"/>
      <c r="AB170" s="174"/>
      <c r="AC170" s="175"/>
      <c r="AD170" s="175"/>
      <c r="AE170" s="175"/>
      <c r="AF170" s="175"/>
      <c r="AG170" s="175"/>
      <c r="AH170" s="175"/>
      <c r="AI170" s="175"/>
      <c r="AJ170" s="175"/>
      <c r="AK170" s="175"/>
      <c r="AL170" s="175"/>
      <c r="AM170" s="175"/>
      <c r="AN170" s="175"/>
      <c r="AO170" s="175"/>
      <c r="AP170" s="175"/>
      <c r="AQ170" s="175"/>
      <c r="AR170" s="176"/>
      <c r="AS170" s="176"/>
      <c r="AT170" s="174"/>
      <c r="AU170" s="174"/>
      <c r="AV170" s="175"/>
      <c r="AW170" s="174"/>
      <c r="AX170" s="174"/>
      <c r="AY170" s="174"/>
      <c r="AZ170" s="174"/>
      <c r="BA170" s="174"/>
      <c r="BB170" s="174"/>
      <c r="BC170" s="174"/>
      <c r="BD170" s="174"/>
      <c r="BE170" s="174"/>
      <c r="BF170" s="174"/>
      <c r="BG170" s="174"/>
      <c r="BH170" s="174"/>
      <c r="BI170" s="175">
        <f t="shared" si="51"/>
        <v>0</v>
      </c>
      <c r="BJ170" s="175">
        <f t="shared" si="52"/>
        <v>0</v>
      </c>
      <c r="BK170" s="176"/>
      <c r="BL170" s="170"/>
      <c r="BM170" s="170"/>
      <c r="BN170" s="170"/>
      <c r="BO170" s="172"/>
      <c r="BP170" s="172"/>
      <c r="BQ170" s="172"/>
      <c r="BR170" s="172"/>
      <c r="BS170" s="172"/>
      <c r="BT170" s="172"/>
      <c r="BU170" s="172"/>
      <c r="BV170" s="172"/>
      <c r="BW170" s="172"/>
      <c r="BX170" s="172"/>
      <c r="BY170" s="172"/>
      <c r="BZ170" s="172"/>
      <c r="CA170" s="172">
        <f t="shared" si="41"/>
        <v>0</v>
      </c>
      <c r="CB170" s="172">
        <f t="shared" si="42"/>
        <v>0</v>
      </c>
      <c r="CC170" s="494" t="e">
        <f t="shared" si="43"/>
        <v>#DIV/0!</v>
      </c>
      <c r="CD170" s="192"/>
      <c r="CE170" s="192"/>
      <c r="CF170" s="172"/>
      <c r="CG170" s="172"/>
      <c r="CH170" s="172"/>
      <c r="CI170" s="172"/>
      <c r="CJ170" s="172"/>
      <c r="CK170" s="172"/>
      <c r="CL170" s="172"/>
      <c r="CM170" s="172"/>
      <c r="CN170" s="172"/>
      <c r="CO170" s="172"/>
      <c r="CP170" s="172"/>
      <c r="CQ170" s="172"/>
      <c r="CR170" s="172"/>
      <c r="CS170" s="172">
        <v>0</v>
      </c>
      <c r="CT170" s="172">
        <v>0</v>
      </c>
      <c r="CU170" s="192" t="e">
        <v>#DIV/0!</v>
      </c>
    </row>
    <row r="171" spans="1:99" s="68" customFormat="1" x14ac:dyDescent="0.25">
      <c r="A171" s="490">
        <v>142</v>
      </c>
      <c r="B171" s="63" t="s">
        <v>251</v>
      </c>
      <c r="C171" s="490">
        <v>1171</v>
      </c>
      <c r="D171" s="63" t="s">
        <v>243</v>
      </c>
      <c r="E171" s="490">
        <v>3</v>
      </c>
      <c r="F171" s="559" t="s">
        <v>252</v>
      </c>
      <c r="G171" s="559">
        <v>1</v>
      </c>
      <c r="H171" s="606" t="s">
        <v>253</v>
      </c>
      <c r="I171" s="607" t="s">
        <v>254</v>
      </c>
      <c r="J171" s="605"/>
      <c r="K171" s="605"/>
      <c r="L171" s="166"/>
      <c r="M171" s="166"/>
      <c r="N171" s="166"/>
      <c r="O171" s="166"/>
      <c r="P171" s="180"/>
      <c r="Q171" s="180"/>
      <c r="R171" s="166"/>
      <c r="S171" s="166"/>
      <c r="T171" s="166"/>
      <c r="U171" s="166"/>
      <c r="V171" s="166"/>
      <c r="W171" s="166"/>
      <c r="X171" s="166"/>
      <c r="Y171" s="166"/>
      <c r="Z171" s="174"/>
      <c r="AA171" s="175"/>
      <c r="AB171" s="174"/>
      <c r="AC171" s="175"/>
      <c r="AD171" s="175"/>
      <c r="AE171" s="175"/>
      <c r="AF171" s="175"/>
      <c r="AG171" s="175"/>
      <c r="AH171" s="175"/>
      <c r="AI171" s="175"/>
      <c r="AJ171" s="175"/>
      <c r="AK171" s="175"/>
      <c r="AL171" s="175"/>
      <c r="AM171" s="175"/>
      <c r="AN171" s="175"/>
      <c r="AO171" s="175"/>
      <c r="AP171" s="175"/>
      <c r="AQ171" s="175"/>
      <c r="AR171" s="176"/>
      <c r="AS171" s="176"/>
      <c r="AT171" s="174"/>
      <c r="AU171" s="174"/>
      <c r="AV171" s="175"/>
      <c r="AW171" s="174"/>
      <c r="AX171" s="174"/>
      <c r="AY171" s="174"/>
      <c r="AZ171" s="174"/>
      <c r="BA171" s="174"/>
      <c r="BB171" s="174"/>
      <c r="BC171" s="174"/>
      <c r="BD171" s="174"/>
      <c r="BE171" s="174"/>
      <c r="BF171" s="174"/>
      <c r="BG171" s="174"/>
      <c r="BH171" s="174"/>
      <c r="BI171" s="175">
        <f t="shared" si="51"/>
        <v>0</v>
      </c>
      <c r="BJ171" s="175">
        <f t="shared" si="52"/>
        <v>0</v>
      </c>
      <c r="BK171" s="176"/>
      <c r="BL171" s="170"/>
      <c r="BM171" s="170"/>
      <c r="BN171" s="170"/>
      <c r="BO171" s="172"/>
      <c r="BP171" s="172"/>
      <c r="BQ171" s="172"/>
      <c r="BR171" s="172"/>
      <c r="BS171" s="172"/>
      <c r="BT171" s="172"/>
      <c r="BU171" s="172"/>
      <c r="BV171" s="172"/>
      <c r="BW171" s="172"/>
      <c r="BX171" s="172"/>
      <c r="BY171" s="172"/>
      <c r="BZ171" s="172"/>
      <c r="CA171" s="172">
        <f t="shared" si="41"/>
        <v>0</v>
      </c>
      <c r="CB171" s="172">
        <f t="shared" si="42"/>
        <v>0</v>
      </c>
      <c r="CC171" s="494" t="e">
        <f t="shared" si="43"/>
        <v>#DIV/0!</v>
      </c>
      <c r="CD171" s="192"/>
      <c r="CE171" s="192"/>
      <c r="CF171" s="172"/>
      <c r="CG171" s="172"/>
      <c r="CH171" s="172"/>
      <c r="CI171" s="172"/>
      <c r="CJ171" s="172"/>
      <c r="CK171" s="172"/>
      <c r="CL171" s="172"/>
      <c r="CM171" s="172"/>
      <c r="CN171" s="172"/>
      <c r="CO171" s="172"/>
      <c r="CP171" s="172"/>
      <c r="CQ171" s="172"/>
      <c r="CR171" s="172"/>
      <c r="CS171" s="172">
        <v>0</v>
      </c>
      <c r="CT171" s="172">
        <v>0</v>
      </c>
      <c r="CU171" s="192" t="e">
        <v>#DIV/0!</v>
      </c>
    </row>
    <row r="172" spans="1:99" s="68" customFormat="1" x14ac:dyDescent="0.25">
      <c r="A172" s="490">
        <v>142</v>
      </c>
      <c r="B172" s="63" t="s">
        <v>251</v>
      </c>
      <c r="C172" s="490">
        <v>1171</v>
      </c>
      <c r="D172" s="63" t="s">
        <v>243</v>
      </c>
      <c r="E172" s="490">
        <v>3</v>
      </c>
      <c r="F172" s="559"/>
      <c r="G172" s="559"/>
      <c r="H172" s="606"/>
      <c r="I172" s="607"/>
      <c r="J172" s="605"/>
      <c r="K172" s="605"/>
      <c r="L172" s="166"/>
      <c r="M172" s="166"/>
      <c r="N172" s="166"/>
      <c r="O172" s="166"/>
      <c r="P172" s="180"/>
      <c r="Q172" s="180"/>
      <c r="R172" s="166"/>
      <c r="S172" s="166"/>
      <c r="T172" s="166"/>
      <c r="U172" s="166"/>
      <c r="V172" s="166"/>
      <c r="W172" s="166"/>
      <c r="X172" s="166"/>
      <c r="Y172" s="166"/>
      <c r="Z172" s="174"/>
      <c r="AA172" s="175"/>
      <c r="AB172" s="174"/>
      <c r="AC172" s="175"/>
      <c r="AD172" s="175"/>
      <c r="AE172" s="175"/>
      <c r="AF172" s="175"/>
      <c r="AG172" s="175"/>
      <c r="AH172" s="175"/>
      <c r="AI172" s="175"/>
      <c r="AJ172" s="175"/>
      <c r="AK172" s="175"/>
      <c r="AL172" s="175"/>
      <c r="AM172" s="175"/>
      <c r="AN172" s="175"/>
      <c r="AO172" s="175"/>
      <c r="AP172" s="175"/>
      <c r="AQ172" s="175"/>
      <c r="AR172" s="176"/>
      <c r="AS172" s="176"/>
      <c r="AT172" s="174"/>
      <c r="AU172" s="174"/>
      <c r="AV172" s="175"/>
      <c r="AW172" s="174"/>
      <c r="AX172" s="174"/>
      <c r="AY172" s="174"/>
      <c r="AZ172" s="174"/>
      <c r="BA172" s="174"/>
      <c r="BB172" s="174"/>
      <c r="BC172" s="174"/>
      <c r="BD172" s="174"/>
      <c r="BE172" s="174"/>
      <c r="BF172" s="174"/>
      <c r="BG172" s="174"/>
      <c r="BH172" s="174"/>
      <c r="BI172" s="175">
        <f t="shared" si="51"/>
        <v>0</v>
      </c>
      <c r="BJ172" s="175">
        <f t="shared" si="52"/>
        <v>0</v>
      </c>
      <c r="BK172" s="176"/>
      <c r="BL172" s="170"/>
      <c r="BM172" s="170"/>
      <c r="BN172" s="170"/>
      <c r="BO172" s="172"/>
      <c r="BP172" s="172"/>
      <c r="BQ172" s="172"/>
      <c r="BR172" s="172"/>
      <c r="BS172" s="172"/>
      <c r="BT172" s="172"/>
      <c r="BU172" s="172"/>
      <c r="BV172" s="172"/>
      <c r="BW172" s="172"/>
      <c r="BX172" s="172"/>
      <c r="BY172" s="172"/>
      <c r="BZ172" s="172"/>
      <c r="CA172" s="172">
        <f t="shared" si="41"/>
        <v>0</v>
      </c>
      <c r="CB172" s="172">
        <f t="shared" si="42"/>
        <v>0</v>
      </c>
      <c r="CC172" s="494" t="e">
        <f t="shared" si="43"/>
        <v>#DIV/0!</v>
      </c>
      <c r="CD172" s="192"/>
      <c r="CE172" s="192"/>
      <c r="CF172" s="172"/>
      <c r="CG172" s="172"/>
      <c r="CH172" s="172"/>
      <c r="CI172" s="172"/>
      <c r="CJ172" s="172"/>
      <c r="CK172" s="172"/>
      <c r="CL172" s="172"/>
      <c r="CM172" s="172"/>
      <c r="CN172" s="172"/>
      <c r="CO172" s="172"/>
      <c r="CP172" s="172"/>
      <c r="CQ172" s="172"/>
      <c r="CR172" s="172"/>
      <c r="CS172" s="172">
        <v>0</v>
      </c>
      <c r="CT172" s="172">
        <v>0</v>
      </c>
      <c r="CU172" s="192" t="e">
        <v>#DIV/0!</v>
      </c>
    </row>
    <row r="173" spans="1:99" s="68" customFormat="1" x14ac:dyDescent="0.25">
      <c r="A173" s="490">
        <v>142</v>
      </c>
      <c r="B173" s="63" t="s">
        <v>251</v>
      </c>
      <c r="C173" s="490">
        <v>1171</v>
      </c>
      <c r="D173" s="63" t="s">
        <v>243</v>
      </c>
      <c r="E173" s="490">
        <v>3</v>
      </c>
      <c r="F173" s="559"/>
      <c r="G173" s="559"/>
      <c r="H173" s="606"/>
      <c r="I173" s="607"/>
      <c r="J173" s="605"/>
      <c r="K173" s="605"/>
      <c r="L173" s="166"/>
      <c r="M173" s="166"/>
      <c r="N173" s="166"/>
      <c r="O173" s="166"/>
      <c r="P173" s="180"/>
      <c r="Q173" s="180"/>
      <c r="R173" s="166"/>
      <c r="S173" s="166"/>
      <c r="T173" s="166"/>
      <c r="U173" s="166"/>
      <c r="V173" s="166"/>
      <c r="W173" s="166"/>
      <c r="X173" s="166"/>
      <c r="Y173" s="166"/>
      <c r="Z173" s="174"/>
      <c r="AA173" s="175"/>
      <c r="AB173" s="174"/>
      <c r="AC173" s="175"/>
      <c r="AD173" s="175"/>
      <c r="AE173" s="175"/>
      <c r="AF173" s="175"/>
      <c r="AG173" s="175"/>
      <c r="AH173" s="175"/>
      <c r="AI173" s="175"/>
      <c r="AJ173" s="175"/>
      <c r="AK173" s="175"/>
      <c r="AL173" s="175"/>
      <c r="AM173" s="175"/>
      <c r="AN173" s="175"/>
      <c r="AO173" s="175"/>
      <c r="AP173" s="175"/>
      <c r="AQ173" s="175"/>
      <c r="AR173" s="176"/>
      <c r="AS173" s="176"/>
      <c r="AT173" s="174"/>
      <c r="AU173" s="174"/>
      <c r="AV173" s="175"/>
      <c r="AW173" s="174"/>
      <c r="AX173" s="174"/>
      <c r="AY173" s="174"/>
      <c r="AZ173" s="174"/>
      <c r="BA173" s="174"/>
      <c r="BB173" s="174"/>
      <c r="BC173" s="174"/>
      <c r="BD173" s="174"/>
      <c r="BE173" s="174"/>
      <c r="BF173" s="174"/>
      <c r="BG173" s="174"/>
      <c r="BH173" s="174"/>
      <c r="BI173" s="175">
        <f t="shared" si="51"/>
        <v>0</v>
      </c>
      <c r="BJ173" s="175">
        <f t="shared" si="52"/>
        <v>0</v>
      </c>
      <c r="BK173" s="176"/>
      <c r="BL173" s="170"/>
      <c r="BM173" s="170"/>
      <c r="BN173" s="170"/>
      <c r="BO173" s="172"/>
      <c r="BP173" s="172"/>
      <c r="BQ173" s="172"/>
      <c r="BR173" s="172"/>
      <c r="BS173" s="172"/>
      <c r="BT173" s="172"/>
      <c r="BU173" s="172"/>
      <c r="BV173" s="172"/>
      <c r="BW173" s="172"/>
      <c r="BX173" s="172"/>
      <c r="BY173" s="172"/>
      <c r="BZ173" s="172"/>
      <c r="CA173" s="172">
        <f t="shared" si="41"/>
        <v>0</v>
      </c>
      <c r="CB173" s="172">
        <f t="shared" si="42"/>
        <v>0</v>
      </c>
      <c r="CC173" s="494" t="e">
        <f t="shared" si="43"/>
        <v>#DIV/0!</v>
      </c>
      <c r="CD173" s="192"/>
      <c r="CE173" s="192"/>
      <c r="CF173" s="172"/>
      <c r="CG173" s="172"/>
      <c r="CH173" s="172"/>
      <c r="CI173" s="172"/>
      <c r="CJ173" s="172"/>
      <c r="CK173" s="172"/>
      <c r="CL173" s="172"/>
      <c r="CM173" s="172"/>
      <c r="CN173" s="172"/>
      <c r="CO173" s="172"/>
      <c r="CP173" s="172"/>
      <c r="CQ173" s="172"/>
      <c r="CR173" s="172"/>
      <c r="CS173" s="172">
        <v>0</v>
      </c>
      <c r="CT173" s="172">
        <v>0</v>
      </c>
      <c r="CU173" s="192" t="e">
        <v>#DIV/0!</v>
      </c>
    </row>
    <row r="174" spans="1:99" s="68" customFormat="1" x14ac:dyDescent="0.25">
      <c r="A174" s="490">
        <v>143</v>
      </c>
      <c r="B174" s="63" t="s">
        <v>256</v>
      </c>
      <c r="C174" s="490">
        <v>1173</v>
      </c>
      <c r="D174" s="63" t="s">
        <v>257</v>
      </c>
      <c r="E174" s="490">
        <v>1</v>
      </c>
      <c r="F174" s="559" t="s">
        <v>53</v>
      </c>
      <c r="G174" s="559">
        <v>4000</v>
      </c>
      <c r="H174" s="606" t="s">
        <v>61</v>
      </c>
      <c r="I174" s="607" t="s">
        <v>258</v>
      </c>
      <c r="J174" s="605"/>
      <c r="K174" s="605"/>
      <c r="L174" s="166" t="s">
        <v>766</v>
      </c>
      <c r="M174" s="166" t="s">
        <v>115</v>
      </c>
      <c r="N174" s="189" t="s">
        <v>409</v>
      </c>
      <c r="O174" s="166" t="s">
        <v>356</v>
      </c>
      <c r="P174" s="180">
        <v>41597</v>
      </c>
      <c r="Q174" s="180">
        <v>41624</v>
      </c>
      <c r="R174" s="166" t="s">
        <v>767</v>
      </c>
      <c r="S174" s="189" t="s">
        <v>768</v>
      </c>
      <c r="T174" s="199" t="s">
        <v>769</v>
      </c>
      <c r="U174" s="166" t="s">
        <v>770</v>
      </c>
      <c r="V174" s="189">
        <v>830079015</v>
      </c>
      <c r="W174" s="185"/>
      <c r="X174" s="185"/>
      <c r="Y174" s="166"/>
      <c r="Z174" s="174">
        <v>671</v>
      </c>
      <c r="AA174" s="175">
        <v>155866263</v>
      </c>
      <c r="AB174" s="174">
        <v>806</v>
      </c>
      <c r="AC174" s="175">
        <v>148062400</v>
      </c>
      <c r="AD174" s="175">
        <v>0</v>
      </c>
      <c r="AE174" s="175">
        <v>0</v>
      </c>
      <c r="AF174" s="175">
        <v>0</v>
      </c>
      <c r="AG174" s="175">
        <v>0</v>
      </c>
      <c r="AH174" s="175">
        <v>0</v>
      </c>
      <c r="AI174" s="175">
        <v>0</v>
      </c>
      <c r="AJ174" s="175">
        <v>0</v>
      </c>
      <c r="AK174" s="175">
        <v>0</v>
      </c>
      <c r="AL174" s="175">
        <v>0</v>
      </c>
      <c r="AM174" s="175">
        <v>0</v>
      </c>
      <c r="AN174" s="175">
        <v>0</v>
      </c>
      <c r="AO174" s="175">
        <v>0</v>
      </c>
      <c r="AP174" s="175">
        <f>SUM(AD174:AO174)</f>
        <v>0</v>
      </c>
      <c r="AQ174" s="175">
        <f>+AC174-AP174</f>
        <v>148062400</v>
      </c>
      <c r="AR174" s="176">
        <f>AP174/AC174</f>
        <v>0</v>
      </c>
      <c r="AS174" s="176"/>
      <c r="AT174" s="174">
        <v>227</v>
      </c>
      <c r="AU174" s="174">
        <v>233</v>
      </c>
      <c r="AV174" s="175">
        <v>148062400</v>
      </c>
      <c r="AW174" s="174">
        <v>0</v>
      </c>
      <c r="AX174" s="174">
        <v>0</v>
      </c>
      <c r="AY174" s="174">
        <v>0</v>
      </c>
      <c r="AZ174" s="174">
        <v>0</v>
      </c>
      <c r="BA174" s="174">
        <v>0</v>
      </c>
      <c r="BB174" s="174">
        <v>19685200</v>
      </c>
      <c r="BC174" s="174">
        <v>0</v>
      </c>
      <c r="BD174" s="174">
        <v>6113200</v>
      </c>
      <c r="BE174" s="174">
        <v>6113200</v>
      </c>
      <c r="BF174" s="174">
        <v>6113200</v>
      </c>
      <c r="BG174" s="174">
        <v>6113200</v>
      </c>
      <c r="BH174" s="174">
        <v>12226400</v>
      </c>
      <c r="BI174" s="175">
        <f t="shared" si="51"/>
        <v>56364400</v>
      </c>
      <c r="BJ174" s="175">
        <f t="shared" si="52"/>
        <v>91698000</v>
      </c>
      <c r="BK174" s="176">
        <f>+BI174/AV174</f>
        <v>0.38068003760576624</v>
      </c>
      <c r="BL174" s="170">
        <v>64</v>
      </c>
      <c r="BM174" s="170">
        <v>50</v>
      </c>
      <c r="BN174" s="170">
        <v>91698000</v>
      </c>
      <c r="BO174" s="172">
        <v>0</v>
      </c>
      <c r="BP174" s="172">
        <v>6113200</v>
      </c>
      <c r="BQ174" s="172">
        <v>6113200</v>
      </c>
      <c r="BR174" s="172">
        <v>0</v>
      </c>
      <c r="BS174" s="172">
        <v>6113200</v>
      </c>
      <c r="BT174" s="172">
        <v>0</v>
      </c>
      <c r="BU174" s="172">
        <v>6113200</v>
      </c>
      <c r="BV174" s="172">
        <v>6113200</v>
      </c>
      <c r="BW174" s="172">
        <v>6113200</v>
      </c>
      <c r="BX174" s="172">
        <v>0</v>
      </c>
      <c r="BY174" s="172">
        <v>0</v>
      </c>
      <c r="BZ174" s="172">
        <v>0</v>
      </c>
      <c r="CA174" s="172">
        <f t="shared" si="41"/>
        <v>36679200</v>
      </c>
      <c r="CB174" s="172">
        <f t="shared" si="42"/>
        <v>55018800</v>
      </c>
      <c r="CC174" s="494">
        <f t="shared" si="43"/>
        <v>0.4</v>
      </c>
      <c r="CD174" s="192"/>
      <c r="CE174" s="192">
        <v>17</v>
      </c>
      <c r="CF174" s="172">
        <v>55018800</v>
      </c>
      <c r="CG174" s="172"/>
      <c r="CH174" s="172"/>
      <c r="CI174" s="172"/>
      <c r="CJ174" s="172"/>
      <c r="CK174" s="172">
        <v>9194400</v>
      </c>
      <c r="CL174" s="172">
        <v>6113200</v>
      </c>
      <c r="CM174" s="172"/>
      <c r="CN174" s="172">
        <v>6113200</v>
      </c>
      <c r="CO174" s="172">
        <v>6113200</v>
      </c>
      <c r="CP174" s="172">
        <v>6113200</v>
      </c>
      <c r="CQ174" s="172"/>
      <c r="CR174" s="172"/>
      <c r="CS174" s="172">
        <f>SUM(CG174:CR174)</f>
        <v>33647200</v>
      </c>
      <c r="CT174" s="172">
        <f t="shared" ref="CT174:CT175" si="53">+CF174-CS174</f>
        <v>21371600</v>
      </c>
      <c r="CU174" s="192" t="e">
        <v>#DIV/0!</v>
      </c>
    </row>
    <row r="175" spans="1:99" s="68" customFormat="1" x14ac:dyDescent="0.25">
      <c r="A175" s="490">
        <v>143</v>
      </c>
      <c r="B175" s="63" t="s">
        <v>256</v>
      </c>
      <c r="C175" s="490">
        <v>1173</v>
      </c>
      <c r="D175" s="63" t="s">
        <v>257</v>
      </c>
      <c r="E175" s="490">
        <v>1</v>
      </c>
      <c r="F175" s="559"/>
      <c r="G175" s="559"/>
      <c r="H175" s="606"/>
      <c r="I175" s="607"/>
      <c r="J175" s="605"/>
      <c r="K175" s="605"/>
      <c r="L175" s="166" t="s">
        <v>771</v>
      </c>
      <c r="M175" s="166" t="s">
        <v>115</v>
      </c>
      <c r="N175" s="189" t="s">
        <v>430</v>
      </c>
      <c r="O175" s="166" t="s">
        <v>356</v>
      </c>
      <c r="P175" s="180">
        <v>41639</v>
      </c>
      <c r="Q175" s="180">
        <v>42354</v>
      </c>
      <c r="R175" s="166" t="s">
        <v>321</v>
      </c>
      <c r="S175" s="189" t="s">
        <v>772</v>
      </c>
      <c r="T175" s="199" t="s">
        <v>769</v>
      </c>
      <c r="U175" s="166" t="s">
        <v>770</v>
      </c>
      <c r="V175" s="189">
        <v>830079015</v>
      </c>
      <c r="W175" s="185"/>
      <c r="X175" s="185"/>
      <c r="Y175" s="166"/>
      <c r="Z175" s="174">
        <v>947</v>
      </c>
      <c r="AA175" s="175">
        <v>51937600</v>
      </c>
      <c r="AB175" s="174">
        <v>953</v>
      </c>
      <c r="AC175" s="175">
        <v>51937600</v>
      </c>
      <c r="AD175" s="175">
        <v>0</v>
      </c>
      <c r="AE175" s="175">
        <v>0</v>
      </c>
      <c r="AF175" s="175">
        <v>0</v>
      </c>
      <c r="AG175" s="175">
        <v>0</v>
      </c>
      <c r="AH175" s="175">
        <v>0</v>
      </c>
      <c r="AI175" s="175">
        <v>0</v>
      </c>
      <c r="AJ175" s="175">
        <v>0</v>
      </c>
      <c r="AK175" s="175">
        <v>0</v>
      </c>
      <c r="AL175" s="175">
        <v>0</v>
      </c>
      <c r="AM175" s="175">
        <v>0</v>
      </c>
      <c r="AN175" s="175">
        <v>0</v>
      </c>
      <c r="AO175" s="175">
        <v>0</v>
      </c>
      <c r="AP175" s="175">
        <f>SUM(AD175:AO175)</f>
        <v>0</v>
      </c>
      <c r="AQ175" s="175">
        <f>+AC175-AP175</f>
        <v>51937600</v>
      </c>
      <c r="AR175" s="176">
        <f>AP175/AC175</f>
        <v>0</v>
      </c>
      <c r="AS175" s="176"/>
      <c r="AT175" s="174">
        <v>228</v>
      </c>
      <c r="AU175" s="174">
        <v>234</v>
      </c>
      <c r="AV175" s="175">
        <v>51937600</v>
      </c>
      <c r="AW175" s="174">
        <v>0</v>
      </c>
      <c r="AX175" s="174">
        <v>0</v>
      </c>
      <c r="AY175" s="174">
        <v>0</v>
      </c>
      <c r="AZ175" s="174">
        <v>0</v>
      </c>
      <c r="BA175" s="174">
        <v>0</v>
      </c>
      <c r="BB175" s="174">
        <v>0</v>
      </c>
      <c r="BC175" s="174">
        <v>0</v>
      </c>
      <c r="BD175" s="174">
        <v>0</v>
      </c>
      <c r="BE175" s="174">
        <v>0</v>
      </c>
      <c r="BF175" s="174">
        <v>0</v>
      </c>
      <c r="BG175" s="174">
        <v>0</v>
      </c>
      <c r="BH175" s="174">
        <v>0</v>
      </c>
      <c r="BI175" s="175">
        <f t="shared" si="51"/>
        <v>0</v>
      </c>
      <c r="BJ175" s="175">
        <f t="shared" si="52"/>
        <v>51937600</v>
      </c>
      <c r="BK175" s="176">
        <f>+BI175/AV175</f>
        <v>0</v>
      </c>
      <c r="BL175" s="170">
        <v>65</v>
      </c>
      <c r="BM175" s="170">
        <v>51</v>
      </c>
      <c r="BN175" s="170">
        <v>51937600</v>
      </c>
      <c r="BO175" s="172">
        <v>0</v>
      </c>
      <c r="BP175" s="172">
        <v>0</v>
      </c>
      <c r="BQ175" s="172">
        <v>0</v>
      </c>
      <c r="BR175" s="172">
        <v>6113200</v>
      </c>
      <c r="BS175" s="172">
        <v>0</v>
      </c>
      <c r="BT175" s="172">
        <v>6113200</v>
      </c>
      <c r="BU175" s="172">
        <v>0</v>
      </c>
      <c r="BV175" s="172">
        <v>0</v>
      </c>
      <c r="BW175" s="172">
        <v>0</v>
      </c>
      <c r="BX175" s="172">
        <v>6113200</v>
      </c>
      <c r="BY175" s="172">
        <v>0</v>
      </c>
      <c r="BZ175" s="172">
        <v>0</v>
      </c>
      <c r="CA175" s="172">
        <f t="shared" si="41"/>
        <v>18339600</v>
      </c>
      <c r="CB175" s="172">
        <f t="shared" si="42"/>
        <v>33598000</v>
      </c>
      <c r="CC175" s="494">
        <f t="shared" si="43"/>
        <v>0.3531083453990943</v>
      </c>
      <c r="CD175" s="192"/>
      <c r="CE175" s="192">
        <v>18</v>
      </c>
      <c r="CF175" s="172">
        <v>33598000</v>
      </c>
      <c r="CG175" s="172"/>
      <c r="CH175" s="172"/>
      <c r="CI175" s="172"/>
      <c r="CJ175" s="172"/>
      <c r="CK175" s="172">
        <v>33598000</v>
      </c>
      <c r="CL175" s="172"/>
      <c r="CM175" s="172"/>
      <c r="CN175" s="172"/>
      <c r="CO175" s="172"/>
      <c r="CP175" s="172"/>
      <c r="CQ175" s="172"/>
      <c r="CR175" s="172"/>
      <c r="CS175" s="172">
        <f>SUM(CG175:CR175)</f>
        <v>33598000</v>
      </c>
      <c r="CT175" s="172">
        <f t="shared" si="53"/>
        <v>0</v>
      </c>
      <c r="CU175" s="192" t="e">
        <v>#DIV/0!</v>
      </c>
    </row>
    <row r="176" spans="1:99" s="68" customFormat="1" x14ac:dyDescent="0.25">
      <c r="A176" s="490">
        <v>143</v>
      </c>
      <c r="B176" s="63" t="s">
        <v>256</v>
      </c>
      <c r="C176" s="490">
        <v>1173</v>
      </c>
      <c r="D176" s="63" t="s">
        <v>257</v>
      </c>
      <c r="E176" s="490">
        <v>1</v>
      </c>
      <c r="F176" s="559"/>
      <c r="G176" s="559"/>
      <c r="H176" s="606"/>
      <c r="I176" s="607"/>
      <c r="J176" s="605"/>
      <c r="K176" s="605"/>
      <c r="L176" s="166"/>
      <c r="M176" s="166"/>
      <c r="N176" s="166"/>
      <c r="O176" s="166"/>
      <c r="P176" s="180"/>
      <c r="Q176" s="180"/>
      <c r="R176" s="166"/>
      <c r="S176" s="166"/>
      <c r="T176" s="166"/>
      <c r="U176" s="166"/>
      <c r="V176" s="166"/>
      <c r="W176" s="166"/>
      <c r="X176" s="166"/>
      <c r="Y176" s="166"/>
      <c r="Z176" s="174"/>
      <c r="AA176" s="175"/>
      <c r="AB176" s="174"/>
      <c r="AC176" s="175"/>
      <c r="AD176" s="175"/>
      <c r="AE176" s="175"/>
      <c r="AF176" s="175"/>
      <c r="AG176" s="175"/>
      <c r="AH176" s="175"/>
      <c r="AI176" s="175"/>
      <c r="AJ176" s="175"/>
      <c r="AK176" s="175"/>
      <c r="AL176" s="175"/>
      <c r="AM176" s="175"/>
      <c r="AN176" s="175"/>
      <c r="AO176" s="175"/>
      <c r="AP176" s="175"/>
      <c r="AQ176" s="175"/>
      <c r="AR176" s="176"/>
      <c r="AS176" s="176"/>
      <c r="AT176" s="174"/>
      <c r="AU176" s="174"/>
      <c r="AV176" s="175"/>
      <c r="AW176" s="174"/>
      <c r="AX176" s="174"/>
      <c r="AY176" s="174"/>
      <c r="AZ176" s="174"/>
      <c r="BA176" s="174"/>
      <c r="BB176" s="174"/>
      <c r="BC176" s="174"/>
      <c r="BD176" s="174"/>
      <c r="BE176" s="174"/>
      <c r="BF176" s="174"/>
      <c r="BG176" s="174"/>
      <c r="BH176" s="174"/>
      <c r="BI176" s="175">
        <f t="shared" si="51"/>
        <v>0</v>
      </c>
      <c r="BJ176" s="175">
        <f t="shared" si="52"/>
        <v>0</v>
      </c>
      <c r="BK176" s="176"/>
      <c r="BL176" s="170"/>
      <c r="BM176" s="170"/>
      <c r="BN176" s="170"/>
      <c r="BO176" s="170"/>
      <c r="BP176" s="170"/>
      <c r="BQ176" s="170"/>
      <c r="BR176" s="170"/>
      <c r="BS176" s="172"/>
      <c r="BT176" s="172"/>
      <c r="BU176" s="172"/>
      <c r="BV176" s="172"/>
      <c r="BW176" s="172"/>
      <c r="BX176" s="172"/>
      <c r="BY176" s="172"/>
      <c r="BZ176" s="172"/>
      <c r="CA176" s="172">
        <f t="shared" si="41"/>
        <v>0</v>
      </c>
      <c r="CB176" s="172">
        <f t="shared" si="42"/>
        <v>0</v>
      </c>
      <c r="CC176" s="494" t="e">
        <f t="shared" si="43"/>
        <v>#DIV/0!</v>
      </c>
      <c r="CD176" s="192"/>
      <c r="CE176" s="192"/>
      <c r="CF176" s="172"/>
      <c r="CG176" s="172"/>
      <c r="CH176" s="172"/>
      <c r="CI176" s="172"/>
      <c r="CJ176" s="172"/>
      <c r="CK176" s="172"/>
      <c r="CL176" s="172"/>
      <c r="CM176" s="172"/>
      <c r="CN176" s="172"/>
      <c r="CO176" s="172"/>
      <c r="CP176" s="172"/>
      <c r="CQ176" s="172"/>
      <c r="CR176" s="172"/>
      <c r="CS176" s="172">
        <v>0</v>
      </c>
      <c r="CT176" s="172">
        <v>0</v>
      </c>
      <c r="CU176" s="192" t="e">
        <v>#DIV/0!</v>
      </c>
    </row>
    <row r="177" spans="1:246" s="7" customFormat="1" x14ac:dyDescent="0.25">
      <c r="A177" s="4"/>
      <c r="B177" s="3"/>
      <c r="C177" s="5"/>
      <c r="D177" s="3"/>
      <c r="E177" s="5"/>
      <c r="F177" s="51"/>
      <c r="G177" s="51"/>
      <c r="H177" s="51"/>
      <c r="I177" s="51"/>
      <c r="J177" s="51"/>
      <c r="K177" s="6"/>
      <c r="L177" s="52"/>
      <c r="M177" s="5"/>
      <c r="N177" s="3"/>
      <c r="O177" s="3"/>
      <c r="P177" s="5"/>
      <c r="Q177" s="5"/>
      <c r="R177" s="5"/>
      <c r="S177" s="5"/>
      <c r="T177" s="3"/>
      <c r="U177" s="3"/>
      <c r="V177" s="5"/>
      <c r="W177" s="5"/>
      <c r="X177" s="5"/>
      <c r="Y177" s="5"/>
      <c r="Z177" s="6"/>
      <c r="AA177" s="6"/>
      <c r="AB177" s="5"/>
      <c r="AC177" s="69">
        <f>SUM(AC3:AC176)</f>
        <v>20205835131</v>
      </c>
      <c r="AD177" s="5"/>
      <c r="AE177" s="5"/>
      <c r="AF177" s="5"/>
      <c r="AG177" s="5"/>
      <c r="AP177" s="69">
        <f>SUM(AP3:AP176)</f>
        <v>7857249714</v>
      </c>
      <c r="AQ177" s="70"/>
      <c r="AR177" s="70"/>
      <c r="AS177" s="70"/>
      <c r="AT177" s="70"/>
      <c r="AU177" s="71"/>
      <c r="AV177" s="72">
        <f t="shared" ref="AV177:BI177" si="54">SUM(AV3:AV176)</f>
        <v>12299304511</v>
      </c>
      <c r="AW177" s="72">
        <f t="shared" si="54"/>
        <v>146497609</v>
      </c>
      <c r="AX177" s="72">
        <f t="shared" si="54"/>
        <v>630388134</v>
      </c>
      <c r="AY177" s="72">
        <f t="shared" si="54"/>
        <v>789216044</v>
      </c>
      <c r="AZ177" s="72">
        <f t="shared" si="54"/>
        <v>1000739157</v>
      </c>
      <c r="BA177" s="72">
        <f t="shared" si="54"/>
        <v>993047413</v>
      </c>
      <c r="BB177" s="72">
        <f t="shared" si="54"/>
        <v>2283655250</v>
      </c>
      <c r="BC177" s="72">
        <f t="shared" si="54"/>
        <v>239401000</v>
      </c>
      <c r="BD177" s="72">
        <f t="shared" si="54"/>
        <v>1435883361</v>
      </c>
      <c r="BE177" s="72">
        <f t="shared" si="54"/>
        <v>970617124</v>
      </c>
      <c r="BF177" s="72">
        <f t="shared" si="54"/>
        <v>852865952</v>
      </c>
      <c r="BG177" s="72">
        <f t="shared" si="54"/>
        <v>392601301</v>
      </c>
      <c r="BH177" s="72">
        <f t="shared" si="54"/>
        <v>534885713</v>
      </c>
      <c r="BI177" s="73">
        <f t="shared" si="54"/>
        <v>10269798058</v>
      </c>
      <c r="BJ177" s="44"/>
      <c r="BK177" s="53"/>
      <c r="BL177" s="74"/>
      <c r="BM177" s="75"/>
      <c r="BN177" s="201">
        <f>SUM(BN3:BN176)</f>
        <v>1999530319</v>
      </c>
      <c r="BO177" s="201"/>
      <c r="BP177" s="201"/>
      <c r="BQ177" s="201"/>
      <c r="BR177" s="201"/>
      <c r="BS177" s="201"/>
      <c r="BT177" s="201"/>
      <c r="BU177" s="201"/>
      <c r="BV177" s="201"/>
      <c r="BW177" s="201"/>
      <c r="BX177" s="201"/>
      <c r="BY177" s="201"/>
      <c r="BZ177" s="201"/>
      <c r="CA177" s="201"/>
      <c r="CB177" s="201"/>
      <c r="CC177" s="76"/>
      <c r="CD177" s="70"/>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c r="IB177" s="8"/>
      <c r="IC177" s="8"/>
      <c r="ID177" s="8"/>
      <c r="IE177" s="8"/>
      <c r="IF177" s="8"/>
      <c r="IG177" s="8"/>
      <c r="IH177" s="8"/>
      <c r="II177" s="8"/>
      <c r="IJ177" s="8"/>
      <c r="IK177" s="8"/>
      <c r="IL177" s="8"/>
    </row>
    <row r="178" spans="1:246" s="7" customFormat="1" x14ac:dyDescent="0.25">
      <c r="A178" s="4"/>
      <c r="B178" s="3"/>
      <c r="C178" s="5"/>
      <c r="D178" s="3"/>
      <c r="E178" s="5"/>
      <c r="F178" s="51"/>
      <c r="G178" s="51"/>
      <c r="H178" s="51"/>
      <c r="I178" s="51"/>
      <c r="J178" s="51"/>
      <c r="K178" s="6"/>
      <c r="L178" s="52"/>
      <c r="M178" s="5"/>
      <c r="N178" s="3"/>
      <c r="O178" s="3"/>
      <c r="P178" s="5"/>
      <c r="Q178" s="5"/>
      <c r="R178" s="5"/>
      <c r="S178" s="5"/>
      <c r="T178" s="3"/>
      <c r="U178" s="3"/>
      <c r="V178" s="5"/>
      <c r="W178" s="5"/>
      <c r="X178" s="5"/>
      <c r="Y178" s="5"/>
      <c r="Z178" s="6"/>
      <c r="AA178" s="6"/>
      <c r="AB178" s="5"/>
      <c r="AC178" s="72">
        <v>20205835131</v>
      </c>
      <c r="AD178" s="5"/>
      <c r="AE178" s="5"/>
      <c r="AF178" s="5"/>
      <c r="AG178" s="5"/>
      <c r="AP178" s="72">
        <v>7857249714</v>
      </c>
      <c r="AQ178" s="53"/>
      <c r="AR178" s="53"/>
      <c r="AS178" s="53"/>
      <c r="AT178" s="6"/>
      <c r="AU178" s="5"/>
      <c r="AV178" s="72">
        <v>12299304511</v>
      </c>
      <c r="AW178" s="77"/>
      <c r="AX178" s="77"/>
      <c r="AY178" s="77"/>
      <c r="AZ178" s="77"/>
      <c r="BA178" s="77"/>
      <c r="BB178" s="77"/>
      <c r="BC178" s="77"/>
      <c r="BD178" s="77"/>
      <c r="BE178" s="77"/>
      <c r="BF178" s="77"/>
      <c r="BG178" s="44"/>
      <c r="BH178" s="44"/>
      <c r="BI178" s="77">
        <v>10269798058</v>
      </c>
      <c r="BJ178" s="53"/>
      <c r="BK178" s="53"/>
      <c r="BL178" s="74"/>
      <c r="BM178" s="75"/>
      <c r="BN178" s="201">
        <v>1999530319</v>
      </c>
      <c r="BO178" s="201"/>
      <c r="BP178" s="201"/>
      <c r="BQ178" s="201"/>
      <c r="BR178" s="201"/>
      <c r="BS178" s="201"/>
      <c r="BT178" s="201"/>
      <c r="BU178" s="201"/>
      <c r="BV178" s="201"/>
      <c r="BW178" s="201"/>
      <c r="BX178" s="201"/>
      <c r="BY178" s="201"/>
      <c r="BZ178" s="201"/>
      <c r="CA178" s="201"/>
      <c r="CB178" s="201"/>
      <c r="CC178" s="76"/>
      <c r="CD178" s="70"/>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c r="IB178" s="8"/>
      <c r="IC178" s="8"/>
      <c r="ID178" s="8"/>
      <c r="IE178" s="8"/>
      <c r="IF178" s="8"/>
      <c r="IG178" s="8"/>
      <c r="IH178" s="8"/>
      <c r="II178" s="8"/>
      <c r="IJ178" s="8"/>
      <c r="IK178" s="8"/>
      <c r="IL178" s="8"/>
    </row>
    <row r="179" spans="1:246" s="7" customFormat="1" x14ac:dyDescent="0.25">
      <c r="A179" s="4"/>
      <c r="B179" s="3"/>
      <c r="C179" s="5"/>
      <c r="D179" s="3"/>
      <c r="E179" s="5"/>
      <c r="F179" s="51"/>
      <c r="G179" s="51"/>
      <c r="H179" s="51"/>
      <c r="I179" s="51"/>
      <c r="J179" s="51"/>
      <c r="K179" s="6"/>
      <c r="L179" s="52"/>
      <c r="M179" s="5"/>
      <c r="N179" s="3"/>
      <c r="O179" s="3"/>
      <c r="P179" s="5"/>
      <c r="Q179" s="5"/>
      <c r="R179" s="5"/>
      <c r="S179" s="5"/>
      <c r="T179" s="3"/>
      <c r="U179" s="3"/>
      <c r="V179" s="5"/>
      <c r="W179" s="5"/>
      <c r="X179" s="5"/>
      <c r="Y179" s="5"/>
      <c r="Z179" s="6"/>
      <c r="AA179" s="6"/>
      <c r="AB179" s="5"/>
      <c r="AC179" s="5"/>
      <c r="AD179" s="5"/>
      <c r="AE179" s="5"/>
      <c r="AF179" s="5"/>
      <c r="AG179" s="5"/>
      <c r="AP179" s="53"/>
      <c r="AQ179" s="53"/>
      <c r="AR179" s="53"/>
      <c r="AS179" s="53"/>
      <c r="AT179" s="6"/>
      <c r="AU179" s="5"/>
      <c r="AV179" s="78"/>
      <c r="AW179" s="78"/>
      <c r="AX179" s="77"/>
      <c r="AY179" s="77"/>
      <c r="AZ179" s="77"/>
      <c r="BA179" s="77"/>
      <c r="BB179" s="77"/>
      <c r="BC179" s="77"/>
      <c r="BD179" s="77"/>
      <c r="BE179" s="77"/>
      <c r="BF179" s="77"/>
      <c r="BG179" s="77"/>
      <c r="BH179" s="77"/>
      <c r="BI179" s="77"/>
      <c r="BJ179" s="53"/>
      <c r="BK179" s="53"/>
      <c r="BL179" s="74"/>
      <c r="BM179" s="75"/>
      <c r="BO179" s="201"/>
      <c r="BP179" s="201"/>
      <c r="BQ179" s="201"/>
      <c r="BR179" s="201"/>
      <c r="BS179" s="201"/>
      <c r="BT179" s="201"/>
      <c r="BU179" s="201"/>
      <c r="BV179" s="201"/>
      <c r="BW179" s="201"/>
      <c r="BX179" s="201"/>
      <c r="BY179" s="201"/>
      <c r="BZ179" s="201"/>
      <c r="CA179" s="201"/>
      <c r="CB179" s="201"/>
      <c r="CC179" s="76"/>
      <c r="CD179" s="70"/>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c r="IB179" s="8"/>
      <c r="IC179" s="8"/>
      <c r="ID179" s="8"/>
      <c r="IE179" s="8"/>
      <c r="IF179" s="8"/>
      <c r="IG179" s="8"/>
      <c r="IH179" s="8"/>
      <c r="II179" s="8"/>
      <c r="IJ179" s="8"/>
      <c r="IK179" s="8"/>
      <c r="IL179" s="8"/>
    </row>
    <row r="180" spans="1:246" s="7" customFormat="1" x14ac:dyDescent="0.25">
      <c r="A180" s="4"/>
      <c r="B180" s="3"/>
      <c r="C180" s="5"/>
      <c r="D180" s="3"/>
      <c r="E180" s="5"/>
      <c r="F180" s="51"/>
      <c r="G180" s="51"/>
      <c r="H180" s="51"/>
      <c r="I180" s="51"/>
      <c r="J180" s="51"/>
      <c r="K180" s="6"/>
      <c r="L180" s="52"/>
      <c r="M180" s="5"/>
      <c r="N180" s="3"/>
      <c r="O180" s="3"/>
      <c r="P180" s="5"/>
      <c r="Q180" s="5"/>
      <c r="R180" s="5"/>
      <c r="S180" s="5"/>
      <c r="T180" s="3"/>
      <c r="U180" s="3"/>
      <c r="V180" s="5"/>
      <c r="W180" s="5"/>
      <c r="X180" s="5"/>
      <c r="Y180" s="5"/>
      <c r="Z180" s="6"/>
      <c r="AA180" s="6"/>
      <c r="AB180" s="5"/>
      <c r="AC180" s="5"/>
      <c r="AD180" s="5"/>
      <c r="AE180" s="5"/>
      <c r="AF180" s="5"/>
      <c r="AG180" s="5"/>
      <c r="AP180" s="53"/>
      <c r="AQ180" s="53"/>
      <c r="AR180" s="53"/>
      <c r="AS180" s="53"/>
      <c r="AT180" s="6"/>
      <c r="AU180" s="5"/>
      <c r="AV180" s="79"/>
      <c r="AW180" s="55"/>
      <c r="AX180" s="55"/>
      <c r="AY180" s="55"/>
      <c r="AZ180" s="55"/>
      <c r="BA180" s="55"/>
      <c r="BB180" s="55"/>
      <c r="BC180" s="55"/>
      <c r="BD180" s="55"/>
      <c r="BE180" s="55"/>
      <c r="BF180" s="55"/>
      <c r="BG180" s="56"/>
      <c r="BH180" s="56"/>
      <c r="BI180" s="53"/>
      <c r="BJ180" s="53"/>
      <c r="BK180" s="53"/>
      <c r="BL180" s="74"/>
      <c r="BM180" s="75"/>
      <c r="BN180" s="201"/>
      <c r="BO180" s="201"/>
      <c r="BP180" s="201"/>
      <c r="BQ180" s="201"/>
      <c r="BR180" s="201"/>
      <c r="BS180" s="201"/>
      <c r="BT180" s="201"/>
      <c r="BU180" s="201"/>
      <c r="BV180" s="201"/>
      <c r="BW180" s="201"/>
      <c r="BX180" s="201"/>
      <c r="BY180" s="201"/>
      <c r="BZ180" s="201"/>
      <c r="CA180" s="201"/>
      <c r="CB180" s="201"/>
      <c r="CC180" s="76"/>
      <c r="CD180" s="70"/>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c r="IE180" s="8"/>
      <c r="IF180" s="8"/>
      <c r="IG180" s="8"/>
      <c r="IH180" s="8"/>
      <c r="II180" s="8"/>
      <c r="IJ180" s="8"/>
      <c r="IK180" s="8"/>
      <c r="IL180" s="8"/>
    </row>
    <row r="181" spans="1:246" x14ac:dyDescent="0.25">
      <c r="BL181" s="74"/>
      <c r="BM181" s="75"/>
      <c r="BN181" s="201"/>
      <c r="BO181" s="201"/>
      <c r="BP181" s="201"/>
      <c r="BQ181" s="201"/>
      <c r="BR181" s="201"/>
      <c r="BS181" s="201"/>
      <c r="BT181" s="201"/>
      <c r="BU181" s="201"/>
      <c r="BV181" s="201"/>
      <c r="BW181" s="201"/>
      <c r="BX181" s="201"/>
      <c r="BY181" s="201"/>
      <c r="BZ181" s="201"/>
      <c r="CA181" s="201"/>
      <c r="CB181" s="201"/>
      <c r="CC181" s="76"/>
      <c r="CD181" s="70"/>
    </row>
    <row r="182" spans="1:246" s="7" customFormat="1" ht="15" x14ac:dyDescent="0.25">
      <c r="A182" s="4"/>
      <c r="B182" s="3"/>
      <c r="C182" s="5"/>
      <c r="D182" s="45"/>
      <c r="E182" s="46"/>
      <c r="F182" s="80"/>
      <c r="G182" s="80"/>
      <c r="H182" s="80"/>
      <c r="I182" s="51"/>
      <c r="J182" s="51"/>
      <c r="K182" s="6"/>
      <c r="L182" s="52"/>
      <c r="M182" s="5"/>
      <c r="N182" s="3"/>
      <c r="O182" s="3"/>
      <c r="P182" s="5"/>
      <c r="Q182" s="5"/>
      <c r="R182" s="5"/>
      <c r="S182" s="5"/>
      <c r="T182" s="3"/>
      <c r="U182" s="3"/>
      <c r="V182" s="5"/>
      <c r="W182" s="5"/>
      <c r="X182" s="5"/>
      <c r="Y182" s="5"/>
      <c r="Z182" s="6"/>
      <c r="AA182" s="6"/>
      <c r="AB182" s="5"/>
      <c r="AC182" s="5"/>
      <c r="AD182" s="5"/>
      <c r="AE182" s="5"/>
      <c r="AF182" s="5"/>
      <c r="AG182" s="5"/>
      <c r="AP182" s="53"/>
      <c r="AQ182" s="53"/>
      <c r="AR182" s="53"/>
      <c r="AS182" s="53"/>
      <c r="AT182" s="6"/>
      <c r="AU182" s="5"/>
      <c r="AV182" s="54"/>
      <c r="AW182" s="55"/>
      <c r="AX182" s="55"/>
      <c r="AY182" s="55"/>
      <c r="AZ182" s="55"/>
      <c r="BA182" s="55"/>
      <c r="BB182" s="55"/>
      <c r="BC182" s="55"/>
      <c r="BD182" s="55"/>
      <c r="BE182" s="55"/>
      <c r="BF182" s="55"/>
      <c r="BG182" s="56"/>
      <c r="BH182" s="56"/>
      <c r="BI182" s="53"/>
      <c r="BJ182" s="53"/>
      <c r="BK182" s="53"/>
      <c r="BL182" s="74"/>
      <c r="BM182" s="75"/>
      <c r="BN182" s="201"/>
      <c r="BO182" s="201"/>
      <c r="BP182" s="201"/>
      <c r="BQ182" s="201"/>
      <c r="BR182" s="201"/>
      <c r="BS182" s="201"/>
      <c r="BT182" s="201"/>
      <c r="BU182" s="201"/>
      <c r="BV182" s="201"/>
      <c r="BW182" s="201"/>
      <c r="BX182" s="201"/>
      <c r="BY182" s="201"/>
      <c r="BZ182" s="201"/>
      <c r="CA182" s="201"/>
      <c r="CB182" s="201"/>
      <c r="CC182" s="76"/>
      <c r="CD182" s="70"/>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c r="HX182" s="8"/>
      <c r="HY182" s="8"/>
      <c r="HZ182" s="8"/>
      <c r="IA182" s="8"/>
      <c r="IB182" s="8"/>
      <c r="IC182" s="8"/>
      <c r="ID182" s="8"/>
      <c r="IE182" s="8"/>
      <c r="IF182" s="8"/>
      <c r="IG182" s="8"/>
      <c r="IH182" s="8"/>
      <c r="II182" s="8"/>
      <c r="IJ182" s="8"/>
      <c r="IK182" s="8"/>
      <c r="IL182" s="8"/>
    </row>
    <row r="183" spans="1:246" s="7" customFormat="1" ht="15" x14ac:dyDescent="0.25">
      <c r="A183" s="4"/>
      <c r="B183" s="3"/>
      <c r="C183" s="5"/>
      <c r="D183" s="45"/>
      <c r="E183" s="46"/>
      <c r="F183" s="80"/>
      <c r="G183" s="80"/>
      <c r="H183" s="80"/>
      <c r="I183" s="51"/>
      <c r="J183" s="51"/>
      <c r="K183" s="6"/>
      <c r="L183" s="52"/>
      <c r="M183" s="5"/>
      <c r="N183" s="3"/>
      <c r="O183" s="3"/>
      <c r="P183" s="5"/>
      <c r="Q183" s="5"/>
      <c r="R183" s="5"/>
      <c r="S183" s="5"/>
      <c r="T183" s="3"/>
      <c r="U183" s="3"/>
      <c r="V183" s="5"/>
      <c r="W183" s="5"/>
      <c r="X183" s="5"/>
      <c r="Y183" s="5"/>
      <c r="Z183" s="6"/>
      <c r="AA183" s="6"/>
      <c r="AB183" s="5"/>
      <c r="AC183" s="5"/>
      <c r="AD183" s="5"/>
      <c r="AE183" s="5"/>
      <c r="AF183" s="5"/>
      <c r="AG183" s="5"/>
      <c r="AP183" s="53"/>
      <c r="AQ183" s="53"/>
      <c r="AR183" s="53"/>
      <c r="AS183" s="53"/>
      <c r="AT183" s="6"/>
      <c r="AU183" s="5"/>
      <c r="AV183" s="81"/>
      <c r="AW183" s="55"/>
      <c r="AX183" s="55"/>
      <c r="AY183" s="55"/>
      <c r="AZ183" s="55"/>
      <c r="BA183" s="55"/>
      <c r="BB183" s="55"/>
      <c r="BC183" s="55"/>
      <c r="BD183" s="55"/>
      <c r="BE183" s="55"/>
      <c r="BF183" s="55"/>
      <c r="BG183" s="56"/>
      <c r="BH183" s="56"/>
      <c r="BI183" s="53"/>
      <c r="BJ183" s="53"/>
      <c r="BK183" s="53"/>
      <c r="BL183" s="74"/>
      <c r="BM183" s="75"/>
      <c r="BN183" s="201"/>
      <c r="BO183" s="201"/>
      <c r="BP183" s="201"/>
      <c r="BQ183" s="201"/>
      <c r="BR183" s="201"/>
      <c r="BS183" s="201"/>
      <c r="BT183" s="201"/>
      <c r="BU183" s="201"/>
      <c r="BV183" s="201"/>
      <c r="BW183" s="201"/>
      <c r="BX183" s="201"/>
      <c r="BY183" s="201"/>
      <c r="BZ183" s="201"/>
      <c r="CA183" s="201"/>
      <c r="CB183" s="201"/>
      <c r="CC183" s="76"/>
      <c r="CD183" s="70"/>
      <c r="CQ183" s="550"/>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c r="HX183" s="8"/>
      <c r="HY183" s="8"/>
      <c r="HZ183" s="8"/>
      <c r="IA183" s="8"/>
      <c r="IB183" s="8"/>
      <c r="IC183" s="8"/>
      <c r="ID183" s="8"/>
      <c r="IE183" s="8"/>
      <c r="IF183" s="8"/>
      <c r="IG183" s="8"/>
      <c r="IH183" s="8"/>
      <c r="II183" s="8"/>
      <c r="IJ183" s="8"/>
      <c r="IK183" s="8"/>
      <c r="IL183" s="8"/>
    </row>
    <row r="184" spans="1:246" s="53" customFormat="1" ht="15" x14ac:dyDescent="0.25">
      <c r="A184" s="4"/>
      <c r="B184" s="3"/>
      <c r="C184" s="5"/>
      <c r="D184" s="45"/>
      <c r="E184" s="46"/>
      <c r="F184" s="80"/>
      <c r="G184" s="80"/>
      <c r="H184" s="80"/>
      <c r="I184" s="51"/>
      <c r="J184" s="51"/>
      <c r="K184" s="6"/>
      <c r="L184" s="52"/>
      <c r="M184" s="5"/>
      <c r="N184" s="3"/>
      <c r="O184" s="3"/>
      <c r="P184" s="5"/>
      <c r="Q184" s="5"/>
      <c r="R184" s="5"/>
      <c r="S184" s="5"/>
      <c r="T184" s="3"/>
      <c r="U184" s="3"/>
      <c r="V184" s="5"/>
      <c r="W184" s="5"/>
      <c r="X184" s="5"/>
      <c r="Y184" s="5"/>
      <c r="Z184" s="6"/>
      <c r="AA184" s="6"/>
      <c r="AB184" s="5"/>
      <c r="AC184" s="5"/>
      <c r="AD184" s="5"/>
      <c r="AE184" s="5"/>
      <c r="AF184" s="5"/>
      <c r="AG184" s="5"/>
      <c r="AH184" s="7"/>
      <c r="AI184" s="7"/>
      <c r="AJ184" s="7"/>
      <c r="AK184" s="7"/>
      <c r="AL184" s="7"/>
      <c r="AM184" s="7"/>
      <c r="AN184" s="7"/>
      <c r="AO184" s="7"/>
      <c r="AT184" s="6"/>
      <c r="AU184" s="5"/>
      <c r="AV184" s="54"/>
      <c r="AW184" s="55"/>
      <c r="AX184" s="55"/>
      <c r="AY184" s="55"/>
      <c r="AZ184" s="55"/>
      <c r="BA184" s="55"/>
      <c r="BB184" s="55"/>
      <c r="BC184" s="55"/>
      <c r="BD184" s="55"/>
      <c r="BE184" s="55"/>
      <c r="BF184" s="55"/>
      <c r="BG184" s="56"/>
      <c r="BH184" s="56"/>
      <c r="BL184" s="74"/>
      <c r="BM184" s="75"/>
      <c r="BN184" s="201"/>
      <c r="BO184" s="201"/>
      <c r="BP184" s="201"/>
      <c r="BQ184" s="201"/>
      <c r="BR184" s="201"/>
      <c r="BS184" s="201"/>
      <c r="BT184" s="201"/>
      <c r="BU184" s="202"/>
      <c r="BV184" s="202"/>
      <c r="BW184" s="202"/>
      <c r="BX184" s="202"/>
      <c r="BY184" s="202"/>
      <c r="BZ184" s="202"/>
      <c r="CA184" s="201"/>
      <c r="CB184" s="201"/>
      <c r="CC184" s="76"/>
      <c r="CD184" s="70"/>
      <c r="CE184" s="7"/>
      <c r="CF184" s="7"/>
      <c r="CG184" s="7"/>
      <c r="CH184" s="7"/>
      <c r="CI184" s="7"/>
      <c r="CJ184" s="7"/>
      <c r="CK184" s="7"/>
      <c r="CL184" s="7"/>
      <c r="CM184" s="7"/>
      <c r="CN184" s="7"/>
      <c r="CO184" s="7"/>
      <c r="CP184" s="7"/>
      <c r="CQ184" s="550"/>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c r="HX184" s="8"/>
      <c r="HY184" s="8"/>
      <c r="HZ184" s="8"/>
      <c r="IA184" s="8"/>
      <c r="IB184" s="8"/>
      <c r="IC184" s="8"/>
      <c r="ID184" s="8"/>
      <c r="IE184" s="8"/>
      <c r="IF184" s="8"/>
      <c r="IG184" s="8"/>
      <c r="IH184" s="8"/>
      <c r="II184" s="8"/>
      <c r="IJ184" s="8"/>
      <c r="IK184" s="8"/>
      <c r="IL184" s="8"/>
    </row>
    <row r="185" spans="1:246" s="53" customFormat="1" ht="15" x14ac:dyDescent="0.25">
      <c r="A185" s="4"/>
      <c r="B185" s="3"/>
      <c r="C185" s="46"/>
      <c r="D185" s="45"/>
      <c r="E185" s="46"/>
      <c r="F185" s="80"/>
      <c r="G185" s="80"/>
      <c r="H185" s="80"/>
      <c r="I185" s="51"/>
      <c r="J185" s="51"/>
      <c r="K185" s="6"/>
      <c r="L185" s="52"/>
      <c r="M185" s="5"/>
      <c r="N185" s="3"/>
      <c r="O185" s="3"/>
      <c r="P185" s="5"/>
      <c r="Q185" s="5"/>
      <c r="R185" s="5"/>
      <c r="S185" s="5"/>
      <c r="T185" s="3"/>
      <c r="U185" s="3"/>
      <c r="V185" s="5"/>
      <c r="W185" s="5"/>
      <c r="X185" s="5"/>
      <c r="Y185" s="5"/>
      <c r="Z185" s="6"/>
      <c r="AA185" s="6"/>
      <c r="AB185" s="5"/>
      <c r="AC185" s="5"/>
      <c r="AD185" s="5"/>
      <c r="AE185" s="5"/>
      <c r="AF185" s="5"/>
      <c r="AG185" s="5"/>
      <c r="AH185" s="7"/>
      <c r="AI185" s="7"/>
      <c r="AJ185" s="7"/>
      <c r="AK185" s="7"/>
      <c r="AL185" s="7"/>
      <c r="AM185" s="7"/>
      <c r="AN185" s="7"/>
      <c r="AO185" s="7"/>
      <c r="AT185" s="6"/>
      <c r="AU185" s="5"/>
      <c r="AV185" s="54"/>
      <c r="AW185" s="55"/>
      <c r="AX185" s="55"/>
      <c r="AY185" s="55"/>
      <c r="AZ185" s="55"/>
      <c r="BA185" s="55"/>
      <c r="BB185" s="55"/>
      <c r="BC185" s="55"/>
      <c r="BD185" s="55"/>
      <c r="BE185" s="55"/>
      <c r="BF185" s="55"/>
      <c r="BG185" s="56"/>
      <c r="BH185" s="56"/>
      <c r="BL185" s="74"/>
      <c r="BM185" s="75"/>
      <c r="BN185" s="201"/>
      <c r="BO185" s="201"/>
      <c r="BP185" s="201"/>
      <c r="BQ185" s="201"/>
      <c r="BR185" s="201"/>
      <c r="BS185" s="201"/>
      <c r="BT185" s="201"/>
      <c r="BU185" s="202"/>
      <c r="BV185" s="202"/>
      <c r="BW185" s="202"/>
      <c r="BX185" s="202"/>
      <c r="BY185" s="202"/>
      <c r="BZ185" s="202"/>
      <c r="CA185" s="201"/>
      <c r="CB185" s="201"/>
      <c r="CC185" s="76"/>
      <c r="CD185" s="70"/>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c r="IB185" s="8"/>
      <c r="IC185" s="8"/>
      <c r="ID185" s="8"/>
      <c r="IE185" s="8"/>
      <c r="IF185" s="8"/>
      <c r="IG185" s="8"/>
      <c r="IH185" s="8"/>
      <c r="II185" s="8"/>
      <c r="IJ185" s="8"/>
      <c r="IK185" s="8"/>
      <c r="IL185" s="8"/>
    </row>
    <row r="186" spans="1:246" s="53" customFormat="1" ht="15" x14ac:dyDescent="0.25">
      <c r="A186" s="4"/>
      <c r="B186" s="3"/>
      <c r="C186" s="46"/>
      <c r="D186" s="45"/>
      <c r="E186" s="46"/>
      <c r="F186" s="80"/>
      <c r="G186" s="80"/>
      <c r="H186" s="80"/>
      <c r="I186" s="51"/>
      <c r="J186" s="51"/>
      <c r="K186" s="6"/>
      <c r="L186" s="52"/>
      <c r="M186" s="5"/>
      <c r="N186" s="3"/>
      <c r="O186" s="3"/>
      <c r="P186" s="5"/>
      <c r="Q186" s="5"/>
      <c r="R186" s="5"/>
      <c r="S186" s="5"/>
      <c r="T186" s="3"/>
      <c r="U186" s="3"/>
      <c r="V186" s="5"/>
      <c r="W186" s="5"/>
      <c r="X186" s="5"/>
      <c r="Y186" s="5"/>
      <c r="Z186" s="6"/>
      <c r="AA186" s="6"/>
      <c r="AB186" s="5"/>
      <c r="AC186" s="5"/>
      <c r="AD186" s="5"/>
      <c r="AE186" s="5"/>
      <c r="AF186" s="5"/>
      <c r="AG186" s="5"/>
      <c r="AH186" s="7"/>
      <c r="AI186" s="7"/>
      <c r="AJ186" s="7"/>
      <c r="AK186" s="7"/>
      <c r="AL186" s="7"/>
      <c r="AM186" s="7"/>
      <c r="AN186" s="7"/>
      <c r="AO186" s="7"/>
      <c r="AT186" s="6"/>
      <c r="AU186" s="5"/>
      <c r="AV186" s="54"/>
      <c r="AW186" s="55"/>
      <c r="AX186" s="55"/>
      <c r="AY186" s="55"/>
      <c r="AZ186" s="55"/>
      <c r="BA186" s="55"/>
      <c r="BB186" s="55"/>
      <c r="BC186" s="55"/>
      <c r="BD186" s="55"/>
      <c r="BE186" s="55"/>
      <c r="BF186" s="55"/>
      <c r="BG186" s="56"/>
      <c r="BH186" s="56"/>
      <c r="BL186" s="74"/>
      <c r="BM186" s="75"/>
      <c r="BN186" s="201"/>
      <c r="BO186" s="201"/>
      <c r="BP186" s="201"/>
      <c r="BQ186" s="201"/>
      <c r="BR186" s="201"/>
      <c r="BS186" s="201"/>
      <c r="BT186" s="201"/>
      <c r="BU186" s="201"/>
      <c r="BV186" s="201"/>
      <c r="BW186" s="201"/>
      <c r="BX186" s="201"/>
      <c r="BY186" s="201"/>
      <c r="BZ186" s="201"/>
      <c r="CA186" s="201"/>
      <c r="CB186" s="201"/>
      <c r="CC186" s="76"/>
      <c r="CD186" s="70"/>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c r="IB186" s="8"/>
      <c r="IC186" s="8"/>
      <c r="ID186" s="8"/>
      <c r="IE186" s="8"/>
      <c r="IF186" s="8"/>
      <c r="IG186" s="8"/>
      <c r="IH186" s="8"/>
      <c r="II186" s="8"/>
      <c r="IJ186" s="8"/>
      <c r="IK186" s="8"/>
      <c r="IL186" s="8"/>
    </row>
    <row r="187" spans="1:246" s="53" customFormat="1" ht="15" x14ac:dyDescent="0.25">
      <c r="A187" s="4"/>
      <c r="B187" s="3"/>
      <c r="C187" s="46"/>
      <c r="D187" s="45"/>
      <c r="E187" s="46"/>
      <c r="F187" s="80"/>
      <c r="G187" s="80"/>
      <c r="H187" s="80"/>
      <c r="I187" s="51"/>
      <c r="J187" s="51"/>
      <c r="K187" s="6"/>
      <c r="L187" s="52"/>
      <c r="M187" s="5"/>
      <c r="N187" s="3"/>
      <c r="O187" s="3"/>
      <c r="P187" s="5"/>
      <c r="Q187" s="5"/>
      <c r="R187" s="5"/>
      <c r="S187" s="5"/>
      <c r="T187" s="3"/>
      <c r="U187" s="3"/>
      <c r="V187" s="5"/>
      <c r="W187" s="5"/>
      <c r="X187" s="5"/>
      <c r="Y187" s="5"/>
      <c r="Z187" s="6"/>
      <c r="AA187" s="6"/>
      <c r="AB187" s="5"/>
      <c r="AC187" s="5"/>
      <c r="AD187" s="5"/>
      <c r="AE187" s="5"/>
      <c r="AF187" s="5"/>
      <c r="AG187" s="5"/>
      <c r="AH187" s="7"/>
      <c r="AI187" s="7"/>
      <c r="AJ187" s="7"/>
      <c r="AK187" s="7"/>
      <c r="AL187" s="7"/>
      <c r="AM187" s="7"/>
      <c r="AN187" s="7"/>
      <c r="AO187" s="7"/>
      <c r="AT187" s="6"/>
      <c r="AU187" s="5"/>
      <c r="AV187" s="54"/>
      <c r="AW187" s="55"/>
      <c r="AX187" s="55"/>
      <c r="AY187" s="55"/>
      <c r="AZ187" s="55"/>
      <c r="BA187" s="55"/>
      <c r="BB187" s="55"/>
      <c r="BC187" s="55"/>
      <c r="BD187" s="55"/>
      <c r="BE187" s="55"/>
      <c r="BF187" s="55"/>
      <c r="BG187" s="56"/>
      <c r="BH187" s="56"/>
      <c r="BL187" s="74"/>
      <c r="BM187" s="75"/>
      <c r="BN187" s="201"/>
      <c r="BO187" s="201"/>
      <c r="BP187" s="201"/>
      <c r="BQ187" s="201"/>
      <c r="BR187" s="201"/>
      <c r="BS187" s="201"/>
      <c r="BT187" s="201"/>
      <c r="BU187" s="201"/>
      <c r="BV187" s="201"/>
      <c r="BW187" s="201"/>
      <c r="BX187" s="201"/>
      <c r="BY187" s="201"/>
      <c r="BZ187" s="201"/>
      <c r="CA187" s="201"/>
      <c r="CB187" s="201"/>
      <c r="CC187" s="76"/>
      <c r="CD187" s="70"/>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c r="IB187" s="8"/>
      <c r="IC187" s="8"/>
      <c r="ID187" s="8"/>
      <c r="IE187" s="8"/>
      <c r="IF187" s="8"/>
      <c r="IG187" s="8"/>
      <c r="IH187" s="8"/>
      <c r="II187" s="8"/>
      <c r="IJ187" s="8"/>
      <c r="IK187" s="8"/>
      <c r="IL187" s="8"/>
    </row>
    <row r="188" spans="1:246" s="53" customFormat="1" ht="15" x14ac:dyDescent="0.25">
      <c r="A188" s="4"/>
      <c r="B188" s="3"/>
      <c r="C188" s="46"/>
      <c r="D188" s="3"/>
      <c r="E188" s="46"/>
      <c r="F188" s="80"/>
      <c r="G188" s="80"/>
      <c r="H188" s="80"/>
      <c r="I188" s="51"/>
      <c r="J188" s="51"/>
      <c r="K188" s="6"/>
      <c r="L188" s="52"/>
      <c r="M188" s="5"/>
      <c r="N188" s="3"/>
      <c r="O188" s="3"/>
      <c r="P188" s="5"/>
      <c r="Q188" s="5"/>
      <c r="R188" s="5"/>
      <c r="S188" s="5"/>
      <c r="T188" s="3"/>
      <c r="U188" s="3"/>
      <c r="V188" s="5"/>
      <c r="W188" s="5"/>
      <c r="X188" s="5"/>
      <c r="Y188" s="5"/>
      <c r="Z188" s="6"/>
      <c r="AA188" s="6"/>
      <c r="AB188" s="5"/>
      <c r="AC188" s="5"/>
      <c r="AD188" s="5"/>
      <c r="AE188" s="5"/>
      <c r="AF188" s="5"/>
      <c r="AG188" s="5"/>
      <c r="AH188" s="7"/>
      <c r="AI188" s="7"/>
      <c r="AJ188" s="7"/>
      <c r="AK188" s="7"/>
      <c r="AL188" s="7"/>
      <c r="AM188" s="7"/>
      <c r="AN188" s="7"/>
      <c r="AO188" s="7"/>
      <c r="AT188" s="6"/>
      <c r="AU188" s="5"/>
      <c r="AV188" s="54"/>
      <c r="AW188" s="55"/>
      <c r="AX188" s="55"/>
      <c r="AY188" s="55"/>
      <c r="AZ188" s="55"/>
      <c r="BA188" s="55"/>
      <c r="BB188" s="55"/>
      <c r="BC188" s="55"/>
      <c r="BD188" s="55"/>
      <c r="BE188" s="55"/>
      <c r="BF188" s="55"/>
      <c r="BG188" s="56"/>
      <c r="BH188" s="56"/>
      <c r="BL188" s="74"/>
      <c r="BM188" s="75"/>
      <c r="BN188" s="201"/>
      <c r="BO188" s="201"/>
      <c r="BP188" s="201"/>
      <c r="BQ188" s="201"/>
      <c r="BR188" s="201"/>
      <c r="BS188" s="201"/>
      <c r="BT188" s="201"/>
      <c r="BU188" s="201"/>
      <c r="BV188" s="201"/>
      <c r="BW188" s="201"/>
      <c r="BX188" s="201"/>
      <c r="BY188" s="201"/>
      <c r="BZ188" s="201"/>
      <c r="CA188" s="201"/>
      <c r="CB188" s="201"/>
      <c r="CC188" s="76"/>
      <c r="CD188" s="70"/>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c r="IB188" s="8"/>
      <c r="IC188" s="8"/>
      <c r="ID188" s="8"/>
      <c r="IE188" s="8"/>
      <c r="IF188" s="8"/>
      <c r="IG188" s="8"/>
      <c r="IH188" s="8"/>
      <c r="II188" s="8"/>
      <c r="IJ188" s="8"/>
      <c r="IK188" s="8"/>
      <c r="IL188" s="8"/>
    </row>
    <row r="189" spans="1:246" s="53" customFormat="1" ht="15" x14ac:dyDescent="0.25">
      <c r="A189" s="4"/>
      <c r="B189" s="3"/>
      <c r="C189" s="46"/>
      <c r="D189" s="3"/>
      <c r="E189" s="46"/>
      <c r="F189" s="80"/>
      <c r="G189" s="80"/>
      <c r="H189" s="80"/>
      <c r="I189" s="51"/>
      <c r="J189" s="51"/>
      <c r="K189" s="6"/>
      <c r="L189" s="52"/>
      <c r="M189" s="5"/>
      <c r="N189" s="3"/>
      <c r="O189" s="3"/>
      <c r="P189" s="5"/>
      <c r="Q189" s="5"/>
      <c r="R189" s="5"/>
      <c r="S189" s="5"/>
      <c r="T189" s="3"/>
      <c r="U189" s="3"/>
      <c r="V189" s="5"/>
      <c r="W189" s="5"/>
      <c r="X189" s="5"/>
      <c r="Y189" s="5"/>
      <c r="Z189" s="6"/>
      <c r="AA189" s="6"/>
      <c r="AB189" s="5"/>
      <c r="AC189" s="5"/>
      <c r="AD189" s="5"/>
      <c r="AE189" s="5"/>
      <c r="AF189" s="5"/>
      <c r="AG189" s="5"/>
      <c r="AH189" s="7"/>
      <c r="AI189" s="7"/>
      <c r="AJ189" s="7"/>
      <c r="AK189" s="7"/>
      <c r="AL189" s="7"/>
      <c r="AM189" s="7"/>
      <c r="AN189" s="7"/>
      <c r="AO189" s="7"/>
      <c r="AT189" s="6"/>
      <c r="AU189" s="5"/>
      <c r="AV189" s="54"/>
      <c r="AW189" s="55"/>
      <c r="AX189" s="55"/>
      <c r="AY189" s="55"/>
      <c r="AZ189" s="55"/>
      <c r="BA189" s="55"/>
      <c r="BB189" s="55"/>
      <c r="BC189" s="55"/>
      <c r="BD189" s="55"/>
      <c r="BE189" s="55"/>
      <c r="BF189" s="55"/>
      <c r="BG189" s="56"/>
      <c r="BH189" s="56"/>
      <c r="BI189" s="82"/>
      <c r="BL189" s="74"/>
      <c r="BM189" s="75"/>
      <c r="BN189" s="201"/>
      <c r="BO189" s="201"/>
      <c r="BP189" s="201"/>
      <c r="BQ189" s="201"/>
      <c r="BR189" s="201"/>
      <c r="BS189" s="201"/>
      <c r="BT189" s="201"/>
      <c r="BU189" s="201"/>
      <c r="BV189" s="201"/>
      <c r="BW189" s="201"/>
      <c r="BX189" s="201"/>
      <c r="BY189" s="201"/>
      <c r="BZ189" s="201"/>
      <c r="CA189" s="201"/>
      <c r="CB189" s="201"/>
      <c r="CC189" s="76"/>
      <c r="CD189" s="70"/>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c r="IE189" s="8"/>
      <c r="IF189" s="8"/>
      <c r="IG189" s="8"/>
      <c r="IH189" s="8"/>
      <c r="II189" s="8"/>
      <c r="IJ189" s="8"/>
      <c r="IK189" s="8"/>
      <c r="IL189" s="8"/>
    </row>
    <row r="190" spans="1:246" s="53" customFormat="1" ht="15" x14ac:dyDescent="0.25">
      <c r="A190" s="4"/>
      <c r="B190" s="3"/>
      <c r="C190" s="45"/>
      <c r="D190" s="45"/>
      <c r="E190" s="46"/>
      <c r="F190" s="80"/>
      <c r="G190" s="80"/>
      <c r="H190" s="80"/>
      <c r="I190" s="51"/>
      <c r="J190" s="51"/>
      <c r="K190" s="6"/>
      <c r="L190" s="52"/>
      <c r="M190" s="5"/>
      <c r="N190" s="3"/>
      <c r="O190" s="3"/>
      <c r="P190" s="5"/>
      <c r="Q190" s="5"/>
      <c r="R190" s="5"/>
      <c r="S190" s="5"/>
      <c r="T190" s="3"/>
      <c r="U190" s="3"/>
      <c r="V190" s="5"/>
      <c r="W190" s="5"/>
      <c r="X190" s="5"/>
      <c r="Y190" s="5"/>
      <c r="Z190" s="6"/>
      <c r="AA190" s="6"/>
      <c r="AB190" s="5"/>
      <c r="AC190" s="5"/>
      <c r="AD190" s="5"/>
      <c r="AE190" s="5"/>
      <c r="AF190" s="5"/>
      <c r="AG190" s="5"/>
      <c r="AH190" s="7"/>
      <c r="AI190" s="7"/>
      <c r="AJ190" s="7"/>
      <c r="AK190" s="7"/>
      <c r="AL190" s="7"/>
      <c r="AM190" s="7"/>
      <c r="AN190" s="7"/>
      <c r="AO190" s="7"/>
      <c r="AT190" s="6"/>
      <c r="AU190" s="5"/>
      <c r="AV190" s="54"/>
      <c r="AW190" s="55"/>
      <c r="AX190" s="55"/>
      <c r="AY190" s="55"/>
      <c r="AZ190" s="55"/>
      <c r="BA190" s="55"/>
      <c r="BB190" s="55"/>
      <c r="BC190" s="55"/>
      <c r="BD190" s="55"/>
      <c r="BE190" s="55"/>
      <c r="BF190" s="55"/>
      <c r="BG190" s="56"/>
      <c r="BH190" s="56"/>
      <c r="BL190" s="74"/>
      <c r="BM190" s="75"/>
      <c r="BN190" s="201"/>
      <c r="BO190" s="201"/>
      <c r="BP190" s="201"/>
      <c r="BQ190" s="201"/>
      <c r="BR190" s="201"/>
      <c r="BS190" s="201"/>
      <c r="BT190" s="201"/>
      <c r="BU190" s="201"/>
      <c r="BV190" s="201"/>
      <c r="BW190" s="201"/>
      <c r="BX190" s="201"/>
      <c r="BY190" s="201"/>
      <c r="BZ190" s="201"/>
      <c r="CA190" s="201"/>
      <c r="CB190" s="201"/>
      <c r="CC190" s="76"/>
      <c r="CD190" s="70"/>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c r="GA190" s="7"/>
      <c r="GB190" s="7"/>
      <c r="GC190" s="7"/>
      <c r="GD190" s="7"/>
      <c r="GE190" s="7"/>
      <c r="GF190" s="7"/>
      <c r="GG190" s="7"/>
      <c r="GH190" s="7"/>
      <c r="GI190" s="7"/>
      <c r="GJ190" s="7"/>
      <c r="GK190" s="7"/>
      <c r="GL190" s="7"/>
      <c r="GM190" s="7"/>
      <c r="GN190" s="7"/>
      <c r="GO190" s="7"/>
      <c r="GP190" s="7"/>
      <c r="GQ190" s="7"/>
      <c r="GR190" s="7"/>
      <c r="GS190" s="7"/>
      <c r="GT190" s="7"/>
      <c r="GU190" s="7"/>
      <c r="GV190" s="7"/>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c r="ID190" s="8"/>
      <c r="IE190" s="8"/>
      <c r="IF190" s="8"/>
      <c r="IG190" s="8"/>
      <c r="IH190" s="8"/>
      <c r="II190" s="8"/>
      <c r="IJ190" s="8"/>
      <c r="IK190" s="8"/>
      <c r="IL190" s="8"/>
    </row>
    <row r="191" spans="1:246" s="53" customFormat="1" ht="15" x14ac:dyDescent="0.25">
      <c r="A191" s="4"/>
      <c r="B191" s="3"/>
      <c r="C191" s="203"/>
      <c r="D191" s="48"/>
      <c r="E191" s="46"/>
      <c r="F191" s="80"/>
      <c r="G191" s="80"/>
      <c r="H191" s="80"/>
      <c r="I191" s="51"/>
      <c r="J191" s="51"/>
      <c r="K191" s="6"/>
      <c r="L191" s="52"/>
      <c r="M191" s="5"/>
      <c r="N191" s="3"/>
      <c r="O191" s="3"/>
      <c r="P191" s="5"/>
      <c r="Q191" s="5"/>
      <c r="R191" s="5"/>
      <c r="S191" s="5"/>
      <c r="T191" s="3"/>
      <c r="U191" s="3"/>
      <c r="V191" s="5"/>
      <c r="W191" s="5"/>
      <c r="X191" s="5"/>
      <c r="Y191" s="5"/>
      <c r="Z191" s="6"/>
      <c r="AA191" s="6"/>
      <c r="AB191" s="5"/>
      <c r="AC191" s="5"/>
      <c r="AD191" s="5"/>
      <c r="AE191" s="5"/>
      <c r="AF191" s="5"/>
      <c r="AG191" s="5"/>
      <c r="AH191" s="7"/>
      <c r="AI191" s="7"/>
      <c r="AJ191" s="7"/>
      <c r="AK191" s="7"/>
      <c r="AL191" s="7"/>
      <c r="AM191" s="7"/>
      <c r="AN191" s="7"/>
      <c r="AO191" s="7"/>
      <c r="AT191" s="6"/>
      <c r="AU191" s="5"/>
      <c r="AV191" s="54"/>
      <c r="AW191" s="55"/>
      <c r="AX191" s="55"/>
      <c r="AY191" s="55"/>
      <c r="AZ191" s="55"/>
      <c r="BA191" s="55"/>
      <c r="BB191" s="55"/>
      <c r="BC191" s="55"/>
      <c r="BD191" s="55"/>
      <c r="BE191" s="55"/>
      <c r="BF191" s="55"/>
      <c r="BG191" s="56"/>
      <c r="BH191" s="56"/>
      <c r="BL191" s="74"/>
      <c r="BM191" s="75"/>
      <c r="BN191" s="201"/>
      <c r="BO191" s="201"/>
      <c r="BP191" s="201"/>
      <c r="BQ191" s="201"/>
      <c r="BR191" s="201"/>
      <c r="BS191" s="201"/>
      <c r="BT191" s="201"/>
      <c r="BU191" s="201"/>
      <c r="BV191" s="201"/>
      <c r="BW191" s="201"/>
      <c r="BX191" s="201"/>
      <c r="BY191" s="201"/>
      <c r="BZ191" s="201"/>
      <c r="CA191" s="201"/>
      <c r="CB191" s="201"/>
      <c r="CC191" s="76"/>
      <c r="CD191" s="70"/>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c r="GS191" s="7"/>
      <c r="GT191" s="7"/>
      <c r="GU191" s="7"/>
      <c r="GV191" s="7"/>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c r="HX191" s="8"/>
      <c r="HY191" s="8"/>
      <c r="HZ191" s="8"/>
      <c r="IA191" s="8"/>
      <c r="IB191" s="8"/>
      <c r="IC191" s="8"/>
      <c r="ID191" s="8"/>
      <c r="IE191" s="8"/>
      <c r="IF191" s="8"/>
      <c r="IG191" s="8"/>
      <c r="IH191" s="8"/>
      <c r="II191" s="8"/>
      <c r="IJ191" s="8"/>
      <c r="IK191" s="8"/>
      <c r="IL191" s="8"/>
    </row>
    <row r="192" spans="1:246" s="53" customFormat="1" ht="15" x14ac:dyDescent="0.25">
      <c r="A192" s="4"/>
      <c r="B192" s="3"/>
      <c r="C192" s="45"/>
      <c r="D192" s="45"/>
      <c r="E192" s="46"/>
      <c r="F192" s="80"/>
      <c r="G192" s="80"/>
      <c r="H192" s="80"/>
      <c r="I192" s="51"/>
      <c r="J192" s="51"/>
      <c r="K192" s="6"/>
      <c r="L192" s="52"/>
      <c r="M192" s="5"/>
      <c r="N192" s="3"/>
      <c r="O192" s="3"/>
      <c r="P192" s="5"/>
      <c r="Q192" s="5"/>
      <c r="R192" s="5"/>
      <c r="S192" s="5"/>
      <c r="T192" s="3"/>
      <c r="U192" s="3"/>
      <c r="V192" s="5"/>
      <c r="W192" s="5"/>
      <c r="X192" s="5"/>
      <c r="Y192" s="5"/>
      <c r="Z192" s="6"/>
      <c r="AA192" s="6"/>
      <c r="AB192" s="5"/>
      <c r="AC192" s="5"/>
      <c r="AD192" s="5"/>
      <c r="AE192" s="5"/>
      <c r="AF192" s="5"/>
      <c r="AG192" s="5"/>
      <c r="AH192" s="7"/>
      <c r="AI192" s="7"/>
      <c r="AJ192" s="7"/>
      <c r="AK192" s="7"/>
      <c r="AL192" s="7"/>
      <c r="AM192" s="7"/>
      <c r="AN192" s="7"/>
      <c r="AO192" s="7"/>
      <c r="AT192" s="6"/>
      <c r="AU192" s="5"/>
      <c r="AV192" s="54"/>
      <c r="AW192" s="55"/>
      <c r="AX192" s="55"/>
      <c r="AY192" s="55"/>
      <c r="AZ192" s="55"/>
      <c r="BA192" s="55"/>
      <c r="BB192" s="55"/>
      <c r="BC192" s="55"/>
      <c r="BD192" s="55"/>
      <c r="BE192" s="55"/>
      <c r="BF192" s="55"/>
      <c r="BG192" s="56"/>
      <c r="BH192" s="56"/>
      <c r="BL192" s="74"/>
      <c r="BM192" s="75"/>
      <c r="BN192" s="201"/>
      <c r="BO192" s="201"/>
      <c r="BP192" s="201"/>
      <c r="BQ192" s="201"/>
      <c r="BR192" s="201"/>
      <c r="BS192" s="201"/>
      <c r="BT192" s="201"/>
      <c r="BU192" s="201"/>
      <c r="BV192" s="201"/>
      <c r="BW192" s="201"/>
      <c r="BX192" s="201"/>
      <c r="BY192" s="201"/>
      <c r="BZ192" s="201"/>
      <c r="CA192" s="201"/>
      <c r="CB192" s="201"/>
      <c r="CC192" s="76"/>
      <c r="CD192" s="70"/>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c r="GA192" s="7"/>
      <c r="GB192" s="7"/>
      <c r="GC192" s="7"/>
      <c r="GD192" s="7"/>
      <c r="GE192" s="7"/>
      <c r="GF192" s="7"/>
      <c r="GG192" s="7"/>
      <c r="GH192" s="7"/>
      <c r="GI192" s="7"/>
      <c r="GJ192" s="7"/>
      <c r="GK192" s="7"/>
      <c r="GL192" s="7"/>
      <c r="GM192" s="7"/>
      <c r="GN192" s="7"/>
      <c r="GO192" s="7"/>
      <c r="GP192" s="7"/>
      <c r="GQ192" s="7"/>
      <c r="GR192" s="7"/>
      <c r="GS192" s="7"/>
      <c r="GT192" s="7"/>
      <c r="GU192" s="7"/>
      <c r="GV192" s="7"/>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c r="IB192" s="8"/>
      <c r="IC192" s="8"/>
      <c r="ID192" s="8"/>
      <c r="IE192" s="8"/>
      <c r="IF192" s="8"/>
      <c r="IG192" s="8"/>
      <c r="IH192" s="8"/>
      <c r="II192" s="8"/>
      <c r="IJ192" s="8"/>
      <c r="IK192" s="8"/>
      <c r="IL192" s="8"/>
    </row>
    <row r="193" spans="1:246" s="53" customFormat="1" ht="15" x14ac:dyDescent="0.25">
      <c r="A193" s="4"/>
      <c r="B193" s="3"/>
      <c r="C193" s="46"/>
      <c r="D193" s="45"/>
      <c r="E193" s="46"/>
      <c r="F193" s="80"/>
      <c r="G193" s="80"/>
      <c r="H193" s="80"/>
      <c r="I193" s="51"/>
      <c r="J193" s="51"/>
      <c r="K193" s="6"/>
      <c r="L193" s="52"/>
      <c r="M193" s="5"/>
      <c r="N193" s="3"/>
      <c r="O193" s="3"/>
      <c r="P193" s="5"/>
      <c r="Q193" s="5"/>
      <c r="R193" s="5"/>
      <c r="S193" s="5"/>
      <c r="T193" s="3"/>
      <c r="U193" s="3"/>
      <c r="V193" s="5"/>
      <c r="W193" s="5"/>
      <c r="X193" s="5"/>
      <c r="Y193" s="5"/>
      <c r="Z193" s="6"/>
      <c r="AA193" s="6"/>
      <c r="AB193" s="5"/>
      <c r="AC193" s="5"/>
      <c r="AD193" s="5"/>
      <c r="AE193" s="5"/>
      <c r="AF193" s="5"/>
      <c r="AG193" s="5"/>
      <c r="AH193" s="7"/>
      <c r="AI193" s="7"/>
      <c r="AJ193" s="7"/>
      <c r="AK193" s="7"/>
      <c r="AL193" s="7"/>
      <c r="AM193" s="7"/>
      <c r="AN193" s="7"/>
      <c r="AO193" s="7"/>
      <c r="AT193" s="6"/>
      <c r="AU193" s="5"/>
      <c r="AV193" s="54"/>
      <c r="AW193" s="55"/>
      <c r="AX193" s="55"/>
      <c r="AY193" s="55"/>
      <c r="AZ193" s="55"/>
      <c r="BA193" s="55"/>
      <c r="BB193" s="55"/>
      <c r="BC193" s="55"/>
      <c r="BD193" s="55"/>
      <c r="BE193" s="55"/>
      <c r="BF193" s="55"/>
      <c r="BG193" s="56"/>
      <c r="BH193" s="56"/>
      <c r="BL193" s="74"/>
      <c r="BM193" s="75"/>
      <c r="BN193" s="201"/>
      <c r="BO193" s="201"/>
      <c r="BP193" s="201"/>
      <c r="BQ193" s="201"/>
      <c r="BR193" s="201"/>
      <c r="BS193" s="201"/>
      <c r="BT193" s="201"/>
      <c r="BU193" s="201"/>
      <c r="BV193" s="201"/>
      <c r="BW193" s="201"/>
      <c r="BX193" s="201"/>
      <c r="BY193" s="201"/>
      <c r="BZ193" s="201"/>
      <c r="CA193" s="201"/>
      <c r="CB193" s="201"/>
      <c r="CC193" s="76"/>
      <c r="CD193" s="70"/>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c r="HX193" s="8"/>
      <c r="HY193" s="8"/>
      <c r="HZ193" s="8"/>
      <c r="IA193" s="8"/>
      <c r="IB193" s="8"/>
      <c r="IC193" s="8"/>
      <c r="ID193" s="8"/>
      <c r="IE193" s="8"/>
      <c r="IF193" s="8"/>
      <c r="IG193" s="8"/>
      <c r="IH193" s="8"/>
      <c r="II193" s="8"/>
      <c r="IJ193" s="8"/>
      <c r="IK193" s="8"/>
      <c r="IL193" s="8"/>
    </row>
    <row r="194" spans="1:246" s="53" customFormat="1" ht="15" x14ac:dyDescent="0.25">
      <c r="A194" s="4"/>
      <c r="B194" s="3"/>
      <c r="C194" s="204"/>
      <c r="D194" s="45"/>
      <c r="E194" s="46"/>
      <c r="F194" s="80"/>
      <c r="G194" s="80"/>
      <c r="H194" s="80"/>
      <c r="I194" s="51"/>
      <c r="J194" s="51"/>
      <c r="K194" s="6"/>
      <c r="L194" s="52"/>
      <c r="M194" s="5"/>
      <c r="N194" s="3"/>
      <c r="O194" s="3"/>
      <c r="P194" s="5"/>
      <c r="Q194" s="5"/>
      <c r="R194" s="5"/>
      <c r="S194" s="5"/>
      <c r="T194" s="3"/>
      <c r="U194" s="3"/>
      <c r="V194" s="5"/>
      <c r="W194" s="5"/>
      <c r="X194" s="5"/>
      <c r="Y194" s="5"/>
      <c r="Z194" s="6"/>
      <c r="AA194" s="6"/>
      <c r="AB194" s="5"/>
      <c r="AC194" s="5"/>
      <c r="AD194" s="5"/>
      <c r="AE194" s="5"/>
      <c r="AF194" s="5"/>
      <c r="AG194" s="5"/>
      <c r="AH194" s="7"/>
      <c r="AI194" s="7"/>
      <c r="AJ194" s="7"/>
      <c r="AK194" s="7"/>
      <c r="AL194" s="7"/>
      <c r="AM194" s="7"/>
      <c r="AN194" s="7"/>
      <c r="AO194" s="7"/>
      <c r="AT194" s="6"/>
      <c r="AU194" s="5"/>
      <c r="AV194" s="54"/>
      <c r="AW194" s="55"/>
      <c r="AX194" s="55"/>
      <c r="AY194" s="55"/>
      <c r="AZ194" s="55"/>
      <c r="BA194" s="55"/>
      <c r="BB194" s="55"/>
      <c r="BC194" s="55"/>
      <c r="BD194" s="55"/>
      <c r="BE194" s="55"/>
      <c r="BF194" s="55"/>
      <c r="BG194" s="56"/>
      <c r="BH194" s="56"/>
      <c r="BL194" s="74"/>
      <c r="BM194" s="75"/>
      <c r="BN194" s="201"/>
      <c r="BO194" s="201"/>
      <c r="BP194" s="201"/>
      <c r="BQ194" s="201"/>
      <c r="BR194" s="201"/>
      <c r="BS194" s="201"/>
      <c r="BT194" s="201"/>
      <c r="BU194" s="201"/>
      <c r="BV194" s="201"/>
      <c r="BW194" s="201"/>
      <c r="BX194" s="201"/>
      <c r="BY194" s="201"/>
      <c r="BZ194" s="201"/>
      <c r="CA194" s="201"/>
      <c r="CB194" s="201"/>
      <c r="CC194" s="76"/>
      <c r="CD194" s="70"/>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c r="HU194" s="8"/>
      <c r="HV194" s="8"/>
      <c r="HW194" s="8"/>
      <c r="HX194" s="8"/>
      <c r="HY194" s="8"/>
      <c r="HZ194" s="8"/>
      <c r="IA194" s="8"/>
      <c r="IB194" s="8"/>
      <c r="IC194" s="8"/>
      <c r="ID194" s="8"/>
      <c r="IE194" s="8"/>
      <c r="IF194" s="8"/>
      <c r="IG194" s="8"/>
      <c r="IH194" s="8"/>
      <c r="II194" s="8"/>
      <c r="IJ194" s="8"/>
      <c r="IK194" s="8"/>
      <c r="IL194" s="8"/>
    </row>
    <row r="195" spans="1:246" s="53" customFormat="1" ht="15" x14ac:dyDescent="0.25">
      <c r="A195" s="4"/>
      <c r="B195" s="3"/>
      <c r="C195" s="46"/>
      <c r="D195" s="45"/>
      <c r="E195" s="46"/>
      <c r="F195" s="80"/>
      <c r="G195" s="80"/>
      <c r="H195" s="80"/>
      <c r="I195" s="51"/>
      <c r="J195" s="51"/>
      <c r="K195" s="6"/>
      <c r="L195" s="52"/>
      <c r="M195" s="5"/>
      <c r="N195" s="3"/>
      <c r="O195" s="3"/>
      <c r="P195" s="5"/>
      <c r="Q195" s="5"/>
      <c r="R195" s="5"/>
      <c r="S195" s="5"/>
      <c r="T195" s="3"/>
      <c r="U195" s="3"/>
      <c r="V195" s="5"/>
      <c r="W195" s="5"/>
      <c r="X195" s="5"/>
      <c r="Y195" s="5"/>
      <c r="Z195" s="6"/>
      <c r="AA195" s="6"/>
      <c r="AB195" s="5"/>
      <c r="AC195" s="5"/>
      <c r="AD195" s="5"/>
      <c r="AE195" s="5"/>
      <c r="AF195" s="5"/>
      <c r="AG195" s="5"/>
      <c r="AH195" s="7"/>
      <c r="AI195" s="7"/>
      <c r="AJ195" s="7"/>
      <c r="AK195" s="7"/>
      <c r="AL195" s="7"/>
      <c r="AM195" s="7"/>
      <c r="AN195" s="7"/>
      <c r="AO195" s="7"/>
      <c r="AT195" s="6"/>
      <c r="AU195" s="5"/>
      <c r="AV195" s="54"/>
      <c r="AW195" s="55"/>
      <c r="AX195" s="55"/>
      <c r="AY195" s="55"/>
      <c r="AZ195" s="55"/>
      <c r="BA195" s="55"/>
      <c r="BB195" s="55"/>
      <c r="BC195" s="55"/>
      <c r="BD195" s="55"/>
      <c r="BE195" s="55"/>
      <c r="BF195" s="55"/>
      <c r="BG195" s="56"/>
      <c r="BH195" s="56"/>
      <c r="BL195" s="74"/>
      <c r="BM195" s="75"/>
      <c r="BN195" s="201"/>
      <c r="BO195" s="201"/>
      <c r="BP195" s="201"/>
      <c r="BQ195" s="201"/>
      <c r="BR195" s="201"/>
      <c r="BS195" s="201"/>
      <c r="BT195" s="201"/>
      <c r="BU195" s="201"/>
      <c r="BV195" s="201"/>
      <c r="BW195" s="201"/>
      <c r="BX195" s="201"/>
      <c r="BY195" s="201"/>
      <c r="BZ195" s="201"/>
      <c r="CA195" s="201"/>
      <c r="CB195" s="201"/>
      <c r="CC195" s="76"/>
      <c r="CD195" s="70"/>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8"/>
      <c r="GX195" s="8"/>
      <c r="GY195" s="8"/>
      <c r="GZ195" s="8"/>
      <c r="HA195" s="8"/>
      <c r="HB195" s="8"/>
      <c r="HC195" s="8"/>
      <c r="HD195" s="8"/>
      <c r="HE195" s="8"/>
      <c r="HF195" s="8"/>
      <c r="HG195" s="8"/>
      <c r="HH195" s="8"/>
      <c r="HI195" s="8"/>
      <c r="HJ195" s="8"/>
      <c r="HK195" s="8"/>
      <c r="HL195" s="8"/>
      <c r="HM195" s="8"/>
      <c r="HN195" s="8"/>
      <c r="HO195" s="8"/>
      <c r="HP195" s="8"/>
      <c r="HQ195" s="8"/>
      <c r="HR195" s="8"/>
      <c r="HS195" s="8"/>
      <c r="HT195" s="8"/>
      <c r="HU195" s="8"/>
      <c r="HV195" s="8"/>
      <c r="HW195" s="8"/>
      <c r="HX195" s="8"/>
      <c r="HY195" s="8"/>
      <c r="HZ195" s="8"/>
      <c r="IA195" s="8"/>
      <c r="IB195" s="8"/>
      <c r="IC195" s="8"/>
      <c r="ID195" s="8"/>
      <c r="IE195" s="8"/>
      <c r="IF195" s="8"/>
      <c r="IG195" s="8"/>
      <c r="IH195" s="8"/>
      <c r="II195" s="8"/>
      <c r="IJ195" s="8"/>
      <c r="IK195" s="8"/>
      <c r="IL195" s="8"/>
    </row>
    <row r="196" spans="1:246" s="53" customFormat="1" ht="15" x14ac:dyDescent="0.25">
      <c r="A196" s="4"/>
      <c r="B196" s="3"/>
      <c r="C196" s="46"/>
      <c r="D196" s="45"/>
      <c r="E196" s="46"/>
      <c r="F196" s="80"/>
      <c r="G196" s="80"/>
      <c r="H196" s="80"/>
      <c r="I196" s="51"/>
      <c r="J196" s="51"/>
      <c r="K196" s="6"/>
      <c r="L196" s="52"/>
      <c r="M196" s="5"/>
      <c r="N196" s="3"/>
      <c r="O196" s="3"/>
      <c r="P196" s="5"/>
      <c r="Q196" s="5"/>
      <c r="R196" s="5"/>
      <c r="S196" s="5"/>
      <c r="T196" s="3"/>
      <c r="U196" s="3"/>
      <c r="V196" s="5"/>
      <c r="W196" s="5"/>
      <c r="X196" s="5"/>
      <c r="Y196" s="5"/>
      <c r="Z196" s="6"/>
      <c r="AA196" s="6"/>
      <c r="AB196" s="5"/>
      <c r="AC196" s="5"/>
      <c r="AD196" s="5"/>
      <c r="AE196" s="5"/>
      <c r="AF196" s="5"/>
      <c r="AG196" s="5"/>
      <c r="AH196" s="7"/>
      <c r="AI196" s="7"/>
      <c r="AJ196" s="7"/>
      <c r="AK196" s="7"/>
      <c r="AL196" s="7"/>
      <c r="AM196" s="7"/>
      <c r="AN196" s="7"/>
      <c r="AO196" s="7"/>
      <c r="AT196" s="6"/>
      <c r="AU196" s="5"/>
      <c r="AV196" s="54"/>
      <c r="AW196" s="55"/>
      <c r="AX196" s="55"/>
      <c r="AY196" s="55"/>
      <c r="AZ196" s="55"/>
      <c r="BA196" s="55"/>
      <c r="BB196" s="55"/>
      <c r="BC196" s="55"/>
      <c r="BD196" s="55"/>
      <c r="BE196" s="55"/>
      <c r="BF196" s="55"/>
      <c r="BG196" s="56"/>
      <c r="BH196" s="56"/>
      <c r="BL196" s="74"/>
      <c r="BM196" s="75"/>
      <c r="BN196" s="201"/>
      <c r="BO196" s="201"/>
      <c r="BP196" s="201"/>
      <c r="BQ196" s="201"/>
      <c r="BR196" s="201"/>
      <c r="BS196" s="201"/>
      <c r="BT196" s="201"/>
      <c r="BU196" s="201"/>
      <c r="BV196" s="201"/>
      <c r="BW196" s="201"/>
      <c r="BX196" s="201"/>
      <c r="BY196" s="201"/>
      <c r="BZ196" s="201"/>
      <c r="CA196" s="201"/>
      <c r="CB196" s="201"/>
      <c r="CC196" s="76"/>
      <c r="CD196" s="70"/>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c r="IB196" s="8"/>
      <c r="IC196" s="8"/>
      <c r="ID196" s="8"/>
      <c r="IE196" s="8"/>
      <c r="IF196" s="8"/>
      <c r="IG196" s="8"/>
      <c r="IH196" s="8"/>
      <c r="II196" s="8"/>
      <c r="IJ196" s="8"/>
      <c r="IK196" s="8"/>
      <c r="IL196" s="8"/>
    </row>
    <row r="197" spans="1:246" s="53" customFormat="1" ht="15" x14ac:dyDescent="0.25">
      <c r="A197" s="4"/>
      <c r="B197" s="3"/>
      <c r="C197" s="46"/>
      <c r="D197" s="45"/>
      <c r="E197" s="46"/>
      <c r="F197" s="80"/>
      <c r="G197" s="80"/>
      <c r="H197" s="80"/>
      <c r="I197" s="51"/>
      <c r="J197" s="51"/>
      <c r="K197" s="6"/>
      <c r="L197" s="52"/>
      <c r="M197" s="5"/>
      <c r="N197" s="3"/>
      <c r="O197" s="3"/>
      <c r="P197" s="5"/>
      <c r="Q197" s="5"/>
      <c r="R197" s="5"/>
      <c r="S197" s="5"/>
      <c r="T197" s="3"/>
      <c r="U197" s="3"/>
      <c r="V197" s="5"/>
      <c r="W197" s="5"/>
      <c r="X197" s="5"/>
      <c r="Y197" s="5"/>
      <c r="Z197" s="6"/>
      <c r="AA197" s="6"/>
      <c r="AB197" s="5"/>
      <c r="AC197" s="5"/>
      <c r="AD197" s="5"/>
      <c r="AE197" s="5"/>
      <c r="AF197" s="5"/>
      <c r="AG197" s="5"/>
      <c r="AH197" s="7"/>
      <c r="AI197" s="7"/>
      <c r="AJ197" s="7"/>
      <c r="AK197" s="7"/>
      <c r="AL197" s="7"/>
      <c r="AM197" s="7"/>
      <c r="AN197" s="7"/>
      <c r="AO197" s="7"/>
      <c r="AT197" s="6"/>
      <c r="AU197" s="5"/>
      <c r="AV197" s="54"/>
      <c r="AW197" s="55"/>
      <c r="AX197" s="55"/>
      <c r="AY197" s="55"/>
      <c r="AZ197" s="55"/>
      <c r="BA197" s="55"/>
      <c r="BB197" s="55"/>
      <c r="BC197" s="55"/>
      <c r="BD197" s="55"/>
      <c r="BE197" s="55"/>
      <c r="BF197" s="55"/>
      <c r="BG197" s="56"/>
      <c r="BH197" s="56"/>
      <c r="BL197" s="74"/>
      <c r="BM197" s="74"/>
      <c r="BN197" s="202"/>
      <c r="BO197" s="201"/>
      <c r="BP197" s="201"/>
      <c r="BQ197" s="201"/>
      <c r="BR197" s="201"/>
      <c r="BS197" s="201"/>
      <c r="BT197" s="201"/>
      <c r="BU197" s="202"/>
      <c r="BV197" s="202"/>
      <c r="BW197" s="202"/>
      <c r="BX197" s="202"/>
      <c r="BY197" s="202"/>
      <c r="BZ197" s="202"/>
      <c r="CA197" s="201"/>
      <c r="CB197" s="201"/>
      <c r="CC197" s="76"/>
      <c r="CD197" s="70"/>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c r="GS197" s="7"/>
      <c r="GT197" s="7"/>
      <c r="GU197" s="7"/>
      <c r="GV197" s="7"/>
      <c r="GW197" s="8"/>
      <c r="GX197" s="8"/>
      <c r="GY197" s="8"/>
      <c r="GZ197" s="8"/>
      <c r="HA197" s="8"/>
      <c r="HB197" s="8"/>
      <c r="HC197" s="8"/>
      <c r="HD197" s="8"/>
      <c r="HE197" s="8"/>
      <c r="HF197" s="8"/>
      <c r="HG197" s="8"/>
      <c r="HH197" s="8"/>
      <c r="HI197" s="8"/>
      <c r="HJ197" s="8"/>
      <c r="HK197" s="8"/>
      <c r="HL197" s="8"/>
      <c r="HM197" s="8"/>
      <c r="HN197" s="8"/>
      <c r="HO197" s="8"/>
      <c r="HP197" s="8"/>
      <c r="HQ197" s="8"/>
      <c r="HR197" s="8"/>
      <c r="HS197" s="8"/>
      <c r="HT197" s="8"/>
      <c r="HU197" s="8"/>
      <c r="HV197" s="8"/>
      <c r="HW197" s="8"/>
      <c r="HX197" s="8"/>
      <c r="HY197" s="8"/>
      <c r="HZ197" s="8"/>
      <c r="IA197" s="8"/>
      <c r="IB197" s="8"/>
      <c r="IC197" s="8"/>
      <c r="ID197" s="8"/>
      <c r="IE197" s="8"/>
      <c r="IF197" s="8"/>
      <c r="IG197" s="8"/>
      <c r="IH197" s="8"/>
      <c r="II197" s="8"/>
      <c r="IJ197" s="8"/>
      <c r="IK197" s="8"/>
      <c r="IL197" s="8"/>
    </row>
    <row r="198" spans="1:246" s="53" customFormat="1" ht="15" x14ac:dyDescent="0.25">
      <c r="A198" s="4"/>
      <c r="B198" s="3"/>
      <c r="C198" s="46"/>
      <c r="D198" s="45"/>
      <c r="E198" s="46"/>
      <c r="F198" s="80"/>
      <c r="G198" s="80"/>
      <c r="H198" s="80"/>
      <c r="I198" s="51"/>
      <c r="J198" s="51"/>
      <c r="K198" s="6"/>
      <c r="L198" s="52"/>
      <c r="M198" s="5"/>
      <c r="N198" s="3"/>
      <c r="O198" s="3"/>
      <c r="P198" s="5"/>
      <c r="Q198" s="5"/>
      <c r="R198" s="5"/>
      <c r="S198" s="5"/>
      <c r="T198" s="3"/>
      <c r="U198" s="3"/>
      <c r="V198" s="5"/>
      <c r="W198" s="5"/>
      <c r="X198" s="5"/>
      <c r="Y198" s="5"/>
      <c r="Z198" s="6"/>
      <c r="AA198" s="6"/>
      <c r="AB198" s="5"/>
      <c r="AC198" s="5"/>
      <c r="AD198" s="5"/>
      <c r="AE198" s="5"/>
      <c r="AF198" s="5"/>
      <c r="AG198" s="5"/>
      <c r="AH198" s="7"/>
      <c r="AI198" s="7"/>
      <c r="AJ198" s="7"/>
      <c r="AK198" s="7"/>
      <c r="AL198" s="7"/>
      <c r="AM198" s="7"/>
      <c r="AN198" s="7"/>
      <c r="AO198" s="7"/>
      <c r="AT198" s="6"/>
      <c r="AU198" s="5"/>
      <c r="AV198" s="54"/>
      <c r="AW198" s="55"/>
      <c r="AX198" s="55"/>
      <c r="AY198" s="55"/>
      <c r="AZ198" s="55"/>
      <c r="BA198" s="55"/>
      <c r="BB198" s="55"/>
      <c r="BC198" s="55"/>
      <c r="BD198" s="55"/>
      <c r="BE198" s="55"/>
      <c r="BF198" s="55"/>
      <c r="BG198" s="56"/>
      <c r="BH198" s="56"/>
      <c r="BL198" s="74"/>
      <c r="BM198" s="75"/>
      <c r="BN198" s="201"/>
      <c r="BO198" s="201"/>
      <c r="BP198" s="201"/>
      <c r="BQ198" s="201"/>
      <c r="BR198" s="201"/>
      <c r="BS198" s="201"/>
      <c r="BT198" s="201"/>
      <c r="BU198" s="201"/>
      <c r="BV198" s="201"/>
      <c r="BW198" s="201"/>
      <c r="BX198" s="201"/>
      <c r="BY198" s="201"/>
      <c r="BZ198" s="201"/>
      <c r="CA198" s="201"/>
      <c r="CB198" s="201"/>
      <c r="CC198" s="76"/>
      <c r="CD198" s="70"/>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c r="GA198" s="7"/>
      <c r="GB198" s="7"/>
      <c r="GC198" s="7"/>
      <c r="GD198" s="7"/>
      <c r="GE198" s="7"/>
      <c r="GF198" s="7"/>
      <c r="GG198" s="7"/>
      <c r="GH198" s="7"/>
      <c r="GI198" s="7"/>
      <c r="GJ198" s="7"/>
      <c r="GK198" s="7"/>
      <c r="GL198" s="7"/>
      <c r="GM198" s="7"/>
      <c r="GN198" s="7"/>
      <c r="GO198" s="7"/>
      <c r="GP198" s="7"/>
      <c r="GQ198" s="7"/>
      <c r="GR198" s="7"/>
      <c r="GS198" s="7"/>
      <c r="GT198" s="7"/>
      <c r="GU198" s="7"/>
      <c r="GV198" s="7"/>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c r="HU198" s="8"/>
      <c r="HV198" s="8"/>
      <c r="HW198" s="8"/>
      <c r="HX198" s="8"/>
      <c r="HY198" s="8"/>
      <c r="HZ198" s="8"/>
      <c r="IA198" s="8"/>
      <c r="IB198" s="8"/>
      <c r="IC198" s="8"/>
      <c r="ID198" s="8"/>
      <c r="IE198" s="8"/>
      <c r="IF198" s="8"/>
      <c r="IG198" s="8"/>
      <c r="IH198" s="8"/>
      <c r="II198" s="8"/>
      <c r="IJ198" s="8"/>
      <c r="IK198" s="8"/>
      <c r="IL198" s="8"/>
    </row>
    <row r="199" spans="1:246" s="53" customFormat="1" ht="15" x14ac:dyDescent="0.25">
      <c r="A199" s="4"/>
      <c r="B199" s="3"/>
      <c r="C199" s="46"/>
      <c r="D199" s="45"/>
      <c r="E199" s="46"/>
      <c r="F199" s="80"/>
      <c r="G199" s="80"/>
      <c r="H199" s="80"/>
      <c r="I199" s="51"/>
      <c r="J199" s="51"/>
      <c r="K199" s="6"/>
      <c r="L199" s="52"/>
      <c r="M199" s="5"/>
      <c r="N199" s="3"/>
      <c r="O199" s="3"/>
      <c r="P199" s="5"/>
      <c r="Q199" s="5"/>
      <c r="R199" s="5"/>
      <c r="S199" s="5"/>
      <c r="T199" s="3"/>
      <c r="U199" s="3"/>
      <c r="V199" s="5"/>
      <c r="W199" s="5"/>
      <c r="X199" s="5"/>
      <c r="Y199" s="5"/>
      <c r="Z199" s="6"/>
      <c r="AA199" s="6"/>
      <c r="AB199" s="5"/>
      <c r="AC199" s="5"/>
      <c r="AD199" s="5"/>
      <c r="AE199" s="5"/>
      <c r="AF199" s="5"/>
      <c r="AG199" s="5"/>
      <c r="AH199" s="7"/>
      <c r="AI199" s="7"/>
      <c r="AJ199" s="7"/>
      <c r="AK199" s="7"/>
      <c r="AL199" s="7"/>
      <c r="AM199" s="7"/>
      <c r="AN199" s="7"/>
      <c r="AO199" s="7"/>
      <c r="AT199" s="6"/>
      <c r="AU199" s="5"/>
      <c r="AV199" s="54"/>
      <c r="AW199" s="55"/>
      <c r="AX199" s="55"/>
      <c r="AY199" s="55"/>
      <c r="AZ199" s="55"/>
      <c r="BA199" s="55"/>
      <c r="BB199" s="55"/>
      <c r="BC199" s="55"/>
      <c r="BD199" s="55"/>
      <c r="BE199" s="55"/>
      <c r="BF199" s="55"/>
      <c r="BG199" s="56"/>
      <c r="BH199" s="56"/>
      <c r="BL199" s="74"/>
      <c r="BM199" s="75"/>
      <c r="BN199" s="201"/>
      <c r="BO199" s="201"/>
      <c r="BP199" s="201"/>
      <c r="BQ199" s="201"/>
      <c r="BR199" s="201"/>
      <c r="BS199" s="201"/>
      <c r="BT199" s="201"/>
      <c r="BU199" s="201"/>
      <c r="BV199" s="201"/>
      <c r="BW199" s="201"/>
      <c r="BX199" s="201"/>
      <c r="BY199" s="201"/>
      <c r="BZ199" s="201"/>
      <c r="CA199" s="201"/>
      <c r="CB199" s="201"/>
      <c r="CC199" s="76"/>
      <c r="CD199" s="70"/>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c r="GA199" s="7"/>
      <c r="GB199" s="7"/>
      <c r="GC199" s="7"/>
      <c r="GD199" s="7"/>
      <c r="GE199" s="7"/>
      <c r="GF199" s="7"/>
      <c r="GG199" s="7"/>
      <c r="GH199" s="7"/>
      <c r="GI199" s="7"/>
      <c r="GJ199" s="7"/>
      <c r="GK199" s="7"/>
      <c r="GL199" s="7"/>
      <c r="GM199" s="7"/>
      <c r="GN199" s="7"/>
      <c r="GO199" s="7"/>
      <c r="GP199" s="7"/>
      <c r="GQ199" s="7"/>
      <c r="GR199" s="7"/>
      <c r="GS199" s="7"/>
      <c r="GT199" s="7"/>
      <c r="GU199" s="7"/>
      <c r="GV199" s="7"/>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c r="HX199" s="8"/>
      <c r="HY199" s="8"/>
      <c r="HZ199" s="8"/>
      <c r="IA199" s="8"/>
      <c r="IB199" s="8"/>
      <c r="IC199" s="8"/>
      <c r="ID199" s="8"/>
      <c r="IE199" s="8"/>
      <c r="IF199" s="8"/>
      <c r="IG199" s="8"/>
      <c r="IH199" s="8"/>
      <c r="II199" s="8"/>
      <c r="IJ199" s="8"/>
      <c r="IK199" s="8"/>
      <c r="IL199" s="8"/>
    </row>
    <row r="200" spans="1:246" s="7" customFormat="1" ht="15" x14ac:dyDescent="0.25">
      <c r="A200" s="4"/>
      <c r="B200" s="3"/>
      <c r="C200" s="46"/>
      <c r="D200" s="45"/>
      <c r="E200" s="46"/>
      <c r="F200" s="80"/>
      <c r="G200" s="80"/>
      <c r="H200" s="80"/>
      <c r="I200" s="51"/>
      <c r="J200" s="51"/>
      <c r="K200" s="6"/>
      <c r="L200" s="52"/>
      <c r="M200" s="5"/>
      <c r="N200" s="3"/>
      <c r="O200" s="3"/>
      <c r="P200" s="5"/>
      <c r="Q200" s="5"/>
      <c r="R200" s="5"/>
      <c r="S200" s="5"/>
      <c r="T200" s="3"/>
      <c r="U200" s="3"/>
      <c r="V200" s="5"/>
      <c r="W200" s="5"/>
      <c r="X200" s="5"/>
      <c r="Y200" s="5"/>
      <c r="Z200" s="6"/>
      <c r="AA200" s="6"/>
      <c r="AB200" s="5"/>
      <c r="AC200" s="5"/>
      <c r="AD200" s="5"/>
      <c r="AE200" s="5"/>
      <c r="AF200" s="5"/>
      <c r="AG200" s="5"/>
      <c r="AP200" s="53"/>
      <c r="AQ200" s="53"/>
      <c r="AR200" s="53"/>
      <c r="AS200" s="53"/>
      <c r="AT200" s="6"/>
      <c r="AU200" s="5"/>
      <c r="AV200" s="54"/>
      <c r="AW200" s="55"/>
      <c r="AX200" s="55"/>
      <c r="AY200" s="55"/>
      <c r="AZ200" s="55"/>
      <c r="BA200" s="55"/>
      <c r="BB200" s="55"/>
      <c r="BC200" s="55"/>
      <c r="BD200" s="55"/>
      <c r="BE200" s="55"/>
      <c r="BF200" s="55"/>
      <c r="BG200" s="56"/>
      <c r="BH200" s="56"/>
      <c r="BI200" s="53"/>
      <c r="BJ200" s="53"/>
      <c r="BK200" s="53"/>
      <c r="BL200" s="74"/>
      <c r="BM200" s="75"/>
      <c r="BN200" s="201"/>
      <c r="BO200" s="201"/>
      <c r="BP200" s="201"/>
      <c r="BQ200" s="201"/>
      <c r="BR200" s="201"/>
      <c r="BS200" s="201"/>
      <c r="BT200" s="201"/>
      <c r="BU200" s="201"/>
      <c r="BV200" s="201"/>
      <c r="BW200" s="201"/>
      <c r="BX200" s="201"/>
      <c r="BY200" s="201"/>
      <c r="BZ200" s="201"/>
      <c r="CA200" s="201"/>
      <c r="CB200" s="201"/>
      <c r="CC200" s="76"/>
      <c r="CD200" s="70"/>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c r="HX200" s="8"/>
      <c r="HY200" s="8"/>
      <c r="HZ200" s="8"/>
      <c r="IA200" s="8"/>
      <c r="IB200" s="8"/>
      <c r="IC200" s="8"/>
      <c r="ID200" s="8"/>
      <c r="IE200" s="8"/>
      <c r="IF200" s="8"/>
      <c r="IG200" s="8"/>
      <c r="IH200" s="8"/>
      <c r="II200" s="8"/>
      <c r="IJ200" s="8"/>
      <c r="IK200" s="8"/>
      <c r="IL200" s="8"/>
    </row>
    <row r="201" spans="1:246" s="7" customFormat="1" ht="15" x14ac:dyDescent="0.25">
      <c r="A201" s="4"/>
      <c r="B201" s="3"/>
      <c r="C201" s="5"/>
      <c r="D201" s="45"/>
      <c r="E201" s="46"/>
      <c r="F201" s="80"/>
      <c r="G201" s="80"/>
      <c r="H201" s="80"/>
      <c r="I201" s="51"/>
      <c r="J201" s="51"/>
      <c r="K201" s="6"/>
      <c r="L201" s="52"/>
      <c r="M201" s="5"/>
      <c r="N201" s="3"/>
      <c r="O201" s="3"/>
      <c r="P201" s="5"/>
      <c r="Q201" s="5"/>
      <c r="R201" s="5"/>
      <c r="S201" s="5"/>
      <c r="T201" s="3"/>
      <c r="U201" s="3"/>
      <c r="V201" s="5"/>
      <c r="W201" s="5"/>
      <c r="X201" s="5"/>
      <c r="Y201" s="5"/>
      <c r="Z201" s="6"/>
      <c r="AA201" s="6"/>
      <c r="AB201" s="5"/>
      <c r="AC201" s="5"/>
      <c r="AD201" s="5"/>
      <c r="AE201" s="5"/>
      <c r="AF201" s="5"/>
      <c r="AG201" s="5"/>
      <c r="AP201" s="53"/>
      <c r="AQ201" s="53"/>
      <c r="AR201" s="53"/>
      <c r="AS201" s="53"/>
      <c r="AT201" s="6"/>
      <c r="AU201" s="5"/>
      <c r="AV201" s="54"/>
      <c r="AW201" s="55"/>
      <c r="AX201" s="55"/>
      <c r="AY201" s="55"/>
      <c r="AZ201" s="55"/>
      <c r="BA201" s="55"/>
      <c r="BB201" s="55"/>
      <c r="BC201" s="55"/>
      <c r="BD201" s="55"/>
      <c r="BE201" s="55"/>
      <c r="BF201" s="55"/>
      <c r="BG201" s="56"/>
      <c r="BH201" s="56"/>
      <c r="BI201" s="53"/>
      <c r="BJ201" s="53"/>
      <c r="BK201" s="53"/>
      <c r="BL201" s="74"/>
      <c r="BM201" s="75"/>
      <c r="BN201" s="201"/>
      <c r="BO201" s="201"/>
      <c r="BP201" s="201"/>
      <c r="BQ201" s="201"/>
      <c r="BR201" s="201"/>
      <c r="BS201" s="201"/>
      <c r="BT201" s="201"/>
      <c r="BU201" s="201"/>
      <c r="BV201" s="201"/>
      <c r="BW201" s="201"/>
      <c r="BX201" s="201"/>
      <c r="BY201" s="201"/>
      <c r="BZ201" s="201"/>
      <c r="CA201" s="201"/>
      <c r="CB201" s="201"/>
      <c r="CC201" s="76"/>
      <c r="CD201" s="70"/>
      <c r="GW201" s="8"/>
      <c r="GX201" s="8"/>
      <c r="GY201" s="8"/>
      <c r="GZ201" s="8"/>
      <c r="HA201" s="8"/>
      <c r="HB201" s="8"/>
      <c r="HC201" s="8"/>
      <c r="HD201" s="8"/>
      <c r="HE201" s="8"/>
      <c r="HF201" s="8"/>
      <c r="HG201" s="8"/>
      <c r="HH201" s="8"/>
      <c r="HI201" s="8"/>
      <c r="HJ201" s="8"/>
      <c r="HK201" s="8"/>
      <c r="HL201" s="8"/>
      <c r="HM201" s="8"/>
      <c r="HN201" s="8"/>
      <c r="HO201" s="8"/>
      <c r="HP201" s="8"/>
      <c r="HQ201" s="8"/>
      <c r="HR201" s="8"/>
      <c r="HS201" s="8"/>
      <c r="HT201" s="8"/>
      <c r="HU201" s="8"/>
      <c r="HV201" s="8"/>
      <c r="HW201" s="8"/>
      <c r="HX201" s="8"/>
      <c r="HY201" s="8"/>
      <c r="HZ201" s="8"/>
      <c r="IA201" s="8"/>
      <c r="IB201" s="8"/>
      <c r="IC201" s="8"/>
      <c r="ID201" s="8"/>
      <c r="IE201" s="8"/>
      <c r="IF201" s="8"/>
      <c r="IG201" s="8"/>
      <c r="IH201" s="8"/>
      <c r="II201" s="8"/>
      <c r="IJ201" s="8"/>
      <c r="IK201" s="8"/>
      <c r="IL201" s="8"/>
    </row>
    <row r="202" spans="1:246" s="7" customFormat="1" ht="15" x14ac:dyDescent="0.25">
      <c r="A202" s="4"/>
      <c r="B202" s="3"/>
      <c r="C202" s="5"/>
      <c r="D202" s="45"/>
      <c r="E202" s="46"/>
      <c r="F202" s="80"/>
      <c r="G202" s="80"/>
      <c r="H202" s="80"/>
      <c r="I202" s="51"/>
      <c r="J202" s="51"/>
      <c r="K202" s="6"/>
      <c r="L202" s="52"/>
      <c r="M202" s="5"/>
      <c r="N202" s="3"/>
      <c r="O202" s="3"/>
      <c r="P202" s="5"/>
      <c r="Q202" s="5"/>
      <c r="R202" s="5"/>
      <c r="S202" s="5"/>
      <c r="T202" s="3"/>
      <c r="U202" s="3"/>
      <c r="V202" s="5"/>
      <c r="W202" s="5"/>
      <c r="X202" s="5"/>
      <c r="Y202" s="5"/>
      <c r="Z202" s="6"/>
      <c r="AA202" s="6"/>
      <c r="AB202" s="5"/>
      <c r="AC202" s="5"/>
      <c r="AD202" s="5"/>
      <c r="AE202" s="5"/>
      <c r="AF202" s="5"/>
      <c r="AG202" s="5"/>
      <c r="AP202" s="53"/>
      <c r="AQ202" s="53"/>
      <c r="AR202" s="53"/>
      <c r="AS202" s="53"/>
      <c r="AT202" s="6"/>
      <c r="AU202" s="5"/>
      <c r="AV202" s="54"/>
      <c r="AW202" s="55"/>
      <c r="AX202" s="55"/>
      <c r="AY202" s="55"/>
      <c r="AZ202" s="55"/>
      <c r="BA202" s="55"/>
      <c r="BB202" s="55"/>
      <c r="BC202" s="55"/>
      <c r="BD202" s="55"/>
      <c r="BE202" s="55"/>
      <c r="BF202" s="55"/>
      <c r="BG202" s="56"/>
      <c r="BH202" s="56"/>
      <c r="BI202" s="53"/>
      <c r="BJ202" s="53"/>
      <c r="BK202" s="53"/>
      <c r="BL202" s="205"/>
      <c r="BM202" s="205"/>
      <c r="BN202" s="205"/>
      <c r="BO202" s="205"/>
      <c r="BP202" s="205"/>
      <c r="BQ202" s="205"/>
      <c r="BR202" s="205"/>
      <c r="BS202" s="205"/>
      <c r="BT202" s="205"/>
      <c r="BU202" s="205"/>
      <c r="BV202" s="205"/>
      <c r="BW202" s="205"/>
      <c r="BX202" s="205"/>
      <c r="BY202" s="205"/>
      <c r="BZ202" s="205"/>
      <c r="CA202" s="205"/>
      <c r="CB202" s="206"/>
      <c r="CC202" s="206"/>
      <c r="CD202" s="70"/>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c r="HU202" s="8"/>
      <c r="HV202" s="8"/>
      <c r="HW202" s="8"/>
      <c r="HX202" s="8"/>
      <c r="HY202" s="8"/>
      <c r="HZ202" s="8"/>
      <c r="IA202" s="8"/>
      <c r="IB202" s="8"/>
      <c r="IC202" s="8"/>
      <c r="ID202" s="8"/>
      <c r="IE202" s="8"/>
      <c r="IF202" s="8"/>
      <c r="IG202" s="8"/>
      <c r="IH202" s="8"/>
      <c r="II202" s="8"/>
      <c r="IJ202" s="8"/>
      <c r="IK202" s="8"/>
      <c r="IL202" s="8"/>
    </row>
    <row r="203" spans="1:246" x14ac:dyDescent="0.25">
      <c r="BL203" s="207"/>
      <c r="BM203" s="75"/>
      <c r="BN203" s="208"/>
      <c r="BO203" s="208"/>
      <c r="BP203" s="208"/>
      <c r="BQ203" s="208"/>
      <c r="BR203" s="208"/>
      <c r="BS203" s="208"/>
      <c r="BT203" s="208"/>
      <c r="BU203" s="208"/>
      <c r="BV203" s="208"/>
      <c r="BW203" s="208"/>
      <c r="BX203" s="208"/>
      <c r="BY203" s="208"/>
      <c r="BZ203" s="208"/>
      <c r="CA203" s="208"/>
      <c r="CB203" s="206"/>
      <c r="CC203" s="206"/>
      <c r="CD203" s="70"/>
    </row>
    <row r="204" spans="1:246" x14ac:dyDescent="0.25">
      <c r="BL204" s="207"/>
      <c r="BM204" s="209"/>
      <c r="BN204" s="209"/>
      <c r="BO204" s="208"/>
      <c r="BP204" s="208"/>
      <c r="BQ204" s="208"/>
      <c r="BR204" s="208"/>
      <c r="BS204" s="208"/>
      <c r="BT204" s="208"/>
      <c r="BU204" s="208"/>
      <c r="BV204" s="208"/>
      <c r="BW204" s="208"/>
      <c r="BX204" s="208"/>
      <c r="BY204" s="208"/>
      <c r="BZ204" s="208"/>
      <c r="CA204" s="205"/>
      <c r="CB204" s="206"/>
      <c r="CC204" s="206"/>
      <c r="CD204" s="70"/>
    </row>
    <row r="205" spans="1:246" x14ac:dyDescent="0.25">
      <c r="BL205" s="210"/>
      <c r="BM205" s="211"/>
      <c r="BN205" s="212"/>
      <c r="BO205" s="211"/>
      <c r="BP205" s="211"/>
      <c r="BQ205" s="211"/>
      <c r="BR205" s="211"/>
      <c r="BS205" s="211"/>
      <c r="BT205" s="211"/>
      <c r="BU205" s="211"/>
      <c r="BV205" s="211"/>
      <c r="BW205" s="211"/>
      <c r="BX205" s="211"/>
      <c r="BY205" s="213"/>
      <c r="BZ205" s="213"/>
      <c r="CA205" s="214"/>
      <c r="CB205" s="213"/>
      <c r="CC205" s="213"/>
      <c r="CD205" s="70"/>
    </row>
    <row r="206" spans="1:246" x14ac:dyDescent="0.25">
      <c r="BL206" s="210"/>
      <c r="BM206" s="210"/>
      <c r="BN206" s="215"/>
      <c r="BO206" s="216"/>
      <c r="BP206" s="216"/>
      <c r="BQ206" s="216"/>
      <c r="BR206" s="216"/>
      <c r="BS206" s="211"/>
      <c r="BT206" s="217"/>
      <c r="BU206" s="211"/>
      <c r="BV206" s="211"/>
      <c r="BW206" s="208"/>
      <c r="BX206" s="211"/>
      <c r="BY206" s="213"/>
      <c r="BZ206" s="213"/>
      <c r="CA206" s="213"/>
      <c r="CB206" s="213"/>
      <c r="CC206" s="213"/>
      <c r="CD206" s="70"/>
    </row>
    <row r="207" spans="1:246" ht="15" x14ac:dyDescent="0.25">
      <c r="BL207" s="210"/>
      <c r="BM207" s="218"/>
      <c r="BN207" s="219"/>
      <c r="BO207" s="211"/>
      <c r="BP207" s="211"/>
      <c r="BQ207" s="211"/>
      <c r="BR207" s="211"/>
      <c r="BS207" s="211"/>
      <c r="BT207" s="211"/>
      <c r="BU207" s="208"/>
      <c r="BV207" s="211"/>
      <c r="BW207" s="220"/>
      <c r="BX207" s="211"/>
      <c r="BY207" s="213"/>
      <c r="BZ207" s="213"/>
      <c r="CA207" s="213"/>
      <c r="CB207" s="213"/>
      <c r="CC207" s="213"/>
      <c r="CD207" s="70"/>
    </row>
    <row r="208" spans="1:246" ht="15" x14ac:dyDescent="0.25">
      <c r="BL208" s="210"/>
      <c r="BM208" s="218"/>
      <c r="BN208" s="219"/>
      <c r="BO208" s="211"/>
      <c r="BP208" s="211"/>
      <c r="BQ208" s="211"/>
      <c r="BR208" s="211"/>
      <c r="BS208" s="211"/>
      <c r="BT208" s="211"/>
      <c r="BU208" s="221"/>
      <c r="BV208" s="211"/>
      <c r="BW208" s="212"/>
      <c r="BX208" s="211"/>
      <c r="BY208" s="213"/>
      <c r="BZ208" s="213"/>
      <c r="CA208" s="213"/>
      <c r="CB208" s="213"/>
      <c r="CC208" s="213"/>
      <c r="CD208" s="70"/>
    </row>
    <row r="209" spans="1:246" x14ac:dyDescent="0.25">
      <c r="BL209" s="210"/>
      <c r="BM209" s="218"/>
      <c r="BN209" s="219"/>
      <c r="BO209" s="211"/>
      <c r="BP209" s="211"/>
      <c r="BQ209" s="211"/>
      <c r="BR209" s="211"/>
      <c r="BS209" s="211"/>
      <c r="BT209" s="211"/>
      <c r="BU209" s="222"/>
      <c r="BV209" s="211"/>
      <c r="BW209" s="211"/>
      <c r="BX209" s="211"/>
      <c r="BY209" s="213"/>
      <c r="BZ209" s="213"/>
      <c r="CA209" s="213"/>
      <c r="CB209" s="213"/>
      <c r="CC209" s="213"/>
      <c r="CD209" s="70"/>
    </row>
    <row r="210" spans="1:246" x14ac:dyDescent="0.25">
      <c r="BV210" s="223"/>
    </row>
    <row r="215" spans="1:246" s="7" customFormat="1" x14ac:dyDescent="0.25">
      <c r="A215" s="4"/>
      <c r="B215" s="3"/>
      <c r="C215" s="5"/>
      <c r="D215" s="3"/>
      <c r="E215" s="5"/>
      <c r="F215" s="51"/>
      <c r="G215" s="51"/>
      <c r="H215" s="51"/>
      <c r="I215" s="51"/>
      <c r="J215" s="51"/>
      <c r="K215" s="6"/>
      <c r="L215" s="52"/>
      <c r="M215" s="5"/>
      <c r="N215" s="3"/>
      <c r="O215" s="3"/>
      <c r="P215" s="5"/>
      <c r="Q215" s="5"/>
      <c r="R215" s="5"/>
      <c r="S215" s="5"/>
      <c r="T215" s="3"/>
      <c r="U215" s="3"/>
      <c r="V215" s="5"/>
      <c r="W215" s="5"/>
      <c r="X215" s="5"/>
      <c r="Y215" s="5"/>
      <c r="Z215" s="6"/>
      <c r="AA215" s="6"/>
      <c r="AB215" s="5"/>
      <c r="AC215" s="5"/>
      <c r="AD215" s="5"/>
      <c r="AE215" s="5"/>
      <c r="AF215" s="5"/>
      <c r="AG215" s="5"/>
      <c r="AP215" s="53"/>
      <c r="AQ215" s="53"/>
      <c r="AR215" s="53"/>
      <c r="AS215" s="53"/>
      <c r="AT215" s="6"/>
      <c r="AU215" s="5"/>
      <c r="AV215" s="54"/>
      <c r="AW215" s="55"/>
      <c r="AX215" s="55"/>
      <c r="AY215" s="55"/>
      <c r="AZ215" s="55"/>
      <c r="BA215" s="55"/>
      <c r="BB215" s="55"/>
      <c r="BC215" s="55"/>
      <c r="BD215" s="55"/>
      <c r="BE215" s="55"/>
      <c r="BF215" s="55"/>
      <c r="BG215" s="56"/>
      <c r="BH215" s="56"/>
      <c r="BI215" s="53"/>
      <c r="BJ215" s="53"/>
      <c r="BK215" s="53"/>
      <c r="BL215" s="57"/>
      <c r="BM215" s="58"/>
      <c r="BN215" s="58"/>
      <c r="BO215" s="58"/>
      <c r="BP215" s="58"/>
      <c r="BQ215" s="58"/>
      <c r="BR215" s="58"/>
      <c r="BS215" s="58"/>
      <c r="BT215" s="58"/>
      <c r="BU215" s="58"/>
      <c r="BV215" s="58"/>
      <c r="BW215" s="58"/>
      <c r="BX215" s="58"/>
      <c r="BY215" s="59"/>
      <c r="BZ215" s="59"/>
      <c r="CA215" s="59"/>
      <c r="CB215" s="59"/>
      <c r="CC215" s="59"/>
      <c r="GW215" s="8"/>
      <c r="GX215" s="8"/>
      <c r="GY215" s="8"/>
      <c r="GZ215" s="8"/>
      <c r="HA215" s="8"/>
      <c r="HB215" s="8"/>
      <c r="HC215" s="8"/>
      <c r="HD215" s="8"/>
      <c r="HE215" s="8"/>
      <c r="HF215" s="8"/>
      <c r="HG215" s="8"/>
      <c r="HH215" s="8"/>
      <c r="HI215" s="8"/>
      <c r="HJ215" s="8"/>
      <c r="HK215" s="8"/>
      <c r="HL215" s="8"/>
      <c r="HM215" s="8"/>
      <c r="HN215" s="8"/>
      <c r="HO215" s="8"/>
      <c r="HP215" s="8"/>
      <c r="HQ215" s="8"/>
      <c r="HR215" s="8"/>
      <c r="HS215" s="8"/>
      <c r="HT215" s="8"/>
      <c r="HU215" s="8"/>
      <c r="HV215" s="8"/>
      <c r="HW215" s="8"/>
      <c r="HX215" s="8"/>
      <c r="HY215" s="8"/>
      <c r="HZ215" s="8"/>
      <c r="IA215" s="8"/>
      <c r="IB215" s="8"/>
      <c r="IC215" s="8"/>
      <c r="ID215" s="8"/>
      <c r="IE215" s="8"/>
      <c r="IF215" s="8"/>
      <c r="IG215" s="8"/>
      <c r="IH215" s="8"/>
      <c r="II215" s="8"/>
      <c r="IJ215" s="8"/>
      <c r="IK215" s="8"/>
      <c r="IL215" s="8"/>
    </row>
  </sheetData>
  <sheetProtection selectLockedCells="1" selectUnlockedCells="1"/>
  <autoFilter ref="A2:CC178"/>
  <mergeCells count="263">
    <mergeCell ref="CD1:CF1"/>
    <mergeCell ref="CG1:CU1"/>
    <mergeCell ref="F171:F173"/>
    <mergeCell ref="G171:G173"/>
    <mergeCell ref="H171:H173"/>
    <mergeCell ref="I171:I173"/>
    <mergeCell ref="J171:J173"/>
    <mergeCell ref="K171:K173"/>
    <mergeCell ref="F174:F176"/>
    <mergeCell ref="G174:G176"/>
    <mergeCell ref="H174:H176"/>
    <mergeCell ref="I174:I176"/>
    <mergeCell ref="J174:J176"/>
    <mergeCell ref="K174:K176"/>
    <mergeCell ref="F161:F167"/>
    <mergeCell ref="G161:G167"/>
    <mergeCell ref="H161:H167"/>
    <mergeCell ref="I161:I167"/>
    <mergeCell ref="J161:J167"/>
    <mergeCell ref="K161:K167"/>
    <mergeCell ref="F168:F170"/>
    <mergeCell ref="G168:G170"/>
    <mergeCell ref="H168:H170"/>
    <mergeCell ref="I168:I170"/>
    <mergeCell ref="J168:J170"/>
    <mergeCell ref="K168:K170"/>
    <mergeCell ref="F155:F157"/>
    <mergeCell ref="G155:G157"/>
    <mergeCell ref="H155:H157"/>
    <mergeCell ref="I155:I157"/>
    <mergeCell ref="J155:J157"/>
    <mergeCell ref="K155:K157"/>
    <mergeCell ref="F158:F160"/>
    <mergeCell ref="G158:G160"/>
    <mergeCell ref="H158:H160"/>
    <mergeCell ref="I158:I160"/>
    <mergeCell ref="J158:J160"/>
    <mergeCell ref="K158:K160"/>
    <mergeCell ref="F149:F151"/>
    <mergeCell ref="G149:G151"/>
    <mergeCell ref="H149:H151"/>
    <mergeCell ref="I149:I151"/>
    <mergeCell ref="J149:J151"/>
    <mergeCell ref="K149:K151"/>
    <mergeCell ref="F152:F154"/>
    <mergeCell ref="G152:G154"/>
    <mergeCell ref="H152:H154"/>
    <mergeCell ref="I152:I154"/>
    <mergeCell ref="J152:J154"/>
    <mergeCell ref="K152:K154"/>
    <mergeCell ref="F141:F145"/>
    <mergeCell ref="G141:G145"/>
    <mergeCell ref="H141:H145"/>
    <mergeCell ref="I141:I145"/>
    <mergeCell ref="J141:J145"/>
    <mergeCell ref="K141:K145"/>
    <mergeCell ref="F146:F148"/>
    <mergeCell ref="G146:G148"/>
    <mergeCell ref="H146:H148"/>
    <mergeCell ref="I146:I148"/>
    <mergeCell ref="J146:J148"/>
    <mergeCell ref="K146:K148"/>
    <mergeCell ref="F135:F137"/>
    <mergeCell ref="G135:G137"/>
    <mergeCell ref="H135:H137"/>
    <mergeCell ref="I135:I137"/>
    <mergeCell ref="J135:J137"/>
    <mergeCell ref="K135:K137"/>
    <mergeCell ref="F138:F140"/>
    <mergeCell ref="G138:G140"/>
    <mergeCell ref="H138:H140"/>
    <mergeCell ref="I138:I140"/>
    <mergeCell ref="J138:J140"/>
    <mergeCell ref="K138:K140"/>
    <mergeCell ref="F129:F131"/>
    <mergeCell ref="G129:G131"/>
    <mergeCell ref="H129:H131"/>
    <mergeCell ref="I129:I131"/>
    <mergeCell ref="J129:J131"/>
    <mergeCell ref="K129:K131"/>
    <mergeCell ref="F132:F134"/>
    <mergeCell ref="G132:G134"/>
    <mergeCell ref="H132:H134"/>
    <mergeCell ref="I132:I134"/>
    <mergeCell ref="J132:J134"/>
    <mergeCell ref="K132:K134"/>
    <mergeCell ref="F123:F125"/>
    <mergeCell ref="G123:G125"/>
    <mergeCell ref="H123:H125"/>
    <mergeCell ref="I123:I125"/>
    <mergeCell ref="J123:J125"/>
    <mergeCell ref="K123:K125"/>
    <mergeCell ref="F126:F128"/>
    <mergeCell ref="G126:G128"/>
    <mergeCell ref="H126:H128"/>
    <mergeCell ref="I126:I128"/>
    <mergeCell ref="J126:J128"/>
    <mergeCell ref="K126:K128"/>
    <mergeCell ref="F115:F117"/>
    <mergeCell ref="G115:G117"/>
    <mergeCell ref="H115:H117"/>
    <mergeCell ref="I115:I117"/>
    <mergeCell ref="J115:J117"/>
    <mergeCell ref="K115:K117"/>
    <mergeCell ref="F118:F122"/>
    <mergeCell ref="G118:G122"/>
    <mergeCell ref="H118:H122"/>
    <mergeCell ref="I118:I122"/>
    <mergeCell ref="J118:J122"/>
    <mergeCell ref="K118:K122"/>
    <mergeCell ref="F109:F111"/>
    <mergeCell ref="G109:G111"/>
    <mergeCell ref="H109:H111"/>
    <mergeCell ref="I109:I111"/>
    <mergeCell ref="J109:J111"/>
    <mergeCell ref="K109:K111"/>
    <mergeCell ref="F112:F114"/>
    <mergeCell ref="G112:G114"/>
    <mergeCell ref="H112:H114"/>
    <mergeCell ref="I112:I114"/>
    <mergeCell ref="J112:J114"/>
    <mergeCell ref="K112:K114"/>
    <mergeCell ref="F102:F105"/>
    <mergeCell ref="G102:G105"/>
    <mergeCell ref="H102:H105"/>
    <mergeCell ref="I102:I105"/>
    <mergeCell ref="J102:J105"/>
    <mergeCell ref="K102:K105"/>
    <mergeCell ref="F106:F108"/>
    <mergeCell ref="G106:G108"/>
    <mergeCell ref="H106:H108"/>
    <mergeCell ref="I106:I108"/>
    <mergeCell ref="J106:J108"/>
    <mergeCell ref="K106:K108"/>
    <mergeCell ref="F96:F98"/>
    <mergeCell ref="G96:G98"/>
    <mergeCell ref="H96:H98"/>
    <mergeCell ref="I96:I98"/>
    <mergeCell ref="J96:J98"/>
    <mergeCell ref="K96:K98"/>
    <mergeCell ref="F99:F101"/>
    <mergeCell ref="G99:G101"/>
    <mergeCell ref="H99:H101"/>
    <mergeCell ref="I99:I101"/>
    <mergeCell ref="J99:J101"/>
    <mergeCell ref="K99:K101"/>
    <mergeCell ref="F81:F88"/>
    <mergeCell ref="G81:G88"/>
    <mergeCell ref="H81:H88"/>
    <mergeCell ref="I81:I88"/>
    <mergeCell ref="J81:J88"/>
    <mergeCell ref="K81:K88"/>
    <mergeCell ref="F89:F95"/>
    <mergeCell ref="G89:G95"/>
    <mergeCell ref="H89:H95"/>
    <mergeCell ref="I89:I95"/>
    <mergeCell ref="J89:J95"/>
    <mergeCell ref="K89:K95"/>
    <mergeCell ref="F66:F68"/>
    <mergeCell ref="G66:G68"/>
    <mergeCell ref="H66:H68"/>
    <mergeCell ref="I66:I68"/>
    <mergeCell ref="J66:J68"/>
    <mergeCell ref="K66:K68"/>
    <mergeCell ref="F69:F80"/>
    <mergeCell ref="G69:G80"/>
    <mergeCell ref="H69:H80"/>
    <mergeCell ref="I69:I80"/>
    <mergeCell ref="J69:J80"/>
    <mergeCell ref="K69:K80"/>
    <mergeCell ref="F58:F62"/>
    <mergeCell ref="G58:G62"/>
    <mergeCell ref="H58:H62"/>
    <mergeCell ref="I58:I62"/>
    <mergeCell ref="J58:J62"/>
    <mergeCell ref="K58:K62"/>
    <mergeCell ref="F63:F65"/>
    <mergeCell ref="G63:G65"/>
    <mergeCell ref="H63:H65"/>
    <mergeCell ref="I63:I65"/>
    <mergeCell ref="J63:J65"/>
    <mergeCell ref="K63:K65"/>
    <mergeCell ref="F41:F51"/>
    <mergeCell ref="G41:G51"/>
    <mergeCell ref="H41:H51"/>
    <mergeCell ref="I41:I51"/>
    <mergeCell ref="J41:J51"/>
    <mergeCell ref="K41:K51"/>
    <mergeCell ref="F52:F57"/>
    <mergeCell ref="G52:G57"/>
    <mergeCell ref="H52:H57"/>
    <mergeCell ref="I52:I57"/>
    <mergeCell ref="J52:J57"/>
    <mergeCell ref="K52:K57"/>
    <mergeCell ref="F35:F37"/>
    <mergeCell ref="G35:G37"/>
    <mergeCell ref="H35:H37"/>
    <mergeCell ref="I35:I37"/>
    <mergeCell ref="J35:J37"/>
    <mergeCell ref="K35:K37"/>
    <mergeCell ref="F38:F40"/>
    <mergeCell ref="G38:G40"/>
    <mergeCell ref="H38:H40"/>
    <mergeCell ref="I38:I40"/>
    <mergeCell ref="J38:J40"/>
    <mergeCell ref="K38:K40"/>
    <mergeCell ref="F24:F31"/>
    <mergeCell ref="G24:G31"/>
    <mergeCell ref="H24:H31"/>
    <mergeCell ref="I24:I31"/>
    <mergeCell ref="J24:J31"/>
    <mergeCell ref="K24:K31"/>
    <mergeCell ref="F32:F34"/>
    <mergeCell ref="G32:G34"/>
    <mergeCell ref="H32:H34"/>
    <mergeCell ref="I32:I34"/>
    <mergeCell ref="J32:J34"/>
    <mergeCell ref="K32:K34"/>
    <mergeCell ref="F18:F20"/>
    <mergeCell ref="G18:G20"/>
    <mergeCell ref="H18:H20"/>
    <mergeCell ref="I18:I20"/>
    <mergeCell ref="J18:J20"/>
    <mergeCell ref="K18:K20"/>
    <mergeCell ref="F21:F23"/>
    <mergeCell ref="G21:G23"/>
    <mergeCell ref="H21:H23"/>
    <mergeCell ref="I21:I23"/>
    <mergeCell ref="J21:J23"/>
    <mergeCell ref="K21:K23"/>
    <mergeCell ref="I9:I14"/>
    <mergeCell ref="J9:J14"/>
    <mergeCell ref="AD1:AS1"/>
    <mergeCell ref="AT1:AV1"/>
    <mergeCell ref="AW1:BK1"/>
    <mergeCell ref="K6:K8"/>
    <mergeCell ref="BL1:BN1"/>
    <mergeCell ref="K9:K14"/>
    <mergeCell ref="F15:F17"/>
    <mergeCell ref="G15:G17"/>
    <mergeCell ref="H15:H17"/>
    <mergeCell ref="I15:I17"/>
    <mergeCell ref="J15:J17"/>
    <mergeCell ref="K15:K17"/>
    <mergeCell ref="F9:F14"/>
    <mergeCell ref="G9:G14"/>
    <mergeCell ref="H9:H14"/>
    <mergeCell ref="F6:F8"/>
    <mergeCell ref="G6:G8"/>
    <mergeCell ref="H6:H8"/>
    <mergeCell ref="I6:I8"/>
    <mergeCell ref="J6:J8"/>
    <mergeCell ref="F3:F5"/>
    <mergeCell ref="BO1:CC1"/>
    <mergeCell ref="G3:G5"/>
    <mergeCell ref="H3:H5"/>
    <mergeCell ref="I3:I5"/>
    <mergeCell ref="J3:J5"/>
    <mergeCell ref="K3:K5"/>
    <mergeCell ref="Z1:AC1"/>
    <mergeCell ref="A1:I1"/>
    <mergeCell ref="J1:K1"/>
    <mergeCell ref="L1:Y1"/>
  </mergeCells>
  <dataValidations disablePrompts="1" count="1">
    <dataValidation type="list" allowBlank="1" showErrorMessage="1" sqref="N154:O154">
      <formula1>#REF!</formula1>
      <formula2>0</formula2>
    </dataValidation>
  </dataValidations>
  <pageMargins left="0.4201388888888889" right="0.60972222222222228" top="0.64027777777777772" bottom="0.25" header="0.3" footer="0.51180555555555551"/>
  <pageSetup firstPageNumber="0" orientation="portrait" horizontalDpi="300" verticalDpi="300" r:id="rId1"/>
  <headerFooter alignWithMargins="0">
    <oddHeader>&amp;C&amp;"Calibri,Negrita"&amp;12FONDO DE DESARROLLO LOCAL SANTA FÉ</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39997558519241921"/>
  </sheetPr>
  <dimension ref="A1:IO246"/>
  <sheetViews>
    <sheetView zoomScaleNormal="100" workbookViewId="0">
      <selection activeCell="D33" sqref="D33"/>
    </sheetView>
  </sheetViews>
  <sheetFormatPr baseColWidth="10" defaultColWidth="7.140625" defaultRowHeight="15" x14ac:dyDescent="0.25"/>
  <cols>
    <col min="1" max="1" width="12.85546875" style="4" customWidth="1"/>
    <col min="2" max="2" width="21.42578125" style="3" customWidth="1"/>
    <col min="3" max="3" width="12.85546875" style="5" customWidth="1"/>
    <col min="4" max="4" width="21.42578125" style="3" customWidth="1"/>
    <col min="5" max="5" width="12.85546875" style="5" customWidth="1"/>
    <col min="6" max="8" width="12.85546875" style="51" customWidth="1"/>
    <col min="9" max="9" width="21.42578125" style="51" customWidth="1"/>
    <col min="10" max="11" width="21.42578125" style="6" customWidth="1"/>
    <col min="12" max="13" width="16.85546875" style="52" customWidth="1"/>
    <col min="14" max="14" width="16.85546875" style="5" customWidth="1"/>
    <col min="15" max="16" width="16.85546875" style="3" customWidth="1"/>
    <col min="17" max="20" width="16.85546875" style="5" customWidth="1"/>
    <col min="21" max="22" width="16.85546875" style="3" customWidth="1"/>
    <col min="23" max="26" width="16.85546875" style="5" customWidth="1"/>
    <col min="27" max="28" width="16.85546875" style="6" customWidth="1"/>
    <col min="29" max="29" width="16.85546875" style="5" customWidth="1"/>
    <col min="30" max="30" width="16.85546875" style="54" customWidth="1"/>
    <col min="31" max="40" width="16.85546875" style="55" customWidth="1"/>
    <col min="41" max="42" width="16.85546875" style="56" customWidth="1"/>
    <col min="43" max="45" width="16.85546875" style="53" customWidth="1"/>
    <col min="46" max="53" width="16.85546875" style="7" customWidth="1"/>
    <col min="54" max="54" width="16.85546875" style="83" customWidth="1"/>
    <col min="55" max="63" width="16.85546875" style="7" customWidth="1"/>
    <col min="64" max="64" width="16.85546875" style="436" customWidth="1"/>
    <col min="65" max="82" width="16.85546875" style="7" customWidth="1"/>
    <col min="83" max="186" width="7.140625" style="7"/>
    <col min="187" max="249" width="7.140625" style="84"/>
    <col min="250" max="16384" width="7.140625" style="8"/>
  </cols>
  <sheetData>
    <row r="1" spans="1:82" s="18" customFormat="1" ht="26.25" customHeight="1" x14ac:dyDescent="0.25">
      <c r="A1" s="615"/>
      <c r="B1" s="615"/>
      <c r="C1" s="615"/>
      <c r="D1" s="615"/>
      <c r="E1" s="615"/>
      <c r="F1" s="615"/>
      <c r="G1" s="615"/>
      <c r="H1" s="615"/>
      <c r="I1" s="615"/>
      <c r="J1" s="615"/>
      <c r="K1" s="615"/>
      <c r="L1" s="616"/>
      <c r="M1" s="616"/>
      <c r="N1" s="616"/>
      <c r="O1" s="616"/>
      <c r="P1" s="616"/>
      <c r="Q1" s="616"/>
      <c r="R1" s="616"/>
      <c r="S1" s="616"/>
      <c r="T1" s="616"/>
      <c r="U1" s="616"/>
      <c r="V1" s="616"/>
      <c r="W1" s="616"/>
      <c r="X1" s="616"/>
      <c r="Y1" s="616"/>
      <c r="Z1" s="616"/>
      <c r="AA1" s="610" t="s">
        <v>773</v>
      </c>
      <c r="AB1" s="610"/>
      <c r="AC1" s="610"/>
      <c r="AD1" s="610"/>
      <c r="AE1" s="611" t="s">
        <v>261</v>
      </c>
      <c r="AF1" s="611"/>
      <c r="AG1" s="611"/>
      <c r="AH1" s="611"/>
      <c r="AI1" s="611"/>
      <c r="AJ1" s="611"/>
      <c r="AK1" s="611"/>
      <c r="AL1" s="611"/>
      <c r="AM1" s="611"/>
      <c r="AN1" s="611"/>
      <c r="AO1" s="611"/>
      <c r="AP1" s="611"/>
      <c r="AQ1" s="611"/>
      <c r="AR1" s="611"/>
      <c r="AS1" s="611"/>
      <c r="AT1" s="611"/>
      <c r="AU1" s="612" t="s">
        <v>774</v>
      </c>
      <c r="AV1" s="612"/>
      <c r="AW1" s="612"/>
      <c r="AX1" s="613" t="s">
        <v>263</v>
      </c>
      <c r="AY1" s="613"/>
      <c r="AZ1" s="613"/>
      <c r="BA1" s="613"/>
      <c r="BB1" s="613"/>
      <c r="BC1" s="613"/>
      <c r="BD1" s="613"/>
      <c r="BE1" s="613"/>
      <c r="BF1" s="613"/>
      <c r="BG1" s="613"/>
      <c r="BH1" s="613"/>
      <c r="BI1" s="613"/>
      <c r="BJ1" s="613"/>
      <c r="BK1" s="613"/>
      <c r="BL1" s="613"/>
      <c r="BM1" s="581" t="s">
        <v>1917</v>
      </c>
      <c r="BN1" s="582"/>
      <c r="BO1" s="583"/>
      <c r="BP1" s="557" t="s">
        <v>1692</v>
      </c>
      <c r="BQ1" s="558"/>
      <c r="BR1" s="558"/>
      <c r="BS1" s="558"/>
      <c r="BT1" s="558"/>
      <c r="BU1" s="558"/>
      <c r="BV1" s="558"/>
      <c r="BW1" s="558"/>
      <c r="BX1" s="558"/>
      <c r="BY1" s="558"/>
      <c r="BZ1" s="558"/>
      <c r="CA1" s="558"/>
      <c r="CB1" s="558"/>
      <c r="CC1" s="558"/>
      <c r="CD1" s="558"/>
    </row>
    <row r="2" spans="1:82" s="18" customFormat="1" ht="60" customHeight="1" x14ac:dyDescent="0.25">
      <c r="A2" s="224" t="s">
        <v>14</v>
      </c>
      <c r="B2" s="224" t="s">
        <v>15</v>
      </c>
      <c r="C2" s="224" t="s">
        <v>18</v>
      </c>
      <c r="D2" s="224" t="s">
        <v>19</v>
      </c>
      <c r="E2" s="224" t="s">
        <v>20</v>
      </c>
      <c r="F2" s="224" t="s">
        <v>21</v>
      </c>
      <c r="G2" s="225" t="s">
        <v>22</v>
      </c>
      <c r="H2" s="224" t="s">
        <v>23</v>
      </c>
      <c r="I2" s="224" t="s">
        <v>24</v>
      </c>
      <c r="J2" s="389" t="s">
        <v>264</v>
      </c>
      <c r="K2" s="388" t="s">
        <v>265</v>
      </c>
      <c r="L2" s="387" t="s">
        <v>266</v>
      </c>
      <c r="M2" s="276" t="s">
        <v>775</v>
      </c>
      <c r="N2" s="387" t="s">
        <v>267</v>
      </c>
      <c r="O2" s="387" t="s">
        <v>268</v>
      </c>
      <c r="P2" s="149" t="s">
        <v>269</v>
      </c>
      <c r="Q2" s="149" t="s">
        <v>270</v>
      </c>
      <c r="R2" s="149" t="s">
        <v>271</v>
      </c>
      <c r="S2" s="149" t="s">
        <v>272</v>
      </c>
      <c r="T2" s="149" t="s">
        <v>273</v>
      </c>
      <c r="U2" s="149" t="s">
        <v>274</v>
      </c>
      <c r="V2" s="149" t="s">
        <v>275</v>
      </c>
      <c r="W2" s="149" t="s">
        <v>276</v>
      </c>
      <c r="X2" s="149" t="s">
        <v>277</v>
      </c>
      <c r="Y2" s="149" t="s">
        <v>278</v>
      </c>
      <c r="Z2" s="149" t="s">
        <v>279</v>
      </c>
      <c r="AA2" s="334" t="s">
        <v>300</v>
      </c>
      <c r="AB2" s="150" t="s">
        <v>281</v>
      </c>
      <c r="AC2" s="226" t="s">
        <v>301</v>
      </c>
      <c r="AD2" s="226" t="s">
        <v>302</v>
      </c>
      <c r="AE2" s="227" t="s">
        <v>284</v>
      </c>
      <c r="AF2" s="228" t="s">
        <v>285</v>
      </c>
      <c r="AG2" s="227" t="s">
        <v>286</v>
      </c>
      <c r="AH2" s="228" t="s">
        <v>287</v>
      </c>
      <c r="AI2" s="227" t="s">
        <v>288</v>
      </c>
      <c r="AJ2" s="228" t="s">
        <v>289</v>
      </c>
      <c r="AK2" s="227" t="s">
        <v>290</v>
      </c>
      <c r="AL2" s="228" t="s">
        <v>291</v>
      </c>
      <c r="AM2" s="227" t="s">
        <v>292</v>
      </c>
      <c r="AN2" s="228" t="s">
        <v>293</v>
      </c>
      <c r="AO2" s="227" t="s">
        <v>294</v>
      </c>
      <c r="AP2" s="228" t="s">
        <v>295</v>
      </c>
      <c r="AQ2" s="228" t="s">
        <v>776</v>
      </c>
      <c r="AR2" s="228" t="s">
        <v>297</v>
      </c>
      <c r="AS2" s="228" t="s">
        <v>298</v>
      </c>
      <c r="AT2" s="153" t="s">
        <v>299</v>
      </c>
      <c r="AU2" s="335" t="s">
        <v>303</v>
      </c>
      <c r="AV2" s="229" t="s">
        <v>304</v>
      </c>
      <c r="AW2" s="229" t="s">
        <v>305</v>
      </c>
      <c r="AX2" s="230" t="s">
        <v>284</v>
      </c>
      <c r="AY2" s="231" t="s">
        <v>285</v>
      </c>
      <c r="AZ2" s="230" t="s">
        <v>286</v>
      </c>
      <c r="BA2" s="231" t="s">
        <v>287</v>
      </c>
      <c r="BB2" s="230" t="s">
        <v>288</v>
      </c>
      <c r="BC2" s="231" t="s">
        <v>289</v>
      </c>
      <c r="BD2" s="230" t="s">
        <v>290</v>
      </c>
      <c r="BE2" s="231" t="s">
        <v>291</v>
      </c>
      <c r="BF2" s="230" t="s">
        <v>292</v>
      </c>
      <c r="BG2" s="231" t="s">
        <v>293</v>
      </c>
      <c r="BH2" s="230" t="s">
        <v>294</v>
      </c>
      <c r="BI2" s="231" t="s">
        <v>295</v>
      </c>
      <c r="BJ2" s="231" t="s">
        <v>306</v>
      </c>
      <c r="BK2" s="232" t="s">
        <v>297</v>
      </c>
      <c r="BL2" s="437" t="s">
        <v>298</v>
      </c>
      <c r="BM2" s="495" t="s">
        <v>1693</v>
      </c>
      <c r="BN2" s="496" t="s">
        <v>1694</v>
      </c>
      <c r="BO2" s="496" t="s">
        <v>1695</v>
      </c>
      <c r="BP2" s="497" t="s">
        <v>284</v>
      </c>
      <c r="BQ2" s="498" t="s">
        <v>285</v>
      </c>
      <c r="BR2" s="497" t="s">
        <v>286</v>
      </c>
      <c r="BS2" s="498" t="s">
        <v>287</v>
      </c>
      <c r="BT2" s="497" t="s">
        <v>288</v>
      </c>
      <c r="BU2" s="498" t="s">
        <v>289</v>
      </c>
      <c r="BV2" s="497" t="s">
        <v>290</v>
      </c>
      <c r="BW2" s="498" t="s">
        <v>291</v>
      </c>
      <c r="BX2" s="497" t="s">
        <v>292</v>
      </c>
      <c r="BY2" s="498" t="s">
        <v>293</v>
      </c>
      <c r="BZ2" s="497" t="s">
        <v>294</v>
      </c>
      <c r="CA2" s="498" t="s">
        <v>295</v>
      </c>
      <c r="CB2" s="498" t="s">
        <v>1696</v>
      </c>
      <c r="CC2" s="499" t="s">
        <v>297</v>
      </c>
      <c r="CD2" s="499" t="s">
        <v>298</v>
      </c>
    </row>
    <row r="3" spans="1:82" s="25" customFormat="1" x14ac:dyDescent="0.25">
      <c r="A3" s="364">
        <v>102</v>
      </c>
      <c r="B3" s="365" t="s">
        <v>42</v>
      </c>
      <c r="C3" s="364">
        <v>1147</v>
      </c>
      <c r="D3" s="365" t="s">
        <v>44</v>
      </c>
      <c r="E3" s="364">
        <v>2</v>
      </c>
      <c r="F3" s="607" t="s">
        <v>45</v>
      </c>
      <c r="G3" s="607">
        <v>30</v>
      </c>
      <c r="H3" s="607" t="s">
        <v>46</v>
      </c>
      <c r="I3" s="607" t="s">
        <v>47</v>
      </c>
      <c r="J3" s="614">
        <v>0</v>
      </c>
      <c r="K3" s="614">
        <v>0</v>
      </c>
      <c r="L3" s="164" t="s">
        <v>777</v>
      </c>
      <c r="M3" s="164" t="s">
        <v>1131</v>
      </c>
      <c r="N3" s="164" t="s">
        <v>48</v>
      </c>
      <c r="O3" s="233" t="s">
        <v>1286</v>
      </c>
      <c r="P3" s="164" t="s">
        <v>356</v>
      </c>
      <c r="Q3" s="233">
        <v>41915</v>
      </c>
      <c r="R3" s="233">
        <v>42076</v>
      </c>
      <c r="S3" s="234" t="s">
        <v>378</v>
      </c>
      <c r="T3" s="164" t="s">
        <v>778</v>
      </c>
      <c r="U3" s="234" t="s">
        <v>1287</v>
      </c>
      <c r="V3" s="164" t="s">
        <v>779</v>
      </c>
      <c r="W3" s="235">
        <v>800026452</v>
      </c>
      <c r="X3" s="234" t="s">
        <v>1288</v>
      </c>
      <c r="Y3" s="234" t="s">
        <v>808</v>
      </c>
      <c r="Z3" s="164"/>
      <c r="AA3" s="167">
        <v>725</v>
      </c>
      <c r="AB3" s="175"/>
      <c r="AC3" s="167">
        <v>833</v>
      </c>
      <c r="AD3" s="168">
        <v>74700000</v>
      </c>
      <c r="AE3" s="167"/>
      <c r="AF3" s="167"/>
      <c r="AG3" s="167"/>
      <c r="AH3" s="167"/>
      <c r="AI3" s="167">
        <v>0</v>
      </c>
      <c r="AJ3" s="167">
        <v>0</v>
      </c>
      <c r="AK3" s="167">
        <v>0</v>
      </c>
      <c r="AL3" s="167">
        <v>0</v>
      </c>
      <c r="AM3" s="167">
        <v>0</v>
      </c>
      <c r="AN3" s="167">
        <v>0</v>
      </c>
      <c r="AO3" s="167">
        <v>0</v>
      </c>
      <c r="AP3" s="167">
        <v>0</v>
      </c>
      <c r="AQ3" s="168">
        <f t="shared" ref="AQ3:AQ22" si="0">SUM(AE3:AP3)</f>
        <v>0</v>
      </c>
      <c r="AR3" s="168">
        <f t="shared" ref="AR3:AR22" si="1">+AD3-AQ3</f>
        <v>74700000</v>
      </c>
      <c r="AS3" s="169">
        <f t="shared" ref="AS3:AS22" si="2">+AQ3/AD3</f>
        <v>0</v>
      </c>
      <c r="AT3" s="236"/>
      <c r="AU3" s="346">
        <v>264</v>
      </c>
      <c r="AV3" s="346">
        <v>225</v>
      </c>
      <c r="AW3" s="349">
        <v>74700000</v>
      </c>
      <c r="AX3" s="345">
        <v>0</v>
      </c>
      <c r="AY3" s="345">
        <v>0</v>
      </c>
      <c r="AZ3" s="345">
        <v>0</v>
      </c>
      <c r="BA3" s="345"/>
      <c r="BB3" s="238"/>
      <c r="BC3" s="237"/>
      <c r="BD3" s="237"/>
      <c r="BE3" s="237"/>
      <c r="BF3" s="438"/>
      <c r="BG3" s="443"/>
      <c r="BH3" s="237">
        <v>74627392</v>
      </c>
      <c r="BI3" s="237"/>
      <c r="BJ3" s="344">
        <f t="shared" ref="BJ3:BJ66" si="3">SUM(AX3:BI3)</f>
        <v>74627392</v>
      </c>
      <c r="BK3" s="237">
        <f t="shared" ref="BK3:BK32" si="4">+AW3-BJ3</f>
        <v>72608</v>
      </c>
      <c r="BL3" s="435">
        <f t="shared" ref="BL3:BL25" si="5">+BJ3/AW3</f>
        <v>0.99902800535475234</v>
      </c>
      <c r="BM3" s="192"/>
      <c r="BN3" s="192"/>
      <c r="BO3" s="192"/>
      <c r="BP3" s="192"/>
      <c r="BQ3" s="192"/>
      <c r="BR3" s="192"/>
      <c r="BS3" s="192"/>
      <c r="BT3" s="192"/>
      <c r="BU3" s="192"/>
      <c r="BV3" s="192"/>
      <c r="BW3" s="192"/>
      <c r="BX3" s="192"/>
      <c r="BY3" s="192"/>
      <c r="BZ3" s="192"/>
      <c r="CA3" s="192"/>
      <c r="CB3" s="192"/>
      <c r="CC3" s="192"/>
      <c r="CD3" s="192"/>
    </row>
    <row r="4" spans="1:82" s="25" customFormat="1" x14ac:dyDescent="0.25">
      <c r="A4" s="364">
        <v>102</v>
      </c>
      <c r="B4" s="365" t="s">
        <v>42</v>
      </c>
      <c r="C4" s="364">
        <v>1147</v>
      </c>
      <c r="D4" s="365" t="s">
        <v>44</v>
      </c>
      <c r="E4" s="364">
        <v>2</v>
      </c>
      <c r="F4" s="607"/>
      <c r="G4" s="607"/>
      <c r="H4" s="607"/>
      <c r="I4" s="607"/>
      <c r="J4" s="614"/>
      <c r="K4" s="614"/>
      <c r="L4" s="164" t="s">
        <v>777</v>
      </c>
      <c r="M4" s="164" t="s">
        <v>1131</v>
      </c>
      <c r="N4" s="164" t="s">
        <v>48</v>
      </c>
      <c r="O4" s="233" t="s">
        <v>1286</v>
      </c>
      <c r="P4" s="164" t="s">
        <v>356</v>
      </c>
      <c r="Q4" s="233">
        <v>41915</v>
      </c>
      <c r="R4" s="233">
        <v>42087</v>
      </c>
      <c r="S4" s="234" t="s">
        <v>378</v>
      </c>
      <c r="T4" s="164" t="s">
        <v>780</v>
      </c>
      <c r="U4" s="234" t="s">
        <v>1287</v>
      </c>
      <c r="V4" s="164" t="s">
        <v>781</v>
      </c>
      <c r="W4" s="235">
        <v>830513276</v>
      </c>
      <c r="X4" s="234" t="s">
        <v>1288</v>
      </c>
      <c r="Y4" s="234" t="s">
        <v>1289</v>
      </c>
      <c r="Z4" s="164"/>
      <c r="AA4" s="167">
        <v>725</v>
      </c>
      <c r="AB4" s="175"/>
      <c r="AC4" s="167">
        <v>834</v>
      </c>
      <c r="AD4" s="168">
        <v>101619333</v>
      </c>
      <c r="AE4" s="167"/>
      <c r="AF4" s="167"/>
      <c r="AG4" s="167"/>
      <c r="AH4" s="167"/>
      <c r="AI4" s="167">
        <v>0</v>
      </c>
      <c r="AJ4" s="167">
        <v>0</v>
      </c>
      <c r="AK4" s="167">
        <v>0</v>
      </c>
      <c r="AL4" s="167">
        <v>0</v>
      </c>
      <c r="AM4" s="167">
        <v>0</v>
      </c>
      <c r="AN4" s="167">
        <v>0</v>
      </c>
      <c r="AO4" s="167">
        <v>0</v>
      </c>
      <c r="AP4" s="167">
        <v>0</v>
      </c>
      <c r="AQ4" s="168">
        <f t="shared" si="0"/>
        <v>0</v>
      </c>
      <c r="AR4" s="168">
        <f t="shared" si="1"/>
        <v>101619333</v>
      </c>
      <c r="AS4" s="169">
        <f t="shared" si="2"/>
        <v>0</v>
      </c>
      <c r="AT4" s="236"/>
      <c r="AU4" s="346">
        <v>265</v>
      </c>
      <c r="AV4" s="346">
        <v>226</v>
      </c>
      <c r="AW4" s="349">
        <v>101619333</v>
      </c>
      <c r="AX4" s="345">
        <v>0</v>
      </c>
      <c r="AY4" s="345">
        <v>0</v>
      </c>
      <c r="AZ4" s="345">
        <v>0</v>
      </c>
      <c r="BA4" s="351"/>
      <c r="BB4" s="238"/>
      <c r="BC4" s="237"/>
      <c r="BD4" s="237"/>
      <c r="BE4" s="237"/>
      <c r="BF4" s="438">
        <v>101427862</v>
      </c>
      <c r="BG4" s="443"/>
      <c r="BH4" s="237"/>
      <c r="BI4" s="237"/>
      <c r="BJ4" s="344">
        <f t="shared" si="3"/>
        <v>101427862</v>
      </c>
      <c r="BK4" s="237">
        <f t="shared" si="4"/>
        <v>191471</v>
      </c>
      <c r="BL4" s="435">
        <f t="shared" si="5"/>
        <v>0.99811580144892309</v>
      </c>
      <c r="BM4" s="192"/>
      <c r="BN4" s="192"/>
      <c r="BO4" s="192"/>
      <c r="BP4" s="192"/>
      <c r="BQ4" s="192"/>
      <c r="BR4" s="192"/>
      <c r="BS4" s="192"/>
      <c r="BT4" s="192"/>
      <c r="BU4" s="192"/>
      <c r="BV4" s="192"/>
      <c r="BW4" s="192"/>
      <c r="BX4" s="192"/>
      <c r="BY4" s="192"/>
      <c r="BZ4" s="192"/>
      <c r="CA4" s="192"/>
      <c r="CB4" s="192"/>
      <c r="CC4" s="192"/>
      <c r="CD4" s="192"/>
    </row>
    <row r="5" spans="1:82" s="25" customFormat="1" x14ac:dyDescent="0.25">
      <c r="A5" s="364">
        <v>102</v>
      </c>
      <c r="B5" s="365" t="s">
        <v>42</v>
      </c>
      <c r="C5" s="364">
        <v>1147</v>
      </c>
      <c r="D5" s="365" t="s">
        <v>44</v>
      </c>
      <c r="E5" s="364">
        <v>2</v>
      </c>
      <c r="F5" s="607"/>
      <c r="G5" s="607"/>
      <c r="H5" s="607"/>
      <c r="I5" s="607"/>
      <c r="J5" s="614"/>
      <c r="K5" s="614"/>
      <c r="L5" s="164"/>
      <c r="M5" s="164"/>
      <c r="N5" s="164"/>
      <c r="O5" s="164"/>
      <c r="P5" s="164"/>
      <c r="Q5" s="165"/>
      <c r="R5" s="233"/>
      <c r="S5" s="164"/>
      <c r="T5" s="164"/>
      <c r="U5" s="164"/>
      <c r="V5" s="164"/>
      <c r="W5" s="164"/>
      <c r="X5" s="164"/>
      <c r="Y5" s="234" t="s">
        <v>1289</v>
      </c>
      <c r="Z5" s="164"/>
      <c r="AA5" s="167"/>
      <c r="AB5" s="175"/>
      <c r="AC5" s="167"/>
      <c r="AD5" s="168"/>
      <c r="AE5" s="167"/>
      <c r="AF5" s="167"/>
      <c r="AG5" s="167"/>
      <c r="AH5" s="167"/>
      <c r="AI5" s="167">
        <v>0</v>
      </c>
      <c r="AJ5" s="167">
        <v>0</v>
      </c>
      <c r="AK5" s="167">
        <v>0</v>
      </c>
      <c r="AL5" s="167">
        <v>0</v>
      </c>
      <c r="AM5" s="167">
        <v>0</v>
      </c>
      <c r="AN5" s="167">
        <v>0</v>
      </c>
      <c r="AO5" s="167">
        <v>0</v>
      </c>
      <c r="AP5" s="167">
        <v>0</v>
      </c>
      <c r="AQ5" s="168">
        <f t="shared" si="0"/>
        <v>0</v>
      </c>
      <c r="AR5" s="168">
        <f t="shared" si="1"/>
        <v>0</v>
      </c>
      <c r="AS5" s="169" t="e">
        <f t="shared" si="2"/>
        <v>#DIV/0!</v>
      </c>
      <c r="AT5" s="236"/>
      <c r="AU5" s="346"/>
      <c r="AV5" s="346"/>
      <c r="AW5" s="349"/>
      <c r="AX5" s="345"/>
      <c r="AY5" s="345"/>
      <c r="AZ5" s="345"/>
      <c r="BA5" s="349"/>
      <c r="BB5" s="238"/>
      <c r="BC5" s="237"/>
      <c r="BD5" s="237"/>
      <c r="BE5" s="237"/>
      <c r="BF5" s="438"/>
      <c r="BG5" s="443"/>
      <c r="BH5" s="237"/>
      <c r="BI5" s="237"/>
      <c r="BJ5" s="344">
        <f t="shared" si="3"/>
        <v>0</v>
      </c>
      <c r="BK5" s="237">
        <f t="shared" si="4"/>
        <v>0</v>
      </c>
      <c r="BL5" s="435" t="e">
        <f t="shared" si="5"/>
        <v>#DIV/0!</v>
      </c>
      <c r="BM5" s="192"/>
      <c r="BN5" s="192"/>
      <c r="BO5" s="192"/>
      <c r="BP5" s="192"/>
      <c r="BQ5" s="192"/>
      <c r="BR5" s="192"/>
      <c r="BS5" s="192"/>
      <c r="BT5" s="192"/>
      <c r="BU5" s="192"/>
      <c r="BV5" s="192"/>
      <c r="BW5" s="192"/>
      <c r="BX5" s="192"/>
      <c r="BY5" s="192"/>
      <c r="BZ5" s="192"/>
      <c r="CA5" s="192"/>
      <c r="CB5" s="192"/>
      <c r="CC5" s="192"/>
      <c r="CD5" s="192"/>
    </row>
    <row r="6" spans="1:82" s="25" customFormat="1" x14ac:dyDescent="0.25">
      <c r="A6" s="364">
        <v>103</v>
      </c>
      <c r="B6" s="365" t="s">
        <v>51</v>
      </c>
      <c r="C6" s="364">
        <v>1147</v>
      </c>
      <c r="D6" s="365" t="s">
        <v>44</v>
      </c>
      <c r="E6" s="364">
        <v>1</v>
      </c>
      <c r="F6" s="607" t="s">
        <v>53</v>
      </c>
      <c r="G6" s="607">
        <v>2000</v>
      </c>
      <c r="H6" s="607" t="s">
        <v>54</v>
      </c>
      <c r="I6" s="607" t="s">
        <v>55</v>
      </c>
      <c r="J6" s="614">
        <v>0</v>
      </c>
      <c r="K6" s="614">
        <v>0</v>
      </c>
      <c r="L6" s="164" t="s">
        <v>782</v>
      </c>
      <c r="M6" s="164" t="s">
        <v>1131</v>
      </c>
      <c r="N6" s="164" t="s">
        <v>48</v>
      </c>
      <c r="O6" s="164" t="s">
        <v>319</v>
      </c>
      <c r="P6" s="164" t="s">
        <v>400</v>
      </c>
      <c r="Q6" s="233">
        <v>41877</v>
      </c>
      <c r="R6" s="233">
        <v>41967</v>
      </c>
      <c r="S6" s="167" t="s">
        <v>783</v>
      </c>
      <c r="T6" s="164" t="s">
        <v>784</v>
      </c>
      <c r="U6" s="179" t="s">
        <v>785</v>
      </c>
      <c r="V6" s="179" t="s">
        <v>786</v>
      </c>
      <c r="W6" s="239">
        <v>900369752</v>
      </c>
      <c r="X6" s="240">
        <v>200</v>
      </c>
      <c r="Y6" s="241" t="s">
        <v>884</v>
      </c>
      <c r="Z6" s="164"/>
      <c r="AA6" s="167">
        <v>726</v>
      </c>
      <c r="AB6" s="242"/>
      <c r="AC6" s="167">
        <v>769</v>
      </c>
      <c r="AD6" s="168">
        <v>194680667</v>
      </c>
      <c r="AE6" s="167"/>
      <c r="AF6" s="167"/>
      <c r="AG6" s="167"/>
      <c r="AH6" s="167"/>
      <c r="AI6" s="167">
        <v>0</v>
      </c>
      <c r="AJ6" s="167">
        <v>0</v>
      </c>
      <c r="AK6" s="167">
        <v>0</v>
      </c>
      <c r="AL6" s="167">
        <v>0</v>
      </c>
      <c r="AM6" s="167">
        <v>0</v>
      </c>
      <c r="AN6" s="167">
        <v>0</v>
      </c>
      <c r="AO6" s="167">
        <v>0</v>
      </c>
      <c r="AP6" s="167">
        <v>0</v>
      </c>
      <c r="AQ6" s="168">
        <f t="shared" si="0"/>
        <v>0</v>
      </c>
      <c r="AR6" s="168">
        <f t="shared" si="1"/>
        <v>194680667</v>
      </c>
      <c r="AS6" s="169">
        <f t="shared" si="2"/>
        <v>0</v>
      </c>
      <c r="AT6" s="236"/>
      <c r="AU6" s="346">
        <v>243</v>
      </c>
      <c r="AV6" s="346">
        <v>205</v>
      </c>
      <c r="AW6" s="349">
        <v>194680667</v>
      </c>
      <c r="AX6" s="345">
        <v>0</v>
      </c>
      <c r="AY6" s="345">
        <v>0</v>
      </c>
      <c r="AZ6" s="345">
        <v>7850000</v>
      </c>
      <c r="BA6" s="349">
        <v>9400000</v>
      </c>
      <c r="BB6" s="345">
        <v>15436000</v>
      </c>
      <c r="BC6" s="345">
        <v>27483000</v>
      </c>
      <c r="BD6" s="237">
        <v>33858834</v>
      </c>
      <c r="BE6" s="345">
        <v>30579000</v>
      </c>
      <c r="BF6" s="438">
        <v>29969000</v>
      </c>
      <c r="BG6" s="447">
        <v>40104833</v>
      </c>
      <c r="BH6" s="237"/>
      <c r="BI6" s="237"/>
      <c r="BJ6" s="344">
        <f t="shared" si="3"/>
        <v>194680667</v>
      </c>
      <c r="BK6" s="237">
        <f t="shared" si="4"/>
        <v>0</v>
      </c>
      <c r="BL6" s="435">
        <f t="shared" si="5"/>
        <v>1</v>
      </c>
      <c r="BM6" s="192"/>
      <c r="BN6" s="192"/>
      <c r="BO6" s="192"/>
      <c r="BP6" s="192"/>
      <c r="BQ6" s="192"/>
      <c r="BR6" s="192"/>
      <c r="BS6" s="192"/>
      <c r="BT6" s="192"/>
      <c r="BU6" s="192"/>
      <c r="BV6" s="192"/>
      <c r="BW6" s="192"/>
      <c r="BX6" s="192"/>
      <c r="BY6" s="192"/>
      <c r="BZ6" s="192"/>
      <c r="CA6" s="192"/>
      <c r="CB6" s="192"/>
      <c r="CC6" s="192"/>
      <c r="CD6" s="192"/>
    </row>
    <row r="7" spans="1:82" s="25" customFormat="1" x14ac:dyDescent="0.25">
      <c r="A7" s="364">
        <v>103</v>
      </c>
      <c r="B7" s="365" t="s">
        <v>51</v>
      </c>
      <c r="C7" s="364">
        <v>1147</v>
      </c>
      <c r="D7" s="365" t="s">
        <v>44</v>
      </c>
      <c r="E7" s="364">
        <v>1</v>
      </c>
      <c r="F7" s="607"/>
      <c r="G7" s="607"/>
      <c r="H7" s="607"/>
      <c r="I7" s="607"/>
      <c r="J7" s="614"/>
      <c r="K7" s="614"/>
      <c r="L7" s="164" t="s">
        <v>787</v>
      </c>
      <c r="M7" s="164" t="s">
        <v>1131</v>
      </c>
      <c r="N7" s="164" t="s">
        <v>48</v>
      </c>
      <c r="O7" s="164" t="s">
        <v>319</v>
      </c>
      <c r="P7" s="164" t="s">
        <v>320</v>
      </c>
      <c r="Q7" s="233">
        <v>41950</v>
      </c>
      <c r="R7" s="233">
        <v>41967</v>
      </c>
      <c r="S7" s="167" t="s">
        <v>783</v>
      </c>
      <c r="T7" s="164" t="s">
        <v>788</v>
      </c>
      <c r="U7" s="234" t="s">
        <v>418</v>
      </c>
      <c r="V7" s="164" t="s">
        <v>789</v>
      </c>
      <c r="W7" s="235">
        <v>92446427</v>
      </c>
      <c r="X7" s="234" t="s">
        <v>90</v>
      </c>
      <c r="Y7" s="241" t="s">
        <v>884</v>
      </c>
      <c r="Z7" s="164"/>
      <c r="AA7" s="167">
        <v>778</v>
      </c>
      <c r="AB7" s="175"/>
      <c r="AC7" s="167">
        <v>876</v>
      </c>
      <c r="AD7" s="168">
        <v>9000000</v>
      </c>
      <c r="AE7" s="167"/>
      <c r="AF7" s="167"/>
      <c r="AG7" s="167"/>
      <c r="AH7" s="167"/>
      <c r="AI7" s="167">
        <v>0</v>
      </c>
      <c r="AJ7" s="167">
        <v>0</v>
      </c>
      <c r="AK7" s="167">
        <v>0</v>
      </c>
      <c r="AL7" s="167">
        <v>0</v>
      </c>
      <c r="AM7" s="167">
        <v>0</v>
      </c>
      <c r="AN7" s="167">
        <v>0</v>
      </c>
      <c r="AO7" s="167">
        <v>0</v>
      </c>
      <c r="AP7" s="167">
        <v>0</v>
      </c>
      <c r="AQ7" s="168">
        <f t="shared" si="0"/>
        <v>0</v>
      </c>
      <c r="AR7" s="168">
        <f t="shared" si="1"/>
        <v>9000000</v>
      </c>
      <c r="AS7" s="169">
        <f t="shared" si="2"/>
        <v>0</v>
      </c>
      <c r="AT7" s="236"/>
      <c r="AU7" s="346">
        <v>285</v>
      </c>
      <c r="AV7" s="346">
        <v>245</v>
      </c>
      <c r="AW7" s="349">
        <v>9000000</v>
      </c>
      <c r="AX7" s="345">
        <v>0</v>
      </c>
      <c r="AY7" s="345">
        <v>0</v>
      </c>
      <c r="AZ7" s="345">
        <v>1800000</v>
      </c>
      <c r="BA7" s="349">
        <v>2400000</v>
      </c>
      <c r="BB7" s="345">
        <v>1200000</v>
      </c>
      <c r="BC7" s="345">
        <v>1200000</v>
      </c>
      <c r="BD7" s="345">
        <v>1200000</v>
      </c>
      <c r="BE7" s="345">
        <v>1200000</v>
      </c>
      <c r="BF7" s="438"/>
      <c r="BG7" s="443"/>
      <c r="BH7" s="237"/>
      <c r="BI7" s="237"/>
      <c r="BJ7" s="344">
        <f t="shared" si="3"/>
        <v>9000000</v>
      </c>
      <c r="BK7" s="237">
        <f t="shared" si="4"/>
        <v>0</v>
      </c>
      <c r="BL7" s="435">
        <f t="shared" si="5"/>
        <v>1</v>
      </c>
      <c r="BM7" s="192"/>
      <c r="BN7" s="192"/>
      <c r="BO7" s="192"/>
      <c r="BP7" s="192"/>
      <c r="BQ7" s="192"/>
      <c r="BR7" s="192"/>
      <c r="BS7" s="192"/>
      <c r="BT7" s="192"/>
      <c r="BU7" s="192"/>
      <c r="BV7" s="192"/>
      <c r="BW7" s="192"/>
      <c r="BX7" s="192"/>
      <c r="BY7" s="192"/>
      <c r="BZ7" s="192"/>
      <c r="CA7" s="192"/>
      <c r="CB7" s="192"/>
      <c r="CC7" s="192"/>
      <c r="CD7" s="192"/>
    </row>
    <row r="8" spans="1:82" s="25" customFormat="1" x14ac:dyDescent="0.25">
      <c r="A8" s="364">
        <v>103</v>
      </c>
      <c r="B8" s="365" t="s">
        <v>51</v>
      </c>
      <c r="C8" s="364">
        <v>1147</v>
      </c>
      <c r="D8" s="365" t="s">
        <v>44</v>
      </c>
      <c r="E8" s="364">
        <v>1</v>
      </c>
      <c r="F8" s="607"/>
      <c r="G8" s="607"/>
      <c r="H8" s="607"/>
      <c r="I8" s="607"/>
      <c r="J8" s="614"/>
      <c r="K8" s="614"/>
      <c r="L8" s="194" t="s">
        <v>790</v>
      </c>
      <c r="M8" s="164" t="s">
        <v>1131</v>
      </c>
      <c r="N8" s="164" t="s">
        <v>48</v>
      </c>
      <c r="O8" s="164" t="s">
        <v>430</v>
      </c>
      <c r="P8" s="164" t="s">
        <v>400</v>
      </c>
      <c r="Q8" s="233">
        <v>41997</v>
      </c>
      <c r="R8" s="233">
        <v>41997</v>
      </c>
      <c r="S8" s="233" t="s">
        <v>1290</v>
      </c>
      <c r="T8" s="164">
        <v>88</v>
      </c>
      <c r="U8" s="233" t="s">
        <v>1287</v>
      </c>
      <c r="V8" s="164" t="s">
        <v>786</v>
      </c>
      <c r="W8" s="239">
        <v>900369752</v>
      </c>
      <c r="X8" s="240">
        <v>100</v>
      </c>
      <c r="Y8" s="241" t="s">
        <v>884</v>
      </c>
      <c r="Z8" s="164"/>
      <c r="AA8" s="167">
        <v>868</v>
      </c>
      <c r="AB8" s="175"/>
      <c r="AC8" s="167">
        <v>956</v>
      </c>
      <c r="AD8" s="168">
        <v>97340334</v>
      </c>
      <c r="AE8" s="167"/>
      <c r="AF8" s="167"/>
      <c r="AG8" s="167"/>
      <c r="AH8" s="167"/>
      <c r="AI8" s="167"/>
      <c r="AJ8" s="167"/>
      <c r="AK8" s="167"/>
      <c r="AL8" s="167"/>
      <c r="AM8" s="167"/>
      <c r="AN8" s="167">
        <v>0</v>
      </c>
      <c r="AO8" s="167">
        <v>0</v>
      </c>
      <c r="AP8" s="167">
        <v>0</v>
      </c>
      <c r="AQ8" s="168">
        <f t="shared" si="0"/>
        <v>0</v>
      </c>
      <c r="AR8" s="168">
        <f t="shared" si="1"/>
        <v>97340334</v>
      </c>
      <c r="AS8" s="169">
        <f t="shared" si="2"/>
        <v>0</v>
      </c>
      <c r="AT8" s="236"/>
      <c r="AU8" s="346">
        <v>323</v>
      </c>
      <c r="AV8" s="346">
        <v>378</v>
      </c>
      <c r="AW8" s="349">
        <v>97340334</v>
      </c>
      <c r="AX8" s="345">
        <v>0</v>
      </c>
      <c r="AY8" s="345">
        <v>0</v>
      </c>
      <c r="AZ8" s="345">
        <v>0</v>
      </c>
      <c r="BA8" s="349"/>
      <c r="BB8" s="345"/>
      <c r="BC8" s="237"/>
      <c r="BD8" s="237"/>
      <c r="BE8" s="237"/>
      <c r="BF8" s="438"/>
      <c r="BG8" s="447">
        <v>67197667</v>
      </c>
      <c r="BH8" s="237">
        <v>29913000</v>
      </c>
      <c r="BI8" s="237"/>
      <c r="BJ8" s="344">
        <f t="shared" si="3"/>
        <v>97110667</v>
      </c>
      <c r="BK8" s="237">
        <f t="shared" si="4"/>
        <v>229667</v>
      </c>
      <c r="BL8" s="435">
        <f t="shared" si="5"/>
        <v>0.99764057723492094</v>
      </c>
      <c r="BM8" s="192"/>
      <c r="BN8" s="192"/>
      <c r="BO8" s="192"/>
      <c r="BP8" s="192"/>
      <c r="BQ8" s="192"/>
      <c r="BR8" s="192"/>
      <c r="BS8" s="192"/>
      <c r="BT8" s="192"/>
      <c r="BU8" s="192"/>
      <c r="BV8" s="192"/>
      <c r="BW8" s="192"/>
      <c r="BX8" s="192"/>
      <c r="BY8" s="192"/>
      <c r="BZ8" s="192"/>
      <c r="CA8" s="192"/>
      <c r="CB8" s="192"/>
      <c r="CC8" s="192"/>
      <c r="CD8" s="192"/>
    </row>
    <row r="9" spans="1:82" s="25" customFormat="1" x14ac:dyDescent="0.25">
      <c r="A9" s="364">
        <v>103</v>
      </c>
      <c r="B9" s="365" t="s">
        <v>51</v>
      </c>
      <c r="C9" s="364">
        <v>1147</v>
      </c>
      <c r="D9" s="365" t="s">
        <v>44</v>
      </c>
      <c r="E9" s="364">
        <v>1</v>
      </c>
      <c r="F9" s="607"/>
      <c r="G9" s="607"/>
      <c r="H9" s="607"/>
      <c r="I9" s="607"/>
      <c r="J9" s="614"/>
      <c r="K9" s="614"/>
      <c r="L9" s="194" t="s">
        <v>791</v>
      </c>
      <c r="M9" s="164" t="s">
        <v>1131</v>
      </c>
      <c r="N9" s="164" t="s">
        <v>48</v>
      </c>
      <c r="O9" s="164" t="s">
        <v>430</v>
      </c>
      <c r="P9" s="164" t="s">
        <v>320</v>
      </c>
      <c r="Q9" s="233">
        <v>41997</v>
      </c>
      <c r="R9" s="233">
        <v>41997</v>
      </c>
      <c r="S9" s="233" t="s">
        <v>1290</v>
      </c>
      <c r="T9" s="164">
        <v>136</v>
      </c>
      <c r="U9" s="233" t="s">
        <v>418</v>
      </c>
      <c r="V9" s="164" t="s">
        <v>789</v>
      </c>
      <c r="W9" s="235">
        <v>92446427</v>
      </c>
      <c r="X9" s="234" t="s">
        <v>90</v>
      </c>
      <c r="Y9" s="241" t="s">
        <v>884</v>
      </c>
      <c r="Z9" s="164"/>
      <c r="AA9" s="167">
        <v>869</v>
      </c>
      <c r="AB9" s="175"/>
      <c r="AC9" s="167">
        <v>996</v>
      </c>
      <c r="AD9" s="168">
        <v>4500000</v>
      </c>
      <c r="AE9" s="167"/>
      <c r="AF9" s="167"/>
      <c r="AG9" s="167"/>
      <c r="AH9" s="167"/>
      <c r="AI9" s="167">
        <v>0</v>
      </c>
      <c r="AJ9" s="167">
        <v>0</v>
      </c>
      <c r="AK9" s="167">
        <v>0</v>
      </c>
      <c r="AL9" s="167">
        <v>0</v>
      </c>
      <c r="AM9" s="167">
        <v>0</v>
      </c>
      <c r="AN9" s="167">
        <v>0</v>
      </c>
      <c r="AO9" s="167">
        <v>0</v>
      </c>
      <c r="AP9" s="167">
        <v>0</v>
      </c>
      <c r="AQ9" s="168">
        <f t="shared" si="0"/>
        <v>0</v>
      </c>
      <c r="AR9" s="168">
        <f t="shared" si="1"/>
        <v>4500000</v>
      </c>
      <c r="AS9" s="169">
        <f t="shared" si="2"/>
        <v>0</v>
      </c>
      <c r="AT9" s="236"/>
      <c r="AU9" s="346">
        <v>340</v>
      </c>
      <c r="AV9" s="346">
        <v>288</v>
      </c>
      <c r="AW9" s="349">
        <v>4500000</v>
      </c>
      <c r="AX9" s="345">
        <v>0</v>
      </c>
      <c r="AY9" s="345">
        <v>0</v>
      </c>
      <c r="AZ9" s="345">
        <v>0</v>
      </c>
      <c r="BA9" s="349"/>
      <c r="BB9" s="345"/>
      <c r="BC9" s="237"/>
      <c r="BD9" s="237"/>
      <c r="BE9" s="237"/>
      <c r="BF9" s="438">
        <v>1200000</v>
      </c>
      <c r="BG9" s="443">
        <v>1200000</v>
      </c>
      <c r="BH9" s="237">
        <v>1200000</v>
      </c>
      <c r="BI9" s="237">
        <v>900000</v>
      </c>
      <c r="BJ9" s="344">
        <f t="shared" si="3"/>
        <v>4500000</v>
      </c>
      <c r="BK9" s="237">
        <f t="shared" si="4"/>
        <v>0</v>
      </c>
      <c r="BL9" s="435">
        <f t="shared" si="5"/>
        <v>1</v>
      </c>
      <c r="BM9" s="192"/>
      <c r="BN9" s="192"/>
      <c r="BO9" s="192"/>
      <c r="BP9" s="192"/>
      <c r="BQ9" s="192"/>
      <c r="BR9" s="192"/>
      <c r="BS9" s="192"/>
      <c r="BT9" s="192"/>
      <c r="BU9" s="192"/>
      <c r="BV9" s="192"/>
      <c r="BW9" s="192"/>
      <c r="BX9" s="192"/>
      <c r="BY9" s="192"/>
      <c r="BZ9" s="192"/>
      <c r="CA9" s="192"/>
      <c r="CB9" s="192"/>
      <c r="CC9" s="192"/>
      <c r="CD9" s="192"/>
    </row>
    <row r="10" spans="1:82" s="33" customFormat="1" ht="13.5" customHeight="1" x14ac:dyDescent="0.25">
      <c r="A10" s="385">
        <v>104</v>
      </c>
      <c r="B10" s="365" t="s">
        <v>58</v>
      </c>
      <c r="C10" s="385">
        <v>1149</v>
      </c>
      <c r="D10" s="386" t="s">
        <v>60</v>
      </c>
      <c r="E10" s="385">
        <v>1</v>
      </c>
      <c r="F10" s="570" t="s">
        <v>53</v>
      </c>
      <c r="G10" s="570">
        <v>12000</v>
      </c>
      <c r="H10" s="570" t="s">
        <v>61</v>
      </c>
      <c r="I10" s="570" t="s">
        <v>62</v>
      </c>
      <c r="J10" s="617">
        <v>0</v>
      </c>
      <c r="K10" s="618">
        <v>0</v>
      </c>
      <c r="L10" s="359" t="s">
        <v>792</v>
      </c>
      <c r="M10" s="359" t="s">
        <v>1119</v>
      </c>
      <c r="N10" s="359" t="s">
        <v>63</v>
      </c>
      <c r="O10" s="360" t="s">
        <v>793</v>
      </c>
      <c r="P10" s="164" t="s">
        <v>325</v>
      </c>
      <c r="Q10" s="180">
        <v>41849</v>
      </c>
      <c r="R10" s="180">
        <v>41913</v>
      </c>
      <c r="S10" s="179" t="s">
        <v>783</v>
      </c>
      <c r="T10" s="178">
        <v>74</v>
      </c>
      <c r="U10" s="166" t="s">
        <v>794</v>
      </c>
      <c r="V10" s="164" t="s">
        <v>327</v>
      </c>
      <c r="W10" s="178">
        <v>8300776445</v>
      </c>
      <c r="X10" s="179">
        <v>1200</v>
      </c>
      <c r="Y10" s="179" t="s">
        <v>795</v>
      </c>
      <c r="Z10" s="178"/>
      <c r="AA10" s="167">
        <v>613</v>
      </c>
      <c r="AB10" s="175"/>
      <c r="AC10" s="167">
        <v>717</v>
      </c>
      <c r="AD10" s="168">
        <v>27456164</v>
      </c>
      <c r="AE10" s="167"/>
      <c r="AF10" s="167"/>
      <c r="AG10" s="167"/>
      <c r="AH10" s="167"/>
      <c r="AI10" s="167">
        <v>0</v>
      </c>
      <c r="AJ10" s="167">
        <v>0</v>
      </c>
      <c r="AK10" s="167">
        <v>0</v>
      </c>
      <c r="AL10" s="167">
        <v>0</v>
      </c>
      <c r="AM10" s="167">
        <v>0</v>
      </c>
      <c r="AN10" s="167">
        <v>0</v>
      </c>
      <c r="AO10" s="167">
        <v>0</v>
      </c>
      <c r="AP10" s="167">
        <v>0</v>
      </c>
      <c r="AQ10" s="168">
        <f t="shared" si="0"/>
        <v>0</v>
      </c>
      <c r="AR10" s="168">
        <f t="shared" si="1"/>
        <v>27456164</v>
      </c>
      <c r="AS10" s="169">
        <f t="shared" si="2"/>
        <v>0</v>
      </c>
      <c r="AT10" s="236"/>
      <c r="AU10" s="346">
        <v>222</v>
      </c>
      <c r="AV10" s="346">
        <v>365</v>
      </c>
      <c r="AW10" s="345">
        <v>27456164</v>
      </c>
      <c r="AX10" s="345">
        <v>0</v>
      </c>
      <c r="AY10" s="345">
        <v>0</v>
      </c>
      <c r="AZ10" s="345">
        <v>0</v>
      </c>
      <c r="BA10" s="349"/>
      <c r="BB10" s="345">
        <v>1972408</v>
      </c>
      <c r="BC10" s="345"/>
      <c r="BD10" s="243">
        <f>691471+387983</f>
        <v>1079454</v>
      </c>
      <c r="BE10" s="243"/>
      <c r="BF10" s="439"/>
      <c r="BG10" s="444"/>
      <c r="BH10" s="243"/>
      <c r="BI10" s="243"/>
      <c r="BJ10" s="344">
        <f t="shared" si="3"/>
        <v>3051862</v>
      </c>
      <c r="BK10" s="237">
        <f t="shared" si="4"/>
        <v>24404302</v>
      </c>
      <c r="BL10" s="435">
        <f t="shared" si="5"/>
        <v>0.11115398349164872</v>
      </c>
      <c r="BM10" s="279"/>
      <c r="BN10" s="279"/>
      <c r="BO10" s="279"/>
      <c r="BP10" s="279"/>
      <c r="BQ10" s="279"/>
      <c r="BR10" s="279"/>
      <c r="BS10" s="279"/>
      <c r="BT10" s="279"/>
      <c r="BU10" s="279"/>
      <c r="BV10" s="279"/>
      <c r="BW10" s="279"/>
      <c r="BX10" s="279"/>
      <c r="BY10" s="279"/>
      <c r="BZ10" s="279"/>
      <c r="CA10" s="279"/>
      <c r="CB10" s="279"/>
      <c r="CC10" s="279"/>
      <c r="CD10" s="279"/>
    </row>
    <row r="11" spans="1:82" s="33" customFormat="1" x14ac:dyDescent="0.25">
      <c r="A11" s="66">
        <v>104</v>
      </c>
      <c r="B11" s="365" t="s">
        <v>58</v>
      </c>
      <c r="C11" s="66">
        <v>1149</v>
      </c>
      <c r="D11" s="67" t="s">
        <v>60</v>
      </c>
      <c r="E11" s="66">
        <v>1</v>
      </c>
      <c r="F11" s="570"/>
      <c r="G11" s="570"/>
      <c r="H11" s="570"/>
      <c r="I11" s="570"/>
      <c r="J11" s="617"/>
      <c r="K11" s="618"/>
      <c r="L11" s="164" t="s">
        <v>796</v>
      </c>
      <c r="M11" s="164" t="s">
        <v>1119</v>
      </c>
      <c r="N11" s="164" t="s">
        <v>63</v>
      </c>
      <c r="O11" s="166" t="s">
        <v>797</v>
      </c>
      <c r="P11" s="164" t="s">
        <v>356</v>
      </c>
      <c r="Q11" s="180">
        <v>41908</v>
      </c>
      <c r="R11" s="180">
        <v>41913</v>
      </c>
      <c r="S11" s="179" t="s">
        <v>783</v>
      </c>
      <c r="T11" s="178">
        <v>104</v>
      </c>
      <c r="U11" s="166" t="s">
        <v>798</v>
      </c>
      <c r="V11" s="164" t="s">
        <v>799</v>
      </c>
      <c r="W11" s="178">
        <v>80240788</v>
      </c>
      <c r="X11" s="179" t="s">
        <v>90</v>
      </c>
      <c r="Y11" s="179" t="s">
        <v>795</v>
      </c>
      <c r="Z11" s="178"/>
      <c r="AA11" s="167">
        <v>610</v>
      </c>
      <c r="AB11" s="175"/>
      <c r="AC11" s="167">
        <v>808</v>
      </c>
      <c r="AD11" s="168">
        <v>8890000</v>
      </c>
      <c r="AE11" s="167"/>
      <c r="AF11" s="167"/>
      <c r="AG11" s="167"/>
      <c r="AH11" s="167"/>
      <c r="AI11" s="167">
        <v>0</v>
      </c>
      <c r="AJ11" s="167">
        <v>0</v>
      </c>
      <c r="AK11" s="167">
        <v>0</v>
      </c>
      <c r="AL11" s="167">
        <v>0</v>
      </c>
      <c r="AM11" s="167">
        <v>0</v>
      </c>
      <c r="AN11" s="167">
        <v>0</v>
      </c>
      <c r="AO11" s="167">
        <v>0</v>
      </c>
      <c r="AP11" s="167">
        <v>0</v>
      </c>
      <c r="AQ11" s="168">
        <f t="shared" si="0"/>
        <v>0</v>
      </c>
      <c r="AR11" s="168">
        <f t="shared" si="1"/>
        <v>8890000</v>
      </c>
      <c r="AS11" s="169">
        <f t="shared" si="2"/>
        <v>0</v>
      </c>
      <c r="AT11" s="236"/>
      <c r="AU11" s="346">
        <v>255</v>
      </c>
      <c r="AV11" s="346">
        <v>216</v>
      </c>
      <c r="AW11" s="345">
        <v>8890000</v>
      </c>
      <c r="AX11" s="345">
        <v>0</v>
      </c>
      <c r="AY11" s="345">
        <v>0</v>
      </c>
      <c r="AZ11" s="345">
        <v>0</v>
      </c>
      <c r="BA11" s="349">
        <v>2540000</v>
      </c>
      <c r="BB11" s="345">
        <v>1270000</v>
      </c>
      <c r="BC11" s="345"/>
      <c r="BD11" s="243">
        <v>2540000</v>
      </c>
      <c r="BE11" s="243"/>
      <c r="BF11" s="439"/>
      <c r="BG11" s="444"/>
      <c r="BH11" s="243"/>
      <c r="BI11" s="243"/>
      <c r="BJ11" s="344">
        <f t="shared" si="3"/>
        <v>6350000</v>
      </c>
      <c r="BK11" s="237">
        <f t="shared" si="4"/>
        <v>2540000</v>
      </c>
      <c r="BL11" s="435">
        <f t="shared" si="5"/>
        <v>0.7142857142857143</v>
      </c>
      <c r="BM11" s="279"/>
      <c r="BN11" s="279"/>
      <c r="BO11" s="279"/>
      <c r="BP11" s="279"/>
      <c r="BQ11" s="279"/>
      <c r="BR11" s="279"/>
      <c r="BS11" s="279"/>
      <c r="BT11" s="279"/>
      <c r="BU11" s="279"/>
      <c r="BV11" s="279"/>
      <c r="BW11" s="279"/>
      <c r="BX11" s="279"/>
      <c r="BY11" s="279"/>
      <c r="BZ11" s="279"/>
      <c r="CA11" s="279"/>
      <c r="CB11" s="279"/>
      <c r="CC11" s="279"/>
      <c r="CD11" s="279"/>
    </row>
    <row r="12" spans="1:82" s="33" customFormat="1" x14ac:dyDescent="0.25">
      <c r="A12" s="66">
        <v>104</v>
      </c>
      <c r="B12" s="365" t="s">
        <v>58</v>
      </c>
      <c r="C12" s="66">
        <v>1149</v>
      </c>
      <c r="D12" s="67" t="s">
        <v>60</v>
      </c>
      <c r="E12" s="66">
        <v>1</v>
      </c>
      <c r="F12" s="570"/>
      <c r="G12" s="570"/>
      <c r="H12" s="570"/>
      <c r="I12" s="570"/>
      <c r="J12" s="617"/>
      <c r="K12" s="618"/>
      <c r="L12" s="164" t="s">
        <v>800</v>
      </c>
      <c r="M12" s="164" t="s">
        <v>1119</v>
      </c>
      <c r="N12" s="164" t="s">
        <v>63</v>
      </c>
      <c r="O12" s="166" t="s">
        <v>801</v>
      </c>
      <c r="P12" s="164" t="s">
        <v>320</v>
      </c>
      <c r="Q12" s="180">
        <v>41880</v>
      </c>
      <c r="R12" s="180">
        <v>41883</v>
      </c>
      <c r="S12" s="179" t="s">
        <v>802</v>
      </c>
      <c r="T12" s="178">
        <v>97</v>
      </c>
      <c r="U12" s="166" t="s">
        <v>798</v>
      </c>
      <c r="V12" s="164" t="s">
        <v>351</v>
      </c>
      <c r="W12" s="178" t="s">
        <v>803</v>
      </c>
      <c r="X12" s="179" t="s">
        <v>90</v>
      </c>
      <c r="Y12" s="179" t="s">
        <v>795</v>
      </c>
      <c r="Z12" s="178"/>
      <c r="AA12" s="167">
        <v>581</v>
      </c>
      <c r="AB12" s="175"/>
      <c r="AC12" s="167">
        <v>772</v>
      </c>
      <c r="AD12" s="168">
        <v>14000000</v>
      </c>
      <c r="AE12" s="167"/>
      <c r="AF12" s="167"/>
      <c r="AG12" s="167"/>
      <c r="AH12" s="167"/>
      <c r="AI12" s="167">
        <v>0</v>
      </c>
      <c r="AJ12" s="167">
        <v>0</v>
      </c>
      <c r="AK12" s="167">
        <v>0</v>
      </c>
      <c r="AL12" s="167">
        <v>0</v>
      </c>
      <c r="AM12" s="167">
        <v>0</v>
      </c>
      <c r="AN12" s="167">
        <v>0</v>
      </c>
      <c r="AO12" s="167">
        <v>0</v>
      </c>
      <c r="AP12" s="167">
        <v>0</v>
      </c>
      <c r="AQ12" s="168">
        <f t="shared" si="0"/>
        <v>0</v>
      </c>
      <c r="AR12" s="168">
        <f t="shared" si="1"/>
        <v>14000000</v>
      </c>
      <c r="AS12" s="169">
        <f t="shared" si="2"/>
        <v>0</v>
      </c>
      <c r="AT12" s="236"/>
      <c r="AU12" s="346">
        <v>246</v>
      </c>
      <c r="AV12" s="346">
        <v>208</v>
      </c>
      <c r="AW12" s="345">
        <v>14000000</v>
      </c>
      <c r="AX12" s="345">
        <v>0</v>
      </c>
      <c r="AY12" s="345">
        <v>0</v>
      </c>
      <c r="AZ12" s="345">
        <v>0</v>
      </c>
      <c r="BA12" s="349"/>
      <c r="BB12" s="345"/>
      <c r="BC12" s="345"/>
      <c r="BD12" s="243"/>
      <c r="BE12" s="243"/>
      <c r="BF12" s="439">
        <v>2000000</v>
      </c>
      <c r="BG12" s="444">
        <v>3000000</v>
      </c>
      <c r="BH12" s="243"/>
      <c r="BI12" s="243"/>
      <c r="BJ12" s="344">
        <f t="shared" si="3"/>
        <v>5000000</v>
      </c>
      <c r="BK12" s="237">
        <f t="shared" si="4"/>
        <v>9000000</v>
      </c>
      <c r="BL12" s="435">
        <f t="shared" si="5"/>
        <v>0.35714285714285715</v>
      </c>
      <c r="BM12" s="279"/>
      <c r="BN12" s="279"/>
      <c r="BO12" s="279"/>
      <c r="BP12" s="279"/>
      <c r="BQ12" s="279"/>
      <c r="BR12" s="279"/>
      <c r="BS12" s="279"/>
      <c r="BT12" s="279"/>
      <c r="BU12" s="279"/>
      <c r="BV12" s="279"/>
      <c r="BW12" s="279"/>
      <c r="BX12" s="279"/>
      <c r="BY12" s="279"/>
      <c r="BZ12" s="279"/>
      <c r="CA12" s="279"/>
      <c r="CB12" s="279"/>
      <c r="CC12" s="279"/>
      <c r="CD12" s="279"/>
    </row>
    <row r="13" spans="1:82" s="33" customFormat="1" x14ac:dyDescent="0.25">
      <c r="A13" s="66">
        <v>104</v>
      </c>
      <c r="B13" s="365" t="s">
        <v>58</v>
      </c>
      <c r="C13" s="66">
        <v>1149</v>
      </c>
      <c r="D13" s="67" t="s">
        <v>60</v>
      </c>
      <c r="E13" s="66">
        <v>1</v>
      </c>
      <c r="F13" s="570"/>
      <c r="G13" s="570"/>
      <c r="H13" s="570"/>
      <c r="I13" s="570"/>
      <c r="J13" s="617"/>
      <c r="K13" s="618"/>
      <c r="L13" s="164" t="s">
        <v>804</v>
      </c>
      <c r="M13" s="164" t="s">
        <v>1119</v>
      </c>
      <c r="N13" s="164" t="s">
        <v>63</v>
      </c>
      <c r="O13" s="166" t="s">
        <v>801</v>
      </c>
      <c r="P13" s="164" t="s">
        <v>320</v>
      </c>
      <c r="Q13" s="180">
        <v>41880</v>
      </c>
      <c r="R13" s="180">
        <v>41883</v>
      </c>
      <c r="S13" s="179" t="s">
        <v>802</v>
      </c>
      <c r="T13" s="178">
        <v>97</v>
      </c>
      <c r="U13" s="166" t="s">
        <v>798</v>
      </c>
      <c r="V13" s="164" t="s">
        <v>351</v>
      </c>
      <c r="W13" s="178" t="s">
        <v>803</v>
      </c>
      <c r="X13" s="179" t="s">
        <v>90</v>
      </c>
      <c r="Y13" s="179" t="s">
        <v>795</v>
      </c>
      <c r="Z13" s="178"/>
      <c r="AA13" s="167">
        <v>455</v>
      </c>
      <c r="AB13" s="175"/>
      <c r="AC13" s="167">
        <v>771</v>
      </c>
      <c r="AD13" s="168">
        <v>28000000</v>
      </c>
      <c r="AE13" s="167"/>
      <c r="AF13" s="167"/>
      <c r="AG13" s="167"/>
      <c r="AH13" s="167"/>
      <c r="AI13" s="167">
        <v>0</v>
      </c>
      <c r="AJ13" s="167">
        <v>0</v>
      </c>
      <c r="AK13" s="167">
        <v>0</v>
      </c>
      <c r="AL13" s="167">
        <v>0</v>
      </c>
      <c r="AM13" s="167">
        <v>0</v>
      </c>
      <c r="AN13" s="167">
        <v>0</v>
      </c>
      <c r="AO13" s="167">
        <v>0</v>
      </c>
      <c r="AP13" s="167">
        <v>0</v>
      </c>
      <c r="AQ13" s="168">
        <f t="shared" si="0"/>
        <v>0</v>
      </c>
      <c r="AR13" s="168">
        <f t="shared" si="1"/>
        <v>28000000</v>
      </c>
      <c r="AS13" s="169">
        <f t="shared" si="2"/>
        <v>0</v>
      </c>
      <c r="AT13" s="236"/>
      <c r="AU13" s="346">
        <v>245</v>
      </c>
      <c r="AV13" s="346">
        <v>207</v>
      </c>
      <c r="AW13" s="345">
        <v>28000000</v>
      </c>
      <c r="AX13" s="345">
        <v>0</v>
      </c>
      <c r="AY13" s="345">
        <v>0</v>
      </c>
      <c r="AZ13" s="345">
        <v>0</v>
      </c>
      <c r="BA13" s="349">
        <v>18000000</v>
      </c>
      <c r="BB13" s="345"/>
      <c r="BC13" s="345">
        <v>6000000</v>
      </c>
      <c r="BD13" s="243"/>
      <c r="BE13" s="243"/>
      <c r="BF13" s="439">
        <v>4000000</v>
      </c>
      <c r="BG13" s="444"/>
      <c r="BH13" s="243"/>
      <c r="BI13" s="243"/>
      <c r="BJ13" s="344">
        <f t="shared" si="3"/>
        <v>28000000</v>
      </c>
      <c r="BK13" s="237">
        <f t="shared" si="4"/>
        <v>0</v>
      </c>
      <c r="BL13" s="435">
        <f t="shared" si="5"/>
        <v>1</v>
      </c>
      <c r="BM13" s="279"/>
      <c r="BN13" s="279"/>
      <c r="BO13" s="279"/>
      <c r="BP13" s="279"/>
      <c r="BQ13" s="279"/>
      <c r="BR13" s="279"/>
      <c r="BS13" s="279"/>
      <c r="BT13" s="279"/>
      <c r="BU13" s="279"/>
      <c r="BV13" s="279"/>
      <c r="BW13" s="279"/>
      <c r="BX13" s="279"/>
      <c r="BY13" s="279"/>
      <c r="BZ13" s="279"/>
      <c r="CA13" s="279"/>
      <c r="CB13" s="279"/>
      <c r="CC13" s="279"/>
      <c r="CD13" s="279"/>
    </row>
    <row r="14" spans="1:82" s="33" customFormat="1" x14ac:dyDescent="0.25">
      <c r="A14" s="66">
        <v>104</v>
      </c>
      <c r="B14" s="365" t="s">
        <v>58</v>
      </c>
      <c r="C14" s="66">
        <v>1149</v>
      </c>
      <c r="D14" s="67" t="s">
        <v>60</v>
      </c>
      <c r="E14" s="66">
        <v>1</v>
      </c>
      <c r="F14" s="570"/>
      <c r="G14" s="570"/>
      <c r="H14" s="570"/>
      <c r="I14" s="570"/>
      <c r="J14" s="617"/>
      <c r="K14" s="618"/>
      <c r="L14" s="164" t="s">
        <v>805</v>
      </c>
      <c r="M14" s="164" t="s">
        <v>1119</v>
      </c>
      <c r="N14" s="164" t="s">
        <v>63</v>
      </c>
      <c r="O14" s="166" t="s">
        <v>806</v>
      </c>
      <c r="P14" s="164" t="s">
        <v>325</v>
      </c>
      <c r="Q14" s="180">
        <v>41851</v>
      </c>
      <c r="R14" s="180">
        <v>41610</v>
      </c>
      <c r="S14" s="179" t="s">
        <v>807</v>
      </c>
      <c r="T14" s="178">
        <v>60</v>
      </c>
      <c r="U14" s="166" t="s">
        <v>794</v>
      </c>
      <c r="V14" s="164" t="s">
        <v>327</v>
      </c>
      <c r="W14" s="178">
        <v>8300776445</v>
      </c>
      <c r="X14" s="179">
        <v>450</v>
      </c>
      <c r="Y14" s="179" t="s">
        <v>808</v>
      </c>
      <c r="Z14" s="178"/>
      <c r="AA14" s="167">
        <v>566</v>
      </c>
      <c r="AB14" s="175"/>
      <c r="AC14" s="167">
        <v>724</v>
      </c>
      <c r="AD14" s="168">
        <v>142000000</v>
      </c>
      <c r="AE14" s="167"/>
      <c r="AF14" s="167"/>
      <c r="AG14" s="167"/>
      <c r="AH14" s="167"/>
      <c r="AI14" s="167">
        <v>0</v>
      </c>
      <c r="AJ14" s="167">
        <v>0</v>
      </c>
      <c r="AK14" s="167">
        <v>0</v>
      </c>
      <c r="AL14" s="167">
        <v>0</v>
      </c>
      <c r="AM14" s="167">
        <v>0</v>
      </c>
      <c r="AN14" s="167">
        <v>0</v>
      </c>
      <c r="AO14" s="167">
        <v>0</v>
      </c>
      <c r="AP14" s="167">
        <v>0</v>
      </c>
      <c r="AQ14" s="168">
        <f t="shared" si="0"/>
        <v>0</v>
      </c>
      <c r="AR14" s="168">
        <f t="shared" si="1"/>
        <v>142000000</v>
      </c>
      <c r="AS14" s="169">
        <f t="shared" si="2"/>
        <v>0</v>
      </c>
      <c r="AT14" s="236"/>
      <c r="AU14" s="346">
        <v>227</v>
      </c>
      <c r="AV14" s="346">
        <v>368</v>
      </c>
      <c r="AW14" s="345">
        <v>142000000</v>
      </c>
      <c r="AX14" s="345">
        <v>0</v>
      </c>
      <c r="AY14" s="345">
        <v>0</v>
      </c>
      <c r="AZ14" s="345">
        <v>0</v>
      </c>
      <c r="BA14" s="349">
        <v>28474102</v>
      </c>
      <c r="BB14" s="345">
        <f>13383589+45556901</f>
        <v>58940490</v>
      </c>
      <c r="BC14" s="345"/>
      <c r="BD14" s="243"/>
      <c r="BE14" s="243"/>
      <c r="BF14" s="439"/>
      <c r="BG14" s="444"/>
      <c r="BH14" s="243"/>
      <c r="BI14" s="243">
        <v>41203896</v>
      </c>
      <c r="BJ14" s="344">
        <f t="shared" si="3"/>
        <v>128618488</v>
      </c>
      <c r="BK14" s="237">
        <f t="shared" si="4"/>
        <v>13381512</v>
      </c>
      <c r="BL14" s="435">
        <f t="shared" si="5"/>
        <v>0.90576400000000001</v>
      </c>
      <c r="BM14" s="279"/>
      <c r="BN14" s="279"/>
      <c r="BO14" s="279"/>
      <c r="BP14" s="279"/>
      <c r="BQ14" s="279"/>
      <c r="BR14" s="279"/>
      <c r="BS14" s="279"/>
      <c r="BT14" s="279"/>
      <c r="BU14" s="279"/>
      <c r="BV14" s="279"/>
      <c r="BW14" s="279"/>
      <c r="BX14" s="279"/>
      <c r="BY14" s="279"/>
      <c r="BZ14" s="279"/>
      <c r="CA14" s="279"/>
      <c r="CB14" s="279"/>
      <c r="CC14" s="279"/>
      <c r="CD14" s="279"/>
    </row>
    <row r="15" spans="1:82" s="33" customFormat="1" x14ac:dyDescent="0.25">
      <c r="A15" s="66">
        <v>104</v>
      </c>
      <c r="B15" s="365" t="s">
        <v>58</v>
      </c>
      <c r="C15" s="66">
        <v>1149</v>
      </c>
      <c r="D15" s="67" t="s">
        <v>60</v>
      </c>
      <c r="E15" s="66">
        <v>1</v>
      </c>
      <c r="F15" s="570"/>
      <c r="G15" s="570"/>
      <c r="H15" s="570"/>
      <c r="I15" s="570"/>
      <c r="J15" s="617"/>
      <c r="K15" s="618"/>
      <c r="L15" s="164" t="s">
        <v>809</v>
      </c>
      <c r="M15" s="164" t="s">
        <v>1119</v>
      </c>
      <c r="N15" s="164" t="s">
        <v>63</v>
      </c>
      <c r="O15" s="166" t="s">
        <v>806</v>
      </c>
      <c r="P15" s="164" t="s">
        <v>325</v>
      </c>
      <c r="Q15" s="180">
        <v>41844</v>
      </c>
      <c r="R15" s="245">
        <v>42065</v>
      </c>
      <c r="S15" s="179" t="s">
        <v>783</v>
      </c>
      <c r="T15" s="178">
        <v>76</v>
      </c>
      <c r="U15" s="166" t="s">
        <v>810</v>
      </c>
      <c r="V15" s="164" t="s">
        <v>327</v>
      </c>
      <c r="W15" s="178">
        <v>8300776445</v>
      </c>
      <c r="X15" s="179">
        <v>1350</v>
      </c>
      <c r="Y15" s="179" t="s">
        <v>808</v>
      </c>
      <c r="Z15" s="178"/>
      <c r="AA15" s="167">
        <v>618</v>
      </c>
      <c r="AB15" s="175"/>
      <c r="AC15" s="167">
        <v>719</v>
      </c>
      <c r="AD15" s="168">
        <v>122483056</v>
      </c>
      <c r="AE15" s="167"/>
      <c r="AF15" s="167"/>
      <c r="AG15" s="167"/>
      <c r="AH15" s="167"/>
      <c r="AI15" s="167">
        <v>0</v>
      </c>
      <c r="AJ15" s="167">
        <v>0</v>
      </c>
      <c r="AK15" s="167">
        <v>0</v>
      </c>
      <c r="AL15" s="167">
        <v>0</v>
      </c>
      <c r="AM15" s="167">
        <v>0</v>
      </c>
      <c r="AN15" s="167">
        <v>0</v>
      </c>
      <c r="AO15" s="167">
        <v>0</v>
      </c>
      <c r="AP15" s="167">
        <v>0</v>
      </c>
      <c r="AQ15" s="168">
        <f t="shared" si="0"/>
        <v>0</v>
      </c>
      <c r="AR15" s="384">
        <f t="shared" si="1"/>
        <v>122483056</v>
      </c>
      <c r="AS15" s="169">
        <f t="shared" si="2"/>
        <v>0</v>
      </c>
      <c r="AT15" s="236"/>
      <c r="AU15" s="346">
        <v>224</v>
      </c>
      <c r="AV15" s="346">
        <v>367</v>
      </c>
      <c r="AW15" s="383">
        <v>122483056</v>
      </c>
      <c r="AX15" s="345">
        <v>0</v>
      </c>
      <c r="AY15" s="345">
        <v>0</v>
      </c>
      <c r="AZ15" s="345">
        <v>0</v>
      </c>
      <c r="BA15" s="349"/>
      <c r="BB15" s="345"/>
      <c r="BC15" s="345"/>
      <c r="BD15" s="243"/>
      <c r="BE15" s="243"/>
      <c r="BF15" s="439"/>
      <c r="BG15" s="444"/>
      <c r="BH15" s="243"/>
      <c r="BI15" s="243">
        <f>23651120+22457801</f>
        <v>46108921</v>
      </c>
      <c r="BJ15" s="344">
        <f t="shared" si="3"/>
        <v>46108921</v>
      </c>
      <c r="BK15" s="237">
        <f t="shared" si="4"/>
        <v>76374135</v>
      </c>
      <c r="BL15" s="435">
        <f t="shared" si="5"/>
        <v>0.37645142524856662</v>
      </c>
      <c r="BM15" s="279"/>
      <c r="BN15" s="279"/>
      <c r="BO15" s="279"/>
      <c r="BP15" s="279"/>
      <c r="BQ15" s="279"/>
      <c r="BR15" s="279"/>
      <c r="BS15" s="279"/>
      <c r="BT15" s="279"/>
      <c r="BU15" s="279"/>
      <c r="BV15" s="279"/>
      <c r="BW15" s="279"/>
      <c r="BX15" s="279"/>
      <c r="BY15" s="279"/>
      <c r="BZ15" s="279"/>
      <c r="CA15" s="279"/>
      <c r="CB15" s="279"/>
      <c r="CC15" s="279"/>
      <c r="CD15" s="279"/>
    </row>
    <row r="16" spans="1:82" s="33" customFormat="1" x14ac:dyDescent="0.25">
      <c r="A16" s="66">
        <v>104</v>
      </c>
      <c r="B16" s="365" t="s">
        <v>58</v>
      </c>
      <c r="C16" s="66">
        <v>1149</v>
      </c>
      <c r="D16" s="67" t="s">
        <v>60</v>
      </c>
      <c r="E16" s="66">
        <v>1</v>
      </c>
      <c r="F16" s="570"/>
      <c r="G16" s="570"/>
      <c r="H16" s="570"/>
      <c r="I16" s="570"/>
      <c r="J16" s="617"/>
      <c r="K16" s="618"/>
      <c r="L16" s="164" t="s">
        <v>811</v>
      </c>
      <c r="M16" s="164" t="s">
        <v>1119</v>
      </c>
      <c r="N16" s="164" t="s">
        <v>63</v>
      </c>
      <c r="O16" s="166" t="s">
        <v>806</v>
      </c>
      <c r="P16" s="164" t="s">
        <v>325</v>
      </c>
      <c r="Q16" s="180">
        <v>41844</v>
      </c>
      <c r="R16" s="180">
        <v>41949</v>
      </c>
      <c r="S16" s="179" t="s">
        <v>812</v>
      </c>
      <c r="T16" s="178">
        <v>75</v>
      </c>
      <c r="U16" s="166" t="s">
        <v>813</v>
      </c>
      <c r="V16" s="164" t="s">
        <v>327</v>
      </c>
      <c r="W16" s="178">
        <v>8300776445</v>
      </c>
      <c r="X16" s="179" t="s">
        <v>814</v>
      </c>
      <c r="Y16" s="179" t="s">
        <v>808</v>
      </c>
      <c r="Z16" s="178"/>
      <c r="AA16" s="167">
        <v>615</v>
      </c>
      <c r="AB16" s="175"/>
      <c r="AC16" s="167">
        <v>718</v>
      </c>
      <c r="AD16" s="168">
        <v>36252000</v>
      </c>
      <c r="AE16" s="167"/>
      <c r="AF16" s="167"/>
      <c r="AG16" s="167"/>
      <c r="AH16" s="167"/>
      <c r="AI16" s="167">
        <v>0</v>
      </c>
      <c r="AJ16" s="167">
        <v>0</v>
      </c>
      <c r="AK16" s="167">
        <v>0</v>
      </c>
      <c r="AL16" s="167">
        <v>0</v>
      </c>
      <c r="AM16" s="167">
        <v>0</v>
      </c>
      <c r="AN16" s="167">
        <v>0</v>
      </c>
      <c r="AO16" s="167">
        <v>0</v>
      </c>
      <c r="AP16" s="167">
        <v>0</v>
      </c>
      <c r="AQ16" s="168">
        <f t="shared" si="0"/>
        <v>0</v>
      </c>
      <c r="AR16" s="168">
        <f t="shared" si="1"/>
        <v>36252000</v>
      </c>
      <c r="AS16" s="169">
        <f t="shared" si="2"/>
        <v>0</v>
      </c>
      <c r="AT16" s="236"/>
      <c r="AU16" s="346">
        <v>223</v>
      </c>
      <c r="AV16" s="346">
        <v>366</v>
      </c>
      <c r="AW16" s="345">
        <v>36252000</v>
      </c>
      <c r="AX16" s="345">
        <v>0</v>
      </c>
      <c r="AY16" s="345">
        <v>0</v>
      </c>
      <c r="AZ16" s="345">
        <v>0</v>
      </c>
      <c r="BA16" s="349">
        <v>7042000</v>
      </c>
      <c r="BB16" s="345">
        <v>3271000</v>
      </c>
      <c r="BC16" s="345"/>
      <c r="BD16" s="243">
        <f>3271000+3271000</f>
        <v>6542000</v>
      </c>
      <c r="BE16" s="243">
        <v>2771000</v>
      </c>
      <c r="BF16" s="439">
        <v>2771000</v>
      </c>
      <c r="BG16" s="444">
        <v>2771000</v>
      </c>
      <c r="BH16" s="243">
        <v>2771000</v>
      </c>
      <c r="BI16" s="243">
        <f>2771000+2771000</f>
        <v>5542000</v>
      </c>
      <c r="BJ16" s="344">
        <f t="shared" si="3"/>
        <v>33481000</v>
      </c>
      <c r="BK16" s="237">
        <f t="shared" si="4"/>
        <v>2771000</v>
      </c>
      <c r="BL16" s="435">
        <f t="shared" si="5"/>
        <v>0.92356283791239102</v>
      </c>
      <c r="BM16" s="279"/>
      <c r="BN16" s="279"/>
      <c r="BO16" s="279"/>
      <c r="BP16" s="279"/>
      <c r="BQ16" s="279"/>
      <c r="BR16" s="279"/>
      <c r="BS16" s="279"/>
      <c r="BT16" s="279"/>
      <c r="BU16" s="279"/>
      <c r="BV16" s="279"/>
      <c r="BW16" s="279"/>
      <c r="BX16" s="279"/>
      <c r="BY16" s="279"/>
      <c r="BZ16" s="279"/>
      <c r="CA16" s="279"/>
      <c r="CB16" s="279"/>
      <c r="CC16" s="279"/>
      <c r="CD16" s="279"/>
    </row>
    <row r="17" spans="1:82" s="33" customFormat="1" x14ac:dyDescent="0.25">
      <c r="A17" s="66">
        <v>104</v>
      </c>
      <c r="B17" s="365" t="s">
        <v>58</v>
      </c>
      <c r="C17" s="66">
        <v>1149</v>
      </c>
      <c r="D17" s="67" t="s">
        <v>60</v>
      </c>
      <c r="E17" s="66">
        <v>1</v>
      </c>
      <c r="F17" s="570"/>
      <c r="G17" s="570"/>
      <c r="H17" s="570"/>
      <c r="I17" s="570"/>
      <c r="J17" s="617"/>
      <c r="K17" s="618"/>
      <c r="L17" s="164" t="s">
        <v>815</v>
      </c>
      <c r="M17" s="164" t="s">
        <v>1119</v>
      </c>
      <c r="N17" s="164" t="s">
        <v>63</v>
      </c>
      <c r="O17" s="244" t="s">
        <v>797</v>
      </c>
      <c r="P17" s="164" t="s">
        <v>320</v>
      </c>
      <c r="Q17" s="245">
        <v>41925</v>
      </c>
      <c r="R17" s="180">
        <v>41949</v>
      </c>
      <c r="S17" s="246" t="s">
        <v>812</v>
      </c>
      <c r="T17" s="178">
        <v>118</v>
      </c>
      <c r="U17" s="166" t="s">
        <v>798</v>
      </c>
      <c r="V17" s="164" t="s">
        <v>360</v>
      </c>
      <c r="W17" s="178">
        <v>19225812</v>
      </c>
      <c r="X17" s="179" t="s">
        <v>90</v>
      </c>
      <c r="Y17" s="179" t="s">
        <v>795</v>
      </c>
      <c r="Z17" s="178"/>
      <c r="AA17" s="167">
        <v>616</v>
      </c>
      <c r="AB17" s="175"/>
      <c r="AC17" s="167">
        <v>831</v>
      </c>
      <c r="AD17" s="168">
        <v>15500000</v>
      </c>
      <c r="AE17" s="167"/>
      <c r="AF17" s="167"/>
      <c r="AG17" s="167"/>
      <c r="AH17" s="167"/>
      <c r="AI17" s="167"/>
      <c r="AJ17" s="167"/>
      <c r="AK17" s="167"/>
      <c r="AL17" s="167"/>
      <c r="AM17" s="167"/>
      <c r="AN17" s="167">
        <v>0</v>
      </c>
      <c r="AO17" s="167">
        <v>0</v>
      </c>
      <c r="AP17" s="167">
        <v>0</v>
      </c>
      <c r="AQ17" s="168">
        <f t="shared" si="0"/>
        <v>0</v>
      </c>
      <c r="AR17" s="168">
        <f t="shared" si="1"/>
        <v>15500000</v>
      </c>
      <c r="AS17" s="169">
        <f t="shared" si="2"/>
        <v>0</v>
      </c>
      <c r="AT17" s="236"/>
      <c r="AU17" s="346">
        <v>262</v>
      </c>
      <c r="AV17" s="346">
        <v>223</v>
      </c>
      <c r="AW17" s="345">
        <v>15500000</v>
      </c>
      <c r="AX17" s="345">
        <v>0</v>
      </c>
      <c r="AY17" s="345">
        <v>0</v>
      </c>
      <c r="AZ17" s="345">
        <v>0</v>
      </c>
      <c r="BA17" s="349">
        <v>3576924</v>
      </c>
      <c r="BB17" s="345"/>
      <c r="BC17" s="345"/>
      <c r="BD17" s="243"/>
      <c r="BE17" s="243"/>
      <c r="BF17" s="439">
        <v>993590</v>
      </c>
      <c r="BG17" s="444"/>
      <c r="BH17" s="243"/>
      <c r="BI17" s="243"/>
      <c r="BJ17" s="344">
        <f t="shared" si="3"/>
        <v>4570514</v>
      </c>
      <c r="BK17" s="237">
        <f t="shared" si="4"/>
        <v>10929486</v>
      </c>
      <c r="BL17" s="435">
        <f t="shared" si="5"/>
        <v>0.29487187096774192</v>
      </c>
      <c r="BM17" s="279"/>
      <c r="BN17" s="279"/>
      <c r="BO17" s="279"/>
      <c r="BP17" s="279"/>
      <c r="BQ17" s="279"/>
      <c r="BR17" s="279"/>
      <c r="BS17" s="279"/>
      <c r="BT17" s="279"/>
      <c r="BU17" s="279"/>
      <c r="BV17" s="279"/>
      <c r="BW17" s="279"/>
      <c r="BX17" s="279"/>
      <c r="BY17" s="279"/>
      <c r="BZ17" s="279"/>
      <c r="CA17" s="279"/>
      <c r="CB17" s="279"/>
      <c r="CC17" s="279"/>
      <c r="CD17" s="279"/>
    </row>
    <row r="18" spans="1:82" s="33" customFormat="1" x14ac:dyDescent="0.25">
      <c r="A18" s="66">
        <v>104</v>
      </c>
      <c r="B18" s="365" t="s">
        <v>58</v>
      </c>
      <c r="C18" s="66">
        <v>1149</v>
      </c>
      <c r="D18" s="67" t="s">
        <v>60</v>
      </c>
      <c r="E18" s="66">
        <v>1</v>
      </c>
      <c r="F18" s="570"/>
      <c r="G18" s="570"/>
      <c r="H18" s="570"/>
      <c r="I18" s="570"/>
      <c r="J18" s="617"/>
      <c r="K18" s="618"/>
      <c r="L18" s="164" t="s">
        <v>816</v>
      </c>
      <c r="M18" s="164" t="s">
        <v>1119</v>
      </c>
      <c r="N18" s="164" t="s">
        <v>63</v>
      </c>
      <c r="O18" s="244" t="s">
        <v>797</v>
      </c>
      <c r="P18" s="164" t="s">
        <v>320</v>
      </c>
      <c r="Q18" s="246">
        <v>41906</v>
      </c>
      <c r="R18" s="180">
        <v>41949</v>
      </c>
      <c r="S18" s="247" t="s">
        <v>783</v>
      </c>
      <c r="T18" s="178">
        <v>121</v>
      </c>
      <c r="U18" s="166" t="s">
        <v>798</v>
      </c>
      <c r="V18" s="164" t="s">
        <v>368</v>
      </c>
      <c r="W18" s="178">
        <v>41731432</v>
      </c>
      <c r="X18" s="179" t="s">
        <v>90</v>
      </c>
      <c r="Y18" s="179" t="s">
        <v>795</v>
      </c>
      <c r="Z18" s="178"/>
      <c r="AA18" s="167">
        <v>739</v>
      </c>
      <c r="AB18" s="175"/>
      <c r="AC18" s="167">
        <v>845</v>
      </c>
      <c r="AD18" s="168">
        <v>4000000</v>
      </c>
      <c r="AE18" s="167"/>
      <c r="AF18" s="167"/>
      <c r="AG18" s="167"/>
      <c r="AH18" s="167"/>
      <c r="AI18" s="167"/>
      <c r="AJ18" s="167"/>
      <c r="AK18" s="167"/>
      <c r="AL18" s="167"/>
      <c r="AM18" s="167"/>
      <c r="AN18" s="167">
        <v>0</v>
      </c>
      <c r="AO18" s="167">
        <v>0</v>
      </c>
      <c r="AP18" s="167">
        <v>0</v>
      </c>
      <c r="AQ18" s="168">
        <f t="shared" si="0"/>
        <v>0</v>
      </c>
      <c r="AR18" s="168">
        <f t="shared" si="1"/>
        <v>4000000</v>
      </c>
      <c r="AS18" s="169">
        <f t="shared" si="2"/>
        <v>0</v>
      </c>
      <c r="AT18" s="236"/>
      <c r="AU18" s="346">
        <v>272</v>
      </c>
      <c r="AV18" s="346">
        <v>233</v>
      </c>
      <c r="AW18" s="345">
        <v>4000000</v>
      </c>
      <c r="AX18" s="345">
        <v>0</v>
      </c>
      <c r="AY18" s="345">
        <v>0</v>
      </c>
      <c r="AZ18" s="345">
        <v>0</v>
      </c>
      <c r="BA18" s="349"/>
      <c r="BB18" s="345">
        <v>1285714</v>
      </c>
      <c r="BC18" s="345">
        <v>142858</v>
      </c>
      <c r="BD18" s="243">
        <v>1285714</v>
      </c>
      <c r="BE18" s="243">
        <v>1285714</v>
      </c>
      <c r="BF18" s="439"/>
      <c r="BG18" s="444"/>
      <c r="BH18" s="243"/>
      <c r="BI18" s="243"/>
      <c r="BJ18" s="344">
        <f t="shared" si="3"/>
        <v>4000000</v>
      </c>
      <c r="BK18" s="351">
        <f t="shared" si="4"/>
        <v>0</v>
      </c>
      <c r="BL18" s="435">
        <f t="shared" si="5"/>
        <v>1</v>
      </c>
      <c r="BM18" s="279"/>
      <c r="BN18" s="279"/>
      <c r="BO18" s="279"/>
      <c r="BP18" s="279"/>
      <c r="BQ18" s="279"/>
      <c r="BR18" s="279"/>
      <c r="BS18" s="279"/>
      <c r="BT18" s="279"/>
      <c r="BU18" s="279"/>
      <c r="BV18" s="279"/>
      <c r="BW18" s="279"/>
      <c r="BX18" s="279"/>
      <c r="BY18" s="279"/>
      <c r="BZ18" s="279"/>
      <c r="CA18" s="279"/>
      <c r="CB18" s="279"/>
      <c r="CC18" s="279"/>
      <c r="CD18" s="279"/>
    </row>
    <row r="19" spans="1:82" s="33" customFormat="1" x14ac:dyDescent="0.25">
      <c r="A19" s="66">
        <v>104</v>
      </c>
      <c r="B19" s="365" t="s">
        <v>58</v>
      </c>
      <c r="C19" s="66">
        <v>1149</v>
      </c>
      <c r="D19" s="67" t="s">
        <v>60</v>
      </c>
      <c r="E19" s="66">
        <v>1</v>
      </c>
      <c r="F19" s="570"/>
      <c r="G19" s="570"/>
      <c r="H19" s="570"/>
      <c r="I19" s="570"/>
      <c r="J19" s="617"/>
      <c r="K19" s="618"/>
      <c r="L19" s="164" t="s">
        <v>817</v>
      </c>
      <c r="M19" s="164" t="s">
        <v>1119</v>
      </c>
      <c r="N19" s="164" t="s">
        <v>63</v>
      </c>
      <c r="O19" s="244" t="s">
        <v>806</v>
      </c>
      <c r="P19" s="164" t="s">
        <v>325</v>
      </c>
      <c r="Q19" s="246">
        <v>41970</v>
      </c>
      <c r="R19" s="246">
        <v>42065</v>
      </c>
      <c r="S19" s="247" t="s">
        <v>724</v>
      </c>
      <c r="T19" s="178">
        <v>135</v>
      </c>
      <c r="U19" s="246" t="s">
        <v>1287</v>
      </c>
      <c r="V19" s="164" t="s">
        <v>327</v>
      </c>
      <c r="W19" s="178">
        <v>8300776445</v>
      </c>
      <c r="X19" s="179">
        <v>200</v>
      </c>
      <c r="Y19" s="179" t="s">
        <v>808</v>
      </c>
      <c r="Z19" s="178"/>
      <c r="AA19" s="167">
        <v>617</v>
      </c>
      <c r="AB19" s="175"/>
      <c r="AC19" s="167">
        <v>909</v>
      </c>
      <c r="AD19" s="168">
        <v>20000000</v>
      </c>
      <c r="AE19" s="167"/>
      <c r="AF19" s="167"/>
      <c r="AG19" s="167"/>
      <c r="AH19" s="167"/>
      <c r="AI19" s="167"/>
      <c r="AJ19" s="167"/>
      <c r="AK19" s="167"/>
      <c r="AL19" s="167"/>
      <c r="AM19" s="167"/>
      <c r="AN19" s="167">
        <v>0</v>
      </c>
      <c r="AO19" s="167">
        <v>0</v>
      </c>
      <c r="AP19" s="167">
        <v>0</v>
      </c>
      <c r="AQ19" s="168">
        <f t="shared" si="0"/>
        <v>0</v>
      </c>
      <c r="AR19" s="168">
        <f t="shared" si="1"/>
        <v>20000000</v>
      </c>
      <c r="AS19" s="169">
        <f t="shared" si="2"/>
        <v>0</v>
      </c>
      <c r="AT19" s="236"/>
      <c r="AU19" s="346">
        <v>293</v>
      </c>
      <c r="AV19" s="346">
        <v>372</v>
      </c>
      <c r="AW19" s="345">
        <v>20000000</v>
      </c>
      <c r="AX19" s="345">
        <v>0</v>
      </c>
      <c r="AY19" s="345">
        <v>0</v>
      </c>
      <c r="AZ19" s="345">
        <v>0</v>
      </c>
      <c r="BA19" s="349"/>
      <c r="BB19" s="345"/>
      <c r="BC19" s="345"/>
      <c r="BD19" s="243"/>
      <c r="BE19" s="243">
        <v>20000000</v>
      </c>
      <c r="BF19" s="439"/>
      <c r="BG19" s="444"/>
      <c r="BH19" s="243"/>
      <c r="BI19" s="243"/>
      <c r="BJ19" s="344">
        <f t="shared" si="3"/>
        <v>20000000</v>
      </c>
      <c r="BK19" s="237">
        <f t="shared" si="4"/>
        <v>0</v>
      </c>
      <c r="BL19" s="435">
        <f t="shared" si="5"/>
        <v>1</v>
      </c>
      <c r="BM19" s="279"/>
      <c r="BN19" s="279"/>
      <c r="BO19" s="279"/>
      <c r="BP19" s="279"/>
      <c r="BQ19" s="279"/>
      <c r="BR19" s="279"/>
      <c r="BS19" s="279"/>
      <c r="BT19" s="279"/>
      <c r="BU19" s="279"/>
      <c r="BV19" s="279"/>
      <c r="BW19" s="279"/>
      <c r="BX19" s="279"/>
      <c r="BY19" s="279"/>
      <c r="BZ19" s="279"/>
      <c r="CA19" s="279"/>
      <c r="CB19" s="279"/>
      <c r="CC19" s="279"/>
      <c r="CD19" s="279"/>
    </row>
    <row r="20" spans="1:82" s="33" customFormat="1" x14ac:dyDescent="0.25">
      <c r="A20" s="66">
        <v>104</v>
      </c>
      <c r="B20" s="365" t="s">
        <v>58</v>
      </c>
      <c r="C20" s="66">
        <v>1149</v>
      </c>
      <c r="D20" s="67" t="s">
        <v>60</v>
      </c>
      <c r="E20" s="66">
        <v>1</v>
      </c>
      <c r="F20" s="570"/>
      <c r="G20" s="570"/>
      <c r="H20" s="570"/>
      <c r="I20" s="570"/>
      <c r="J20" s="617"/>
      <c r="K20" s="618"/>
      <c r="L20" s="164" t="s">
        <v>818</v>
      </c>
      <c r="M20" s="164" t="s">
        <v>1119</v>
      </c>
      <c r="N20" s="164" t="s">
        <v>63</v>
      </c>
      <c r="O20" s="244" t="s">
        <v>797</v>
      </c>
      <c r="P20" s="164" t="s">
        <v>320</v>
      </c>
      <c r="Q20" s="246">
        <v>42002</v>
      </c>
      <c r="R20" s="246">
        <v>42065</v>
      </c>
      <c r="S20" s="247" t="s">
        <v>783</v>
      </c>
      <c r="T20" s="178">
        <v>179</v>
      </c>
      <c r="U20" s="166" t="s">
        <v>798</v>
      </c>
      <c r="V20" s="164" t="s">
        <v>819</v>
      </c>
      <c r="W20" s="178">
        <v>52268409</v>
      </c>
      <c r="X20" s="179" t="s">
        <v>90</v>
      </c>
      <c r="Y20" s="179" t="s">
        <v>808</v>
      </c>
      <c r="Z20" s="178"/>
      <c r="AA20" s="167">
        <v>614</v>
      </c>
      <c r="AB20" s="175"/>
      <c r="AC20" s="167">
        <v>1023</v>
      </c>
      <c r="AD20" s="168">
        <v>8400000</v>
      </c>
      <c r="AE20" s="167"/>
      <c r="AF20" s="167"/>
      <c r="AG20" s="167"/>
      <c r="AH20" s="167"/>
      <c r="AI20" s="167"/>
      <c r="AJ20" s="167"/>
      <c r="AK20" s="167"/>
      <c r="AL20" s="167"/>
      <c r="AM20" s="167"/>
      <c r="AN20" s="167">
        <v>0</v>
      </c>
      <c r="AO20" s="167">
        <v>0</v>
      </c>
      <c r="AP20" s="167">
        <v>0</v>
      </c>
      <c r="AQ20" s="168">
        <f t="shared" si="0"/>
        <v>0</v>
      </c>
      <c r="AR20" s="168">
        <f t="shared" si="1"/>
        <v>8400000</v>
      </c>
      <c r="AS20" s="169">
        <f t="shared" si="2"/>
        <v>0</v>
      </c>
      <c r="AT20" s="236"/>
      <c r="AU20" s="346">
        <v>358</v>
      </c>
      <c r="AV20" s="346">
        <v>306</v>
      </c>
      <c r="AW20" s="345">
        <v>8400000</v>
      </c>
      <c r="AX20" s="345">
        <v>0</v>
      </c>
      <c r="AY20" s="345">
        <v>0</v>
      </c>
      <c r="AZ20" s="345">
        <v>0</v>
      </c>
      <c r="BA20" s="349"/>
      <c r="BB20" s="345">
        <v>1200000</v>
      </c>
      <c r="BC20" s="345">
        <v>1200000</v>
      </c>
      <c r="BD20" s="345">
        <v>1200000</v>
      </c>
      <c r="BE20" s="243"/>
      <c r="BF20" s="439">
        <v>2400000</v>
      </c>
      <c r="BG20" s="444"/>
      <c r="BH20" s="243"/>
      <c r="BI20" s="243">
        <f>1200000+1200000</f>
        <v>2400000</v>
      </c>
      <c r="BJ20" s="344">
        <f t="shared" si="3"/>
        <v>8400000</v>
      </c>
      <c r="BK20" s="237">
        <f t="shared" si="4"/>
        <v>0</v>
      </c>
      <c r="BL20" s="435">
        <f t="shared" si="5"/>
        <v>1</v>
      </c>
      <c r="BM20" s="279"/>
      <c r="BN20" s="279"/>
      <c r="BO20" s="279"/>
      <c r="BP20" s="279"/>
      <c r="BQ20" s="279"/>
      <c r="BR20" s="279"/>
      <c r="BS20" s="279"/>
      <c r="BT20" s="279"/>
      <c r="BU20" s="279"/>
      <c r="BV20" s="279"/>
      <c r="BW20" s="279"/>
      <c r="BX20" s="279"/>
      <c r="BY20" s="279"/>
      <c r="BZ20" s="279"/>
      <c r="CA20" s="279"/>
      <c r="CB20" s="279"/>
      <c r="CC20" s="279"/>
      <c r="CD20" s="279"/>
    </row>
    <row r="21" spans="1:82" s="25" customFormat="1" x14ac:dyDescent="0.25">
      <c r="A21" s="62">
        <v>105</v>
      </c>
      <c r="B21" s="365" t="s">
        <v>65</v>
      </c>
      <c r="C21" s="62">
        <v>1149</v>
      </c>
      <c r="D21" s="63" t="s">
        <v>60</v>
      </c>
      <c r="E21" s="62">
        <v>2</v>
      </c>
      <c r="F21" s="559" t="s">
        <v>53</v>
      </c>
      <c r="G21" s="559">
        <v>1200</v>
      </c>
      <c r="H21" s="559" t="s">
        <v>61</v>
      </c>
      <c r="I21" s="559" t="s">
        <v>66</v>
      </c>
      <c r="J21" s="619">
        <v>0</v>
      </c>
      <c r="K21" s="621">
        <v>0</v>
      </c>
      <c r="L21" s="164" t="s">
        <v>809</v>
      </c>
      <c r="M21" s="164" t="s">
        <v>1119</v>
      </c>
      <c r="N21" s="164" t="s">
        <v>63</v>
      </c>
      <c r="O21" s="166" t="s">
        <v>806</v>
      </c>
      <c r="P21" s="164" t="s">
        <v>325</v>
      </c>
      <c r="Q21" s="180">
        <v>41844</v>
      </c>
      <c r="R21" s="246">
        <v>42065</v>
      </c>
      <c r="S21" s="179" t="s">
        <v>783</v>
      </c>
      <c r="T21" s="178">
        <v>76</v>
      </c>
      <c r="U21" s="166" t="s">
        <v>810</v>
      </c>
      <c r="V21" s="164" t="s">
        <v>327</v>
      </c>
      <c r="W21" s="178">
        <v>8300776445</v>
      </c>
      <c r="X21" s="179">
        <v>300</v>
      </c>
      <c r="Y21" s="179" t="s">
        <v>808</v>
      </c>
      <c r="Z21" s="178"/>
      <c r="AA21" s="167">
        <v>618</v>
      </c>
      <c r="AB21" s="175"/>
      <c r="AC21" s="167">
        <v>719</v>
      </c>
      <c r="AD21" s="168">
        <f>21958780</f>
        <v>21958780</v>
      </c>
      <c r="AE21" s="248"/>
      <c r="AF21" s="167"/>
      <c r="AG21" s="167"/>
      <c r="AH21" s="167"/>
      <c r="AI21" s="167">
        <v>0</v>
      </c>
      <c r="AJ21" s="167">
        <v>0</v>
      </c>
      <c r="AK21" s="167">
        <v>0</v>
      </c>
      <c r="AL21" s="167">
        <v>0</v>
      </c>
      <c r="AM21" s="167">
        <v>0</v>
      </c>
      <c r="AN21" s="167">
        <v>0</v>
      </c>
      <c r="AO21" s="167">
        <v>0</v>
      </c>
      <c r="AP21" s="167">
        <v>0</v>
      </c>
      <c r="AQ21" s="168">
        <f t="shared" si="0"/>
        <v>0</v>
      </c>
      <c r="AR21" s="168">
        <f t="shared" si="1"/>
        <v>21958780</v>
      </c>
      <c r="AS21" s="169">
        <f t="shared" si="2"/>
        <v>0</v>
      </c>
      <c r="AT21" s="236"/>
      <c r="AU21" s="346">
        <v>224</v>
      </c>
      <c r="AV21" s="346">
        <v>367</v>
      </c>
      <c r="AW21" s="345">
        <v>21958780</v>
      </c>
      <c r="AX21" s="345">
        <v>0</v>
      </c>
      <c r="AY21" s="345">
        <v>0</v>
      </c>
      <c r="AZ21" s="345">
        <v>0</v>
      </c>
      <c r="BA21" s="349"/>
      <c r="BB21" s="345">
        <v>3069675</v>
      </c>
      <c r="BC21" s="345"/>
      <c r="BD21" s="237"/>
      <c r="BE21" s="237"/>
      <c r="BF21" s="438"/>
      <c r="BG21" s="443"/>
      <c r="BH21" s="237"/>
      <c r="BI21" s="237"/>
      <c r="BJ21" s="344">
        <f t="shared" si="3"/>
        <v>3069675</v>
      </c>
      <c r="BK21" s="237">
        <f t="shared" si="4"/>
        <v>18889105</v>
      </c>
      <c r="BL21" s="435">
        <f t="shared" si="5"/>
        <v>0.13979260232125829</v>
      </c>
      <c r="BM21" s="192"/>
      <c r="BN21" s="192"/>
      <c r="BO21" s="192"/>
      <c r="BP21" s="192"/>
      <c r="BQ21" s="192"/>
      <c r="BR21" s="192"/>
      <c r="BS21" s="192"/>
      <c r="BT21" s="192"/>
      <c r="BU21" s="192"/>
      <c r="BV21" s="192"/>
      <c r="BW21" s="192"/>
      <c r="BX21" s="192"/>
      <c r="BY21" s="192"/>
      <c r="BZ21" s="192"/>
      <c r="CA21" s="192"/>
      <c r="CB21" s="192"/>
      <c r="CC21" s="192"/>
      <c r="CD21" s="192"/>
    </row>
    <row r="22" spans="1:82" s="25" customFormat="1" x14ac:dyDescent="0.25">
      <c r="A22" s="62">
        <v>105</v>
      </c>
      <c r="B22" s="365" t="s">
        <v>65</v>
      </c>
      <c r="C22" s="62">
        <v>1149</v>
      </c>
      <c r="D22" s="63" t="s">
        <v>60</v>
      </c>
      <c r="E22" s="62">
        <v>2</v>
      </c>
      <c r="F22" s="559"/>
      <c r="G22" s="559"/>
      <c r="H22" s="559"/>
      <c r="I22" s="559"/>
      <c r="J22" s="620"/>
      <c r="K22" s="622"/>
      <c r="L22" s="166"/>
      <c r="M22" s="164"/>
      <c r="N22" s="166"/>
      <c r="O22" s="166"/>
      <c r="P22" s="166"/>
      <c r="Q22" s="180"/>
      <c r="R22" s="180"/>
      <c r="S22" s="182"/>
      <c r="T22" s="166"/>
      <c r="U22" s="181"/>
      <c r="V22" s="166"/>
      <c r="W22" s="179"/>
      <c r="X22" s="166"/>
      <c r="Y22" s="166"/>
      <c r="Z22" s="166"/>
      <c r="AA22" s="174"/>
      <c r="AB22" s="175"/>
      <c r="AC22" s="174"/>
      <c r="AD22" s="175"/>
      <c r="AE22" s="174"/>
      <c r="AF22" s="174"/>
      <c r="AG22" s="174"/>
      <c r="AH22" s="174"/>
      <c r="AI22" s="174"/>
      <c r="AJ22" s="174"/>
      <c r="AK22" s="174"/>
      <c r="AL22" s="174"/>
      <c r="AM22" s="174"/>
      <c r="AN22" s="174"/>
      <c r="AO22" s="174"/>
      <c r="AP22" s="174"/>
      <c r="AQ22" s="168">
        <f t="shared" si="0"/>
        <v>0</v>
      </c>
      <c r="AR22" s="168">
        <f t="shared" si="1"/>
        <v>0</v>
      </c>
      <c r="AS22" s="169" t="e">
        <f t="shared" si="2"/>
        <v>#DIV/0!</v>
      </c>
      <c r="AT22" s="236"/>
      <c r="AU22" s="346"/>
      <c r="AV22" s="346"/>
      <c r="AW22" s="345"/>
      <c r="AX22" s="345"/>
      <c r="AY22" s="345"/>
      <c r="AZ22" s="345"/>
      <c r="BA22" s="349"/>
      <c r="BB22" s="345"/>
      <c r="BC22" s="345"/>
      <c r="BD22" s="237"/>
      <c r="BE22" s="237"/>
      <c r="BF22" s="438"/>
      <c r="BG22" s="443"/>
      <c r="BH22" s="237"/>
      <c r="BI22" s="237"/>
      <c r="BJ22" s="344">
        <f t="shared" si="3"/>
        <v>0</v>
      </c>
      <c r="BK22" s="237">
        <f t="shared" si="4"/>
        <v>0</v>
      </c>
      <c r="BL22" s="435" t="e">
        <f t="shared" si="5"/>
        <v>#DIV/0!</v>
      </c>
      <c r="BM22" s="192"/>
      <c r="BN22" s="192"/>
      <c r="BO22" s="192"/>
      <c r="BP22" s="192"/>
      <c r="BQ22" s="192"/>
      <c r="BR22" s="192"/>
      <c r="BS22" s="192"/>
      <c r="BT22" s="192"/>
      <c r="BU22" s="192"/>
      <c r="BV22" s="192"/>
      <c r="BW22" s="192"/>
      <c r="BX22" s="192"/>
      <c r="BY22" s="192"/>
      <c r="BZ22" s="192"/>
      <c r="CA22" s="192"/>
      <c r="CB22" s="192"/>
      <c r="CC22" s="192"/>
      <c r="CD22" s="192"/>
    </row>
    <row r="23" spans="1:82" s="25" customFormat="1" x14ac:dyDescent="0.25">
      <c r="A23" s="62">
        <v>105</v>
      </c>
      <c r="B23" s="365" t="s">
        <v>65</v>
      </c>
      <c r="C23" s="62">
        <v>1149</v>
      </c>
      <c r="D23" s="63" t="s">
        <v>60</v>
      </c>
      <c r="E23" s="62">
        <v>2</v>
      </c>
      <c r="F23" s="559"/>
      <c r="G23" s="559"/>
      <c r="H23" s="559"/>
      <c r="I23" s="559"/>
      <c r="J23" s="620"/>
      <c r="K23" s="622"/>
      <c r="L23" s="237"/>
      <c r="M23" s="164"/>
      <c r="N23" s="237"/>
      <c r="O23" s="237"/>
      <c r="P23" s="237"/>
      <c r="Q23" s="237"/>
      <c r="R23" s="237"/>
      <c r="S23" s="237"/>
      <c r="T23" s="237"/>
      <c r="U23" s="237"/>
      <c r="V23" s="237"/>
      <c r="W23" s="237"/>
      <c r="X23" s="237"/>
      <c r="Y23" s="237"/>
      <c r="Z23" s="237"/>
      <c r="AA23" s="237"/>
      <c r="AB23" s="192"/>
      <c r="AC23" s="237"/>
      <c r="AD23" s="237"/>
      <c r="AE23" s="237"/>
      <c r="AF23" s="237"/>
      <c r="AG23" s="237"/>
      <c r="AH23" s="237"/>
      <c r="AI23" s="237"/>
      <c r="AJ23" s="237"/>
      <c r="AK23" s="237"/>
      <c r="AL23" s="237"/>
      <c r="AM23" s="237"/>
      <c r="AN23" s="237"/>
      <c r="AO23" s="237"/>
      <c r="AP23" s="237"/>
      <c r="AQ23" s="237"/>
      <c r="AR23" s="237"/>
      <c r="AS23" s="237"/>
      <c r="AT23" s="236"/>
      <c r="AU23" s="346"/>
      <c r="AV23" s="346"/>
      <c r="AW23" s="345"/>
      <c r="AX23" s="345"/>
      <c r="AY23" s="345"/>
      <c r="AZ23" s="345"/>
      <c r="BA23" s="349"/>
      <c r="BB23" s="345"/>
      <c r="BC23" s="345"/>
      <c r="BD23" s="237"/>
      <c r="BE23" s="237"/>
      <c r="BF23" s="438"/>
      <c r="BG23" s="443"/>
      <c r="BH23" s="237"/>
      <c r="BI23" s="237"/>
      <c r="BJ23" s="344">
        <f t="shared" si="3"/>
        <v>0</v>
      </c>
      <c r="BK23" s="237">
        <f t="shared" si="4"/>
        <v>0</v>
      </c>
      <c r="BL23" s="435" t="e">
        <f t="shared" si="5"/>
        <v>#DIV/0!</v>
      </c>
      <c r="BM23" s="192"/>
      <c r="BN23" s="192"/>
      <c r="BO23" s="192"/>
      <c r="BP23" s="192"/>
      <c r="BQ23" s="192"/>
      <c r="BR23" s="192"/>
      <c r="BS23" s="192"/>
      <c r="BT23" s="192"/>
      <c r="BU23" s="192"/>
      <c r="BV23" s="192"/>
      <c r="BW23" s="192"/>
      <c r="BX23" s="192"/>
      <c r="BY23" s="192"/>
      <c r="BZ23" s="192"/>
      <c r="CA23" s="192"/>
      <c r="CB23" s="192"/>
      <c r="CC23" s="192"/>
      <c r="CD23" s="192"/>
    </row>
    <row r="24" spans="1:82" s="25" customFormat="1" x14ac:dyDescent="0.25">
      <c r="A24" s="62">
        <v>106</v>
      </c>
      <c r="B24" s="365" t="s">
        <v>67</v>
      </c>
      <c r="C24" s="62">
        <v>1149</v>
      </c>
      <c r="D24" s="63" t="s">
        <v>60</v>
      </c>
      <c r="E24" s="62">
        <v>3</v>
      </c>
      <c r="F24" s="559" t="s">
        <v>53</v>
      </c>
      <c r="G24" s="559">
        <v>320</v>
      </c>
      <c r="H24" s="559" t="s">
        <v>61</v>
      </c>
      <c r="I24" s="606" t="s">
        <v>69</v>
      </c>
      <c r="J24" s="614">
        <v>0</v>
      </c>
      <c r="K24" s="614">
        <v>0</v>
      </c>
      <c r="L24" s="164" t="s">
        <v>820</v>
      </c>
      <c r="M24" s="164" t="s">
        <v>1119</v>
      </c>
      <c r="N24" s="164" t="s">
        <v>63</v>
      </c>
      <c r="O24" s="166" t="s">
        <v>806</v>
      </c>
      <c r="P24" s="164" t="s">
        <v>325</v>
      </c>
      <c r="Q24" s="180">
        <v>41844</v>
      </c>
      <c r="R24" s="180">
        <v>41949</v>
      </c>
      <c r="S24" s="179" t="s">
        <v>783</v>
      </c>
      <c r="T24" s="164">
        <v>77</v>
      </c>
      <c r="U24" s="166" t="s">
        <v>810</v>
      </c>
      <c r="V24" s="164" t="s">
        <v>327</v>
      </c>
      <c r="W24" s="178">
        <v>8300776445</v>
      </c>
      <c r="X24" s="166">
        <v>58</v>
      </c>
      <c r="Y24" s="179" t="s">
        <v>808</v>
      </c>
      <c r="Z24" s="164"/>
      <c r="AA24" s="167">
        <v>611</v>
      </c>
      <c r="AB24" s="175"/>
      <c r="AC24" s="167">
        <v>716</v>
      </c>
      <c r="AD24" s="168">
        <v>91000000</v>
      </c>
      <c r="AE24" s="167"/>
      <c r="AF24" s="167"/>
      <c r="AG24" s="167"/>
      <c r="AH24" s="167"/>
      <c r="AI24" s="167">
        <v>0</v>
      </c>
      <c r="AJ24" s="167">
        <v>0</v>
      </c>
      <c r="AK24" s="167">
        <v>0</v>
      </c>
      <c r="AL24" s="167">
        <v>0</v>
      </c>
      <c r="AM24" s="167">
        <v>0</v>
      </c>
      <c r="AN24" s="167">
        <v>0</v>
      </c>
      <c r="AO24" s="167">
        <v>0</v>
      </c>
      <c r="AP24" s="167">
        <v>0</v>
      </c>
      <c r="AQ24" s="168">
        <f>SUM(AE24:AP24)</f>
        <v>0</v>
      </c>
      <c r="AR24" s="168">
        <f>+AD24-AQ24</f>
        <v>91000000</v>
      </c>
      <c r="AS24" s="169">
        <f>+AQ24/AD24</f>
        <v>0</v>
      </c>
      <c r="AT24" s="236"/>
      <c r="AU24" s="346">
        <v>221</v>
      </c>
      <c r="AV24" s="346">
        <v>364</v>
      </c>
      <c r="AW24" s="345">
        <v>91000000</v>
      </c>
      <c r="AX24" s="345">
        <v>0</v>
      </c>
      <c r="AY24" s="345">
        <v>0</v>
      </c>
      <c r="AZ24" s="345"/>
      <c r="BA24" s="349">
        <v>12758142</v>
      </c>
      <c r="BB24" s="345">
        <f>2003278+1521256</f>
        <v>3524534</v>
      </c>
      <c r="BC24" s="345"/>
      <c r="BD24" s="237"/>
      <c r="BE24" s="237">
        <v>40424900</v>
      </c>
      <c r="BF24" s="438">
        <f>4440729+29851695</f>
        <v>34292424</v>
      </c>
      <c r="BG24" s="443"/>
      <c r="BH24" s="237"/>
      <c r="BI24" s="237"/>
      <c r="BJ24" s="344">
        <f t="shared" si="3"/>
        <v>91000000</v>
      </c>
      <c r="BK24" s="237">
        <f t="shared" si="4"/>
        <v>0</v>
      </c>
      <c r="BL24" s="435">
        <f t="shared" si="5"/>
        <v>1</v>
      </c>
      <c r="BM24" s="192"/>
      <c r="BN24" s="192"/>
      <c r="BO24" s="192"/>
      <c r="BP24" s="192"/>
      <c r="BQ24" s="192"/>
      <c r="BR24" s="192"/>
      <c r="BS24" s="192"/>
      <c r="BT24" s="192"/>
      <c r="BU24" s="192"/>
      <c r="BV24" s="192"/>
      <c r="BW24" s="192"/>
      <c r="BX24" s="192"/>
      <c r="BY24" s="192"/>
      <c r="BZ24" s="192"/>
      <c r="CA24" s="192"/>
      <c r="CB24" s="192"/>
      <c r="CC24" s="192"/>
      <c r="CD24" s="192"/>
    </row>
    <row r="25" spans="1:82" s="25" customFormat="1" x14ac:dyDescent="0.25">
      <c r="A25" s="62">
        <v>106</v>
      </c>
      <c r="B25" s="365" t="s">
        <v>67</v>
      </c>
      <c r="C25" s="62">
        <v>1149</v>
      </c>
      <c r="D25" s="63" t="s">
        <v>60</v>
      </c>
      <c r="E25" s="62">
        <v>3</v>
      </c>
      <c r="F25" s="559"/>
      <c r="G25" s="559"/>
      <c r="H25" s="559"/>
      <c r="I25" s="606"/>
      <c r="J25" s="614"/>
      <c r="K25" s="614"/>
      <c r="L25" s="164" t="s">
        <v>821</v>
      </c>
      <c r="M25" s="164" t="s">
        <v>1119</v>
      </c>
      <c r="N25" s="164" t="s">
        <v>63</v>
      </c>
      <c r="O25" s="166" t="s">
        <v>797</v>
      </c>
      <c r="P25" s="164" t="s">
        <v>320</v>
      </c>
      <c r="Q25" s="180">
        <v>41906</v>
      </c>
      <c r="R25" s="180">
        <v>41949</v>
      </c>
      <c r="S25" s="179" t="s">
        <v>783</v>
      </c>
      <c r="T25" s="164">
        <v>121</v>
      </c>
      <c r="U25" s="166" t="s">
        <v>810</v>
      </c>
      <c r="V25" s="164" t="s">
        <v>368</v>
      </c>
      <c r="W25" s="178">
        <v>41731432</v>
      </c>
      <c r="X25" s="179" t="s">
        <v>90</v>
      </c>
      <c r="Y25" s="166" t="s">
        <v>315</v>
      </c>
      <c r="Z25" s="164"/>
      <c r="AA25" s="167">
        <v>612</v>
      </c>
      <c r="AB25" s="175"/>
      <c r="AC25" s="167">
        <v>844</v>
      </c>
      <c r="AD25" s="168">
        <v>9000000</v>
      </c>
      <c r="AE25" s="167"/>
      <c r="AF25" s="167"/>
      <c r="AG25" s="167"/>
      <c r="AH25" s="167"/>
      <c r="AI25" s="167">
        <v>0</v>
      </c>
      <c r="AJ25" s="167">
        <v>0</v>
      </c>
      <c r="AK25" s="167">
        <v>0</v>
      </c>
      <c r="AL25" s="167">
        <v>0</v>
      </c>
      <c r="AM25" s="167">
        <v>0</v>
      </c>
      <c r="AN25" s="167">
        <v>0</v>
      </c>
      <c r="AO25" s="167">
        <v>0</v>
      </c>
      <c r="AP25" s="167">
        <v>0</v>
      </c>
      <c r="AQ25" s="168">
        <f>SUM(AE25:AP25)</f>
        <v>0</v>
      </c>
      <c r="AR25" s="168">
        <f>+AD25-AQ25</f>
        <v>9000000</v>
      </c>
      <c r="AS25" s="169">
        <f>+AQ25/AD25</f>
        <v>0</v>
      </c>
      <c r="AT25" s="236"/>
      <c r="AU25" s="346">
        <v>271</v>
      </c>
      <c r="AV25" s="346">
        <v>232</v>
      </c>
      <c r="AW25" s="345">
        <v>9000000</v>
      </c>
      <c r="AX25" s="345">
        <v>0</v>
      </c>
      <c r="AY25" s="345">
        <v>0</v>
      </c>
      <c r="AZ25" s="345">
        <v>1857143</v>
      </c>
      <c r="BA25" s="349">
        <v>3714286</v>
      </c>
      <c r="BB25" s="345">
        <v>1857143</v>
      </c>
      <c r="BC25" s="345">
        <v>1571428</v>
      </c>
      <c r="BD25" s="237"/>
      <c r="BE25" s="237"/>
      <c r="BF25" s="438"/>
      <c r="BG25" s="443"/>
      <c r="BH25" s="237"/>
      <c r="BI25" s="237"/>
      <c r="BJ25" s="344">
        <f t="shared" si="3"/>
        <v>9000000</v>
      </c>
      <c r="BK25" s="237">
        <f t="shared" si="4"/>
        <v>0</v>
      </c>
      <c r="BL25" s="435">
        <f t="shared" si="5"/>
        <v>1</v>
      </c>
      <c r="BM25" s="192"/>
      <c r="BN25" s="192"/>
      <c r="BO25" s="192"/>
      <c r="BP25" s="192"/>
      <c r="BQ25" s="192"/>
      <c r="BR25" s="192"/>
      <c r="BS25" s="192"/>
      <c r="BT25" s="192"/>
      <c r="BU25" s="192"/>
      <c r="BV25" s="192"/>
      <c r="BW25" s="192"/>
      <c r="BX25" s="192"/>
      <c r="BY25" s="192"/>
      <c r="BZ25" s="192"/>
      <c r="CA25" s="192"/>
      <c r="CB25" s="192"/>
      <c r="CC25" s="192"/>
      <c r="CD25" s="192"/>
    </row>
    <row r="26" spans="1:82" s="25" customFormat="1" x14ac:dyDescent="0.25">
      <c r="A26" s="62">
        <v>106</v>
      </c>
      <c r="B26" s="365" t="s">
        <v>67</v>
      </c>
      <c r="C26" s="62">
        <v>1149</v>
      </c>
      <c r="D26" s="63" t="s">
        <v>60</v>
      </c>
      <c r="E26" s="62">
        <v>3</v>
      </c>
      <c r="F26" s="559"/>
      <c r="G26" s="559"/>
      <c r="H26" s="559"/>
      <c r="I26" s="606"/>
      <c r="J26" s="614"/>
      <c r="K26" s="614"/>
      <c r="L26" s="237"/>
      <c r="M26" s="164"/>
      <c r="N26" s="237"/>
      <c r="O26" s="237"/>
      <c r="P26" s="237"/>
      <c r="Q26" s="237"/>
      <c r="R26" s="237"/>
      <c r="S26" s="237"/>
      <c r="T26" s="237"/>
      <c r="U26" s="237"/>
      <c r="V26" s="237"/>
      <c r="W26" s="237"/>
      <c r="X26" s="237"/>
      <c r="Y26" s="237"/>
      <c r="Z26" s="237"/>
      <c r="AA26" s="237"/>
      <c r="AB26" s="192"/>
      <c r="AC26" s="237"/>
      <c r="AD26" s="237"/>
      <c r="AE26" s="237"/>
      <c r="AF26" s="237"/>
      <c r="AG26" s="237"/>
      <c r="AH26" s="237"/>
      <c r="AI26" s="237"/>
      <c r="AJ26" s="237"/>
      <c r="AK26" s="237"/>
      <c r="AL26" s="237"/>
      <c r="AM26" s="237"/>
      <c r="AN26" s="237"/>
      <c r="AO26" s="237"/>
      <c r="AP26" s="237"/>
      <c r="AQ26" s="237"/>
      <c r="AR26" s="237"/>
      <c r="AS26" s="237"/>
      <c r="AT26" s="236"/>
      <c r="AU26" s="346"/>
      <c r="AV26" s="346"/>
      <c r="AW26" s="345"/>
      <c r="AX26" s="345"/>
      <c r="AY26" s="345"/>
      <c r="AZ26" s="345"/>
      <c r="BA26" s="345"/>
      <c r="BB26" s="345"/>
      <c r="BC26" s="345"/>
      <c r="BD26" s="237"/>
      <c r="BE26" s="237"/>
      <c r="BF26" s="438"/>
      <c r="BG26" s="443"/>
      <c r="BH26" s="237"/>
      <c r="BI26" s="237"/>
      <c r="BJ26" s="344">
        <f t="shared" si="3"/>
        <v>0</v>
      </c>
      <c r="BK26" s="237">
        <f t="shared" si="4"/>
        <v>0</v>
      </c>
      <c r="BL26" s="435">
        <f>+BJ26/AW27</f>
        <v>0</v>
      </c>
      <c r="BM26" s="192"/>
      <c r="BN26" s="192"/>
      <c r="BO26" s="192"/>
      <c r="BP26" s="192"/>
      <c r="BQ26" s="192"/>
      <c r="BR26" s="192"/>
      <c r="BS26" s="192"/>
      <c r="BT26" s="192"/>
      <c r="BU26" s="192"/>
      <c r="BV26" s="192"/>
      <c r="BW26" s="192"/>
      <c r="BX26" s="192"/>
      <c r="BY26" s="192"/>
      <c r="BZ26" s="192"/>
      <c r="CA26" s="192"/>
      <c r="CB26" s="192"/>
      <c r="CC26" s="192"/>
      <c r="CD26" s="192"/>
    </row>
    <row r="27" spans="1:82" s="25" customFormat="1" ht="13.5" customHeight="1" x14ac:dyDescent="0.25">
      <c r="A27" s="62">
        <v>107</v>
      </c>
      <c r="B27" s="365" t="s">
        <v>71</v>
      </c>
      <c r="C27" s="62">
        <v>1150</v>
      </c>
      <c r="D27" s="63" t="s">
        <v>73</v>
      </c>
      <c r="E27" s="62">
        <v>1</v>
      </c>
      <c r="F27" s="584" t="s">
        <v>53</v>
      </c>
      <c r="G27" s="584">
        <v>400</v>
      </c>
      <c r="H27" s="584" t="s">
        <v>74</v>
      </c>
      <c r="I27" s="584" t="s">
        <v>75</v>
      </c>
      <c r="J27" s="620">
        <v>0</v>
      </c>
      <c r="K27" s="622">
        <v>0</v>
      </c>
      <c r="L27" s="164" t="s">
        <v>822</v>
      </c>
      <c r="M27" s="164" t="s">
        <v>1119</v>
      </c>
      <c r="N27" s="164" t="s">
        <v>76</v>
      </c>
      <c r="O27" s="249" t="s">
        <v>1286</v>
      </c>
      <c r="P27" s="164" t="s">
        <v>356</v>
      </c>
      <c r="Q27" s="249">
        <v>41890</v>
      </c>
      <c r="R27" s="249">
        <v>42023</v>
      </c>
      <c r="S27" s="249" t="s">
        <v>783</v>
      </c>
      <c r="T27" s="164">
        <v>133</v>
      </c>
      <c r="U27" s="249" t="s">
        <v>1291</v>
      </c>
      <c r="V27" s="164" t="s">
        <v>376</v>
      </c>
      <c r="W27" s="178">
        <v>900413743</v>
      </c>
      <c r="X27" s="250">
        <v>270</v>
      </c>
      <c r="Y27" s="249" t="s">
        <v>808</v>
      </c>
      <c r="Z27" s="164"/>
      <c r="AA27" s="167">
        <v>751</v>
      </c>
      <c r="AB27" s="175"/>
      <c r="AC27" s="167">
        <v>856</v>
      </c>
      <c r="AD27" s="168">
        <v>169424274</v>
      </c>
      <c r="AE27" s="167"/>
      <c r="AF27" s="167"/>
      <c r="AG27" s="167"/>
      <c r="AH27" s="167"/>
      <c r="AI27" s="167">
        <v>0</v>
      </c>
      <c r="AJ27" s="167">
        <v>0</v>
      </c>
      <c r="AK27" s="167">
        <v>0</v>
      </c>
      <c r="AL27" s="167">
        <v>0</v>
      </c>
      <c r="AM27" s="167">
        <v>0</v>
      </c>
      <c r="AN27" s="167">
        <v>0</v>
      </c>
      <c r="AO27" s="167">
        <v>0</v>
      </c>
      <c r="AP27" s="167">
        <v>0</v>
      </c>
      <c r="AQ27" s="168">
        <f t="shared" ref="AQ27:AQ58" si="6">SUM(AE27:AP27)</f>
        <v>0</v>
      </c>
      <c r="AR27" s="168">
        <f t="shared" ref="AR27:AR58" si="7">+AD27-AQ27</f>
        <v>169424274</v>
      </c>
      <c r="AS27" s="169">
        <f t="shared" ref="AS27:AS58" si="8">+AQ27/AD27</f>
        <v>0</v>
      </c>
      <c r="AT27" s="236"/>
      <c r="AU27" s="346">
        <v>280</v>
      </c>
      <c r="AV27" s="346">
        <v>240</v>
      </c>
      <c r="AW27" s="345">
        <v>169424274</v>
      </c>
      <c r="AX27" s="345">
        <v>0</v>
      </c>
      <c r="AY27" s="345">
        <v>0</v>
      </c>
      <c r="AZ27" s="345">
        <v>0</v>
      </c>
      <c r="BA27" s="345">
        <v>0</v>
      </c>
      <c r="BB27" s="345">
        <v>6029000</v>
      </c>
      <c r="BC27" s="237"/>
      <c r="BD27" s="345">
        <v>33678201</v>
      </c>
      <c r="BE27" s="345">
        <v>44424769</v>
      </c>
      <c r="BF27" s="438">
        <v>24519868</v>
      </c>
      <c r="BG27" s="447">
        <v>19713268</v>
      </c>
      <c r="BH27" s="237"/>
      <c r="BI27" s="237">
        <v>40387501</v>
      </c>
      <c r="BJ27" s="344">
        <f t="shared" si="3"/>
        <v>168752607</v>
      </c>
      <c r="BK27" s="237">
        <f t="shared" si="4"/>
        <v>671667</v>
      </c>
      <c r="BL27" s="435">
        <f>+BJ27/AW28</f>
        <v>15.067197053571428</v>
      </c>
      <c r="BM27" s="192"/>
      <c r="BN27" s="192"/>
      <c r="BO27" s="192"/>
      <c r="BP27" s="192"/>
      <c r="BQ27" s="192"/>
      <c r="BR27" s="192"/>
      <c r="BS27" s="192"/>
      <c r="BT27" s="192"/>
      <c r="BU27" s="192"/>
      <c r="BV27" s="192"/>
      <c r="BW27" s="192"/>
      <c r="BX27" s="192"/>
      <c r="BY27" s="192"/>
      <c r="BZ27" s="192"/>
      <c r="CA27" s="192"/>
      <c r="CB27" s="192"/>
      <c r="CC27" s="192"/>
      <c r="CD27" s="192"/>
    </row>
    <row r="28" spans="1:82" s="25" customFormat="1" x14ac:dyDescent="0.25">
      <c r="A28" s="62">
        <v>107</v>
      </c>
      <c r="B28" s="365" t="s">
        <v>71</v>
      </c>
      <c r="C28" s="62">
        <v>1150</v>
      </c>
      <c r="D28" s="63" t="s">
        <v>73</v>
      </c>
      <c r="E28" s="62">
        <v>1</v>
      </c>
      <c r="F28" s="585"/>
      <c r="G28" s="585"/>
      <c r="H28" s="585"/>
      <c r="I28" s="585"/>
      <c r="J28" s="620"/>
      <c r="K28" s="622"/>
      <c r="L28" s="164" t="s">
        <v>823</v>
      </c>
      <c r="M28" s="164" t="s">
        <v>1119</v>
      </c>
      <c r="N28" s="164" t="s">
        <v>76</v>
      </c>
      <c r="O28" s="249" t="s">
        <v>797</v>
      </c>
      <c r="P28" s="164" t="s">
        <v>320</v>
      </c>
      <c r="Q28" s="249">
        <v>41967</v>
      </c>
      <c r="R28" s="249">
        <v>42023</v>
      </c>
      <c r="S28" s="249" t="s">
        <v>783</v>
      </c>
      <c r="T28" s="164">
        <v>141</v>
      </c>
      <c r="U28" s="249" t="s">
        <v>418</v>
      </c>
      <c r="V28" s="164" t="s">
        <v>824</v>
      </c>
      <c r="W28" s="178">
        <v>1023881209</v>
      </c>
      <c r="X28" s="249" t="s">
        <v>90</v>
      </c>
      <c r="Y28" s="249" t="s">
        <v>808</v>
      </c>
      <c r="Z28" s="164"/>
      <c r="AA28" s="167">
        <v>752</v>
      </c>
      <c r="AB28" s="175"/>
      <c r="AC28" s="167">
        <v>910</v>
      </c>
      <c r="AD28" s="168">
        <v>11200000</v>
      </c>
      <c r="AE28" s="167"/>
      <c r="AF28" s="167"/>
      <c r="AG28" s="167"/>
      <c r="AH28" s="167"/>
      <c r="AI28" s="167">
        <v>0</v>
      </c>
      <c r="AJ28" s="167">
        <v>0</v>
      </c>
      <c r="AK28" s="167">
        <v>0</v>
      </c>
      <c r="AL28" s="167">
        <v>0</v>
      </c>
      <c r="AM28" s="167">
        <v>0</v>
      </c>
      <c r="AN28" s="167">
        <v>0</v>
      </c>
      <c r="AO28" s="167">
        <v>0</v>
      </c>
      <c r="AP28" s="167">
        <v>0</v>
      </c>
      <c r="AQ28" s="168">
        <f t="shared" si="6"/>
        <v>0</v>
      </c>
      <c r="AR28" s="168">
        <f t="shared" si="7"/>
        <v>11200000</v>
      </c>
      <c r="AS28" s="169">
        <f t="shared" si="8"/>
        <v>0</v>
      </c>
      <c r="AT28" s="236"/>
      <c r="AU28" s="346">
        <v>294</v>
      </c>
      <c r="AV28" s="346">
        <v>251</v>
      </c>
      <c r="AW28" s="345">
        <v>11200000</v>
      </c>
      <c r="AX28" s="345">
        <v>0</v>
      </c>
      <c r="AY28" s="345">
        <v>0</v>
      </c>
      <c r="AZ28" s="345">
        <v>0</v>
      </c>
      <c r="BA28" s="345">
        <v>0</v>
      </c>
      <c r="BB28" s="345">
        <v>1600000</v>
      </c>
      <c r="BC28" s="237"/>
      <c r="BD28" s="345">
        <v>1600000</v>
      </c>
      <c r="BE28" s="345">
        <v>3200000</v>
      </c>
      <c r="BF28" s="438">
        <v>1600000</v>
      </c>
      <c r="BG28" s="447">
        <v>1600000</v>
      </c>
      <c r="BH28" s="237"/>
      <c r="BI28" s="237">
        <v>1600000</v>
      </c>
      <c r="BJ28" s="344">
        <f t="shared" si="3"/>
        <v>11200000</v>
      </c>
      <c r="BK28" s="237">
        <f t="shared" si="4"/>
        <v>0</v>
      </c>
      <c r="BL28" s="435">
        <f>+BJ28/AW29</f>
        <v>4.5860703028198599E-2</v>
      </c>
      <c r="BM28" s="192"/>
      <c r="BN28" s="192"/>
      <c r="BO28" s="192"/>
      <c r="BP28" s="192"/>
      <c r="BQ28" s="192"/>
      <c r="BR28" s="192"/>
      <c r="BS28" s="192"/>
      <c r="BT28" s="192"/>
      <c r="BU28" s="192"/>
      <c r="BV28" s="192"/>
      <c r="BW28" s="192"/>
      <c r="BX28" s="192"/>
      <c r="BY28" s="192"/>
      <c r="BZ28" s="192"/>
      <c r="CA28" s="192"/>
      <c r="CB28" s="192"/>
      <c r="CC28" s="192"/>
      <c r="CD28" s="192"/>
    </row>
    <row r="29" spans="1:82" s="25" customFormat="1" x14ac:dyDescent="0.25">
      <c r="A29" s="62">
        <v>107</v>
      </c>
      <c r="B29" s="365" t="s">
        <v>71</v>
      </c>
      <c r="C29" s="62">
        <v>1150</v>
      </c>
      <c r="D29" s="63" t="s">
        <v>73</v>
      </c>
      <c r="E29" s="62">
        <v>1</v>
      </c>
      <c r="F29" s="585"/>
      <c r="G29" s="585"/>
      <c r="H29" s="585"/>
      <c r="I29" s="585"/>
      <c r="J29" s="620"/>
      <c r="K29" s="622"/>
      <c r="L29" s="164" t="s">
        <v>825</v>
      </c>
      <c r="M29" s="164" t="s">
        <v>1119</v>
      </c>
      <c r="N29" s="164" t="s">
        <v>76</v>
      </c>
      <c r="O29" s="249" t="s">
        <v>1286</v>
      </c>
      <c r="P29" s="164" t="s">
        <v>356</v>
      </c>
      <c r="Q29" s="249">
        <v>41964</v>
      </c>
      <c r="R29" s="249">
        <v>42023</v>
      </c>
      <c r="S29" s="249" t="s">
        <v>1292</v>
      </c>
      <c r="T29" s="164">
        <v>138</v>
      </c>
      <c r="U29" s="249" t="s">
        <v>1291</v>
      </c>
      <c r="V29" s="164" t="s">
        <v>376</v>
      </c>
      <c r="W29" s="178">
        <v>900413743</v>
      </c>
      <c r="X29" s="250">
        <v>100</v>
      </c>
      <c r="Y29" s="249" t="s">
        <v>808</v>
      </c>
      <c r="Z29" s="164"/>
      <c r="AA29" s="167">
        <v>762</v>
      </c>
      <c r="AB29" s="175"/>
      <c r="AC29" s="167">
        <v>911</v>
      </c>
      <c r="AD29" s="168">
        <v>244217800</v>
      </c>
      <c r="AE29" s="167"/>
      <c r="AF29" s="167"/>
      <c r="AG29" s="167"/>
      <c r="AH29" s="167"/>
      <c r="AI29" s="167">
        <v>0</v>
      </c>
      <c r="AJ29" s="167">
        <v>0</v>
      </c>
      <c r="AK29" s="167">
        <v>0</v>
      </c>
      <c r="AL29" s="167">
        <v>0</v>
      </c>
      <c r="AM29" s="167">
        <v>0</v>
      </c>
      <c r="AN29" s="167">
        <v>0</v>
      </c>
      <c r="AO29" s="167">
        <v>0</v>
      </c>
      <c r="AP29" s="167">
        <v>0</v>
      </c>
      <c r="AQ29" s="168">
        <f t="shared" si="6"/>
        <v>0</v>
      </c>
      <c r="AR29" s="168">
        <f t="shared" si="7"/>
        <v>244217800</v>
      </c>
      <c r="AS29" s="169">
        <f t="shared" si="8"/>
        <v>0</v>
      </c>
      <c r="AT29" s="236"/>
      <c r="AU29" s="346">
        <v>295</v>
      </c>
      <c r="AV29" s="346">
        <v>252</v>
      </c>
      <c r="AW29" s="345">
        <v>244217800</v>
      </c>
      <c r="AX29" s="345">
        <v>0</v>
      </c>
      <c r="AY29" s="345">
        <v>0</v>
      </c>
      <c r="AZ29" s="345">
        <v>0</v>
      </c>
      <c r="BA29" s="345">
        <v>0</v>
      </c>
      <c r="BB29" s="345">
        <v>5122800</v>
      </c>
      <c r="BC29" s="237"/>
      <c r="BD29" s="345">
        <v>35660000</v>
      </c>
      <c r="BE29" s="345">
        <v>48965000</v>
      </c>
      <c r="BF29" s="438">
        <v>18410000</v>
      </c>
      <c r="BG29" s="447">
        <v>20877666</v>
      </c>
      <c r="BH29" s="237"/>
      <c r="BI29" s="237"/>
      <c r="BJ29" s="344">
        <f t="shared" si="3"/>
        <v>129035466</v>
      </c>
      <c r="BK29" s="237">
        <f t="shared" si="4"/>
        <v>115182334</v>
      </c>
      <c r="BL29" s="435">
        <f>+BJ29/AW30</f>
        <v>7.5020619767441863</v>
      </c>
      <c r="BM29" s="192"/>
      <c r="BN29" s="192"/>
      <c r="BO29" s="192"/>
      <c r="BP29" s="192"/>
      <c r="BQ29" s="192"/>
      <c r="BR29" s="192"/>
      <c r="BS29" s="192"/>
      <c r="BT29" s="192"/>
      <c r="BU29" s="192"/>
      <c r="BV29" s="192"/>
      <c r="BW29" s="192"/>
      <c r="BX29" s="192"/>
      <c r="BY29" s="192"/>
      <c r="BZ29" s="192"/>
      <c r="CA29" s="192"/>
      <c r="CB29" s="192"/>
      <c r="CC29" s="192"/>
      <c r="CD29" s="192"/>
    </row>
    <row r="30" spans="1:82" s="25" customFormat="1" x14ac:dyDescent="0.25">
      <c r="A30" s="62">
        <v>107</v>
      </c>
      <c r="B30" s="365" t="s">
        <v>71</v>
      </c>
      <c r="C30" s="62">
        <v>1150</v>
      </c>
      <c r="D30" s="63" t="s">
        <v>73</v>
      </c>
      <c r="E30" s="62">
        <v>1</v>
      </c>
      <c r="F30" s="585"/>
      <c r="G30" s="585"/>
      <c r="H30" s="585"/>
      <c r="I30" s="585"/>
      <c r="J30" s="620"/>
      <c r="K30" s="622"/>
      <c r="L30" s="164" t="s">
        <v>826</v>
      </c>
      <c r="M30" s="164" t="s">
        <v>1119</v>
      </c>
      <c r="N30" s="164" t="s">
        <v>76</v>
      </c>
      <c r="O30" s="249" t="s">
        <v>797</v>
      </c>
      <c r="P30" s="164" t="s">
        <v>320</v>
      </c>
      <c r="Q30" s="249">
        <v>41964</v>
      </c>
      <c r="R30" s="249">
        <v>42023</v>
      </c>
      <c r="S30" s="249" t="s">
        <v>1292</v>
      </c>
      <c r="T30" s="381">
        <v>140</v>
      </c>
      <c r="U30" s="249" t="s">
        <v>418</v>
      </c>
      <c r="V30" s="164" t="s">
        <v>827</v>
      </c>
      <c r="W30" s="178">
        <v>4206807</v>
      </c>
      <c r="X30" s="249" t="s">
        <v>90</v>
      </c>
      <c r="Y30" s="249" t="s">
        <v>808</v>
      </c>
      <c r="Z30" s="164"/>
      <c r="AA30" s="167">
        <v>763</v>
      </c>
      <c r="AB30" s="175"/>
      <c r="AC30" s="167">
        <v>914</v>
      </c>
      <c r="AD30" s="168">
        <v>17200000</v>
      </c>
      <c r="AE30" s="167"/>
      <c r="AF30" s="167"/>
      <c r="AG30" s="167"/>
      <c r="AH30" s="167"/>
      <c r="AI30" s="167"/>
      <c r="AJ30" s="167"/>
      <c r="AK30" s="167"/>
      <c r="AL30" s="167"/>
      <c r="AM30" s="167"/>
      <c r="AN30" s="167">
        <v>0</v>
      </c>
      <c r="AO30" s="167">
        <v>0</v>
      </c>
      <c r="AP30" s="167">
        <v>0</v>
      </c>
      <c r="AQ30" s="168">
        <f t="shared" si="6"/>
        <v>0</v>
      </c>
      <c r="AR30" s="168">
        <f t="shared" si="7"/>
        <v>17200000</v>
      </c>
      <c r="AS30" s="169">
        <f t="shared" si="8"/>
        <v>0</v>
      </c>
      <c r="AT30" s="236"/>
      <c r="AU30" s="346">
        <v>298</v>
      </c>
      <c r="AV30" s="346">
        <v>255</v>
      </c>
      <c r="AW30" s="345">
        <v>17200000</v>
      </c>
      <c r="AX30" s="345">
        <v>0</v>
      </c>
      <c r="AY30" s="345">
        <v>0</v>
      </c>
      <c r="AZ30" s="345">
        <v>0</v>
      </c>
      <c r="BA30" s="345">
        <v>0</v>
      </c>
      <c r="BB30" s="345">
        <v>1433333</v>
      </c>
      <c r="BC30" s="237"/>
      <c r="BD30" s="345">
        <v>1433333</v>
      </c>
      <c r="BE30" s="345">
        <v>2866666</v>
      </c>
      <c r="BF30" s="438">
        <v>1433333</v>
      </c>
      <c r="BG30" s="447">
        <v>1433333</v>
      </c>
      <c r="BH30" s="237"/>
      <c r="BI30" s="237"/>
      <c r="BJ30" s="344">
        <f t="shared" si="3"/>
        <v>8599998</v>
      </c>
      <c r="BK30" s="237">
        <f t="shared" si="4"/>
        <v>8600002</v>
      </c>
      <c r="BL30" s="435">
        <f>+BJ30/AW31</f>
        <v>1.3030299999999999</v>
      </c>
      <c r="BM30" s="192"/>
      <c r="BN30" s="192"/>
      <c r="BO30" s="192"/>
      <c r="BP30" s="192"/>
      <c r="BQ30" s="192"/>
      <c r="BR30" s="192"/>
      <c r="BS30" s="192"/>
      <c r="BT30" s="192"/>
      <c r="BU30" s="192"/>
      <c r="BV30" s="192"/>
      <c r="BW30" s="192"/>
      <c r="BX30" s="192"/>
      <c r="BY30" s="192"/>
      <c r="BZ30" s="192"/>
      <c r="CA30" s="192"/>
      <c r="CB30" s="192"/>
      <c r="CC30" s="192"/>
      <c r="CD30" s="192"/>
    </row>
    <row r="31" spans="1:82" s="25" customFormat="1" x14ac:dyDescent="0.25">
      <c r="A31" s="64">
        <v>108</v>
      </c>
      <c r="B31" s="365" t="s">
        <v>78</v>
      </c>
      <c r="C31" s="64">
        <v>1150</v>
      </c>
      <c r="D31" s="65" t="s">
        <v>73</v>
      </c>
      <c r="E31" s="64">
        <v>2</v>
      </c>
      <c r="F31" s="559" t="s">
        <v>80</v>
      </c>
      <c r="G31" s="559">
        <v>1000</v>
      </c>
      <c r="H31" s="559" t="s">
        <v>81</v>
      </c>
      <c r="I31" s="559" t="s">
        <v>82</v>
      </c>
      <c r="J31" s="619">
        <v>0</v>
      </c>
      <c r="K31" s="621">
        <v>0</v>
      </c>
      <c r="L31" s="164" t="s">
        <v>828</v>
      </c>
      <c r="M31" s="164" t="s">
        <v>1119</v>
      </c>
      <c r="N31" s="164" t="s">
        <v>76</v>
      </c>
      <c r="O31" s="249" t="s">
        <v>1293</v>
      </c>
      <c r="P31" s="194" t="s">
        <v>356</v>
      </c>
      <c r="Q31" s="249">
        <v>41726</v>
      </c>
      <c r="R31" s="249">
        <v>41726</v>
      </c>
      <c r="S31" s="249"/>
      <c r="T31" s="266" t="s">
        <v>1400</v>
      </c>
      <c r="U31" s="249" t="s">
        <v>798</v>
      </c>
      <c r="V31" s="164" t="s">
        <v>411</v>
      </c>
      <c r="W31" s="178">
        <v>900670184</v>
      </c>
      <c r="X31" s="249" t="s">
        <v>90</v>
      </c>
      <c r="Y31" s="249" t="s">
        <v>1399</v>
      </c>
      <c r="Z31" s="194"/>
      <c r="AA31" s="167">
        <v>458</v>
      </c>
      <c r="AB31" s="175"/>
      <c r="AC31" s="167">
        <v>452</v>
      </c>
      <c r="AD31" s="168">
        <v>6600000</v>
      </c>
      <c r="AE31" s="167">
        <v>0</v>
      </c>
      <c r="AF31" s="167">
        <v>0</v>
      </c>
      <c r="AG31" s="167">
        <v>0</v>
      </c>
      <c r="AH31" s="167">
        <v>0</v>
      </c>
      <c r="AI31" s="167">
        <v>0</v>
      </c>
      <c r="AJ31" s="167">
        <v>0</v>
      </c>
      <c r="AK31" s="167">
        <v>0</v>
      </c>
      <c r="AL31" s="167">
        <v>0</v>
      </c>
      <c r="AM31" s="167">
        <v>0</v>
      </c>
      <c r="AN31" s="167">
        <v>0</v>
      </c>
      <c r="AO31" s="167">
        <v>0</v>
      </c>
      <c r="AP31" s="167">
        <v>0</v>
      </c>
      <c r="AQ31" s="168">
        <f t="shared" si="6"/>
        <v>0</v>
      </c>
      <c r="AR31" s="168">
        <f t="shared" si="7"/>
        <v>6600000</v>
      </c>
      <c r="AS31" s="169">
        <f t="shared" si="8"/>
        <v>0</v>
      </c>
      <c r="AT31" s="236"/>
      <c r="AU31" s="346">
        <v>134</v>
      </c>
      <c r="AV31" s="346">
        <v>109</v>
      </c>
      <c r="AW31" s="345">
        <v>6600000</v>
      </c>
      <c r="AX31" s="345">
        <v>0</v>
      </c>
      <c r="AY31" s="345">
        <v>0</v>
      </c>
      <c r="AZ31" s="345">
        <v>0</v>
      </c>
      <c r="BA31" s="345">
        <v>0</v>
      </c>
      <c r="BB31" s="345">
        <v>820000</v>
      </c>
      <c r="BC31" s="237"/>
      <c r="BD31" s="237"/>
      <c r="BE31" s="345"/>
      <c r="BF31" s="438"/>
      <c r="BG31" s="443"/>
      <c r="BH31" s="237"/>
      <c r="BI31" s="237"/>
      <c r="BJ31" s="344">
        <f t="shared" si="3"/>
        <v>820000</v>
      </c>
      <c r="BK31" s="237">
        <f t="shared" si="4"/>
        <v>5780000</v>
      </c>
      <c r="BL31" s="435" t="e">
        <f>+BJ31/#REF!</f>
        <v>#REF!</v>
      </c>
      <c r="BM31" s="192"/>
      <c r="BN31" s="192"/>
      <c r="BO31" s="192"/>
      <c r="BP31" s="192"/>
      <c r="BQ31" s="192"/>
      <c r="BR31" s="192"/>
      <c r="BS31" s="192"/>
      <c r="BT31" s="192"/>
      <c r="BU31" s="192"/>
      <c r="BV31" s="192"/>
      <c r="BW31" s="192"/>
      <c r="BX31" s="192"/>
      <c r="BY31" s="192"/>
      <c r="BZ31" s="192"/>
      <c r="CA31" s="192"/>
      <c r="CB31" s="192"/>
      <c r="CC31" s="192"/>
      <c r="CD31" s="192"/>
    </row>
    <row r="32" spans="1:82" s="25" customFormat="1" x14ac:dyDescent="0.25">
      <c r="A32" s="64">
        <v>108</v>
      </c>
      <c r="B32" s="365" t="s">
        <v>78</v>
      </c>
      <c r="C32" s="64">
        <v>1150</v>
      </c>
      <c r="D32" s="65" t="s">
        <v>73</v>
      </c>
      <c r="E32" s="64">
        <v>2</v>
      </c>
      <c r="F32" s="559"/>
      <c r="G32" s="559"/>
      <c r="H32" s="559"/>
      <c r="I32" s="559"/>
      <c r="J32" s="620"/>
      <c r="K32" s="622"/>
      <c r="L32" s="166"/>
      <c r="M32" s="164"/>
      <c r="N32" s="166"/>
      <c r="O32" s="166"/>
      <c r="P32" s="166"/>
      <c r="Q32" s="180"/>
      <c r="R32" s="185"/>
      <c r="S32" s="166"/>
      <c r="T32" s="166"/>
      <c r="U32" s="166"/>
      <c r="V32" s="166"/>
      <c r="W32" s="179"/>
      <c r="X32" s="185"/>
      <c r="Y32" s="166"/>
      <c r="Z32" s="166"/>
      <c r="AA32" s="174"/>
      <c r="AB32" s="175"/>
      <c r="AC32" s="174"/>
      <c r="AD32" s="175"/>
      <c r="AE32" s="174"/>
      <c r="AF32" s="174"/>
      <c r="AG32" s="174"/>
      <c r="AH32" s="174"/>
      <c r="AI32" s="174"/>
      <c r="AJ32" s="174"/>
      <c r="AK32" s="174"/>
      <c r="AL32" s="174"/>
      <c r="AM32" s="174"/>
      <c r="AN32" s="174"/>
      <c r="AO32" s="174"/>
      <c r="AP32" s="174"/>
      <c r="AQ32" s="168">
        <f t="shared" si="6"/>
        <v>0</v>
      </c>
      <c r="AR32" s="168">
        <f t="shared" si="7"/>
        <v>0</v>
      </c>
      <c r="AS32" s="169" t="e">
        <f t="shared" si="8"/>
        <v>#DIV/0!</v>
      </c>
      <c r="AT32" s="236"/>
      <c r="AU32" s="346"/>
      <c r="AV32" s="346"/>
      <c r="AW32" s="345"/>
      <c r="AX32" s="345"/>
      <c r="AY32" s="345"/>
      <c r="AZ32" s="345"/>
      <c r="BA32" s="345"/>
      <c r="BB32" s="345"/>
      <c r="BC32" s="237"/>
      <c r="BD32" s="237"/>
      <c r="BE32" s="345"/>
      <c r="BF32" s="438"/>
      <c r="BG32" s="443"/>
      <c r="BH32" s="237"/>
      <c r="BI32" s="237"/>
      <c r="BJ32" s="344">
        <f t="shared" si="3"/>
        <v>0</v>
      </c>
      <c r="BK32" s="237">
        <f t="shared" si="4"/>
        <v>0</v>
      </c>
      <c r="BL32" s="435" t="e">
        <f t="shared" ref="BL32:BL63" si="9">+BJ32/AW32</f>
        <v>#DIV/0!</v>
      </c>
      <c r="BM32" s="192"/>
      <c r="BN32" s="192"/>
      <c r="BO32" s="192"/>
      <c r="BP32" s="192"/>
      <c r="BQ32" s="192"/>
      <c r="BR32" s="192"/>
      <c r="BS32" s="192"/>
      <c r="BT32" s="192"/>
      <c r="BU32" s="192"/>
      <c r="BV32" s="192"/>
      <c r="BW32" s="192"/>
      <c r="BX32" s="192"/>
      <c r="BY32" s="192"/>
      <c r="BZ32" s="192"/>
      <c r="CA32" s="192"/>
      <c r="CB32" s="192"/>
      <c r="CC32" s="192"/>
      <c r="CD32" s="192"/>
    </row>
    <row r="33" spans="1:82" s="25" customFormat="1" x14ac:dyDescent="0.25">
      <c r="A33" s="64">
        <v>108</v>
      </c>
      <c r="B33" s="365" t="s">
        <v>78</v>
      </c>
      <c r="C33" s="64">
        <v>1150</v>
      </c>
      <c r="D33" s="65" t="s">
        <v>73</v>
      </c>
      <c r="E33" s="64">
        <v>2</v>
      </c>
      <c r="F33" s="559"/>
      <c r="G33" s="559"/>
      <c r="H33" s="559"/>
      <c r="I33" s="559"/>
      <c r="J33" s="620"/>
      <c r="K33" s="622"/>
      <c r="L33" s="166"/>
      <c r="M33" s="164"/>
      <c r="N33" s="166"/>
      <c r="O33" s="166"/>
      <c r="P33" s="166"/>
      <c r="Q33" s="180"/>
      <c r="R33" s="185"/>
      <c r="S33" s="166"/>
      <c r="T33" s="166"/>
      <c r="U33" s="166"/>
      <c r="V33" s="166"/>
      <c r="W33" s="166"/>
      <c r="X33" s="185"/>
      <c r="Y33" s="166"/>
      <c r="Z33" s="166"/>
      <c r="AA33" s="174"/>
      <c r="AB33" s="175"/>
      <c r="AC33" s="174"/>
      <c r="AD33" s="175"/>
      <c r="AE33" s="174"/>
      <c r="AF33" s="174"/>
      <c r="AG33" s="174"/>
      <c r="AH33" s="174"/>
      <c r="AI33" s="174"/>
      <c r="AJ33" s="174"/>
      <c r="AK33" s="174"/>
      <c r="AL33" s="174"/>
      <c r="AM33" s="174"/>
      <c r="AN33" s="174"/>
      <c r="AO33" s="174"/>
      <c r="AP33" s="174"/>
      <c r="AQ33" s="168">
        <f t="shared" si="6"/>
        <v>0</v>
      </c>
      <c r="AR33" s="168">
        <f t="shared" si="7"/>
        <v>0</v>
      </c>
      <c r="AS33" s="169" t="e">
        <f t="shared" si="8"/>
        <v>#DIV/0!</v>
      </c>
      <c r="AT33" s="236"/>
      <c r="AU33" s="346"/>
      <c r="AV33" s="346"/>
      <c r="AW33" s="345"/>
      <c r="AX33" s="345"/>
      <c r="AY33" s="345"/>
      <c r="AZ33" s="345"/>
      <c r="BA33" s="345"/>
      <c r="BB33" s="345"/>
      <c r="BC33" s="237"/>
      <c r="BD33" s="237"/>
      <c r="BE33" s="345"/>
      <c r="BF33" s="438"/>
      <c r="BG33" s="443"/>
      <c r="BH33" s="237"/>
      <c r="BI33" s="237"/>
      <c r="BJ33" s="344">
        <f t="shared" si="3"/>
        <v>0</v>
      </c>
      <c r="BK33" s="237">
        <f t="shared" ref="BK33:BK63" si="10">+AW33-BJ33</f>
        <v>0</v>
      </c>
      <c r="BL33" s="435" t="e">
        <f t="shared" si="9"/>
        <v>#DIV/0!</v>
      </c>
      <c r="BM33" s="192"/>
      <c r="BN33" s="192"/>
      <c r="BO33" s="192"/>
      <c r="BP33" s="192"/>
      <c r="BQ33" s="192"/>
      <c r="BR33" s="192"/>
      <c r="BS33" s="192"/>
      <c r="BT33" s="192"/>
      <c r="BU33" s="192"/>
      <c r="BV33" s="192"/>
      <c r="BW33" s="192"/>
      <c r="BX33" s="192"/>
      <c r="BY33" s="192"/>
      <c r="BZ33" s="192"/>
      <c r="CA33" s="192"/>
      <c r="CB33" s="192"/>
      <c r="CC33" s="192"/>
      <c r="CD33" s="192"/>
    </row>
    <row r="34" spans="1:82" s="25" customFormat="1" x14ac:dyDescent="0.25">
      <c r="A34" s="62">
        <v>109</v>
      </c>
      <c r="B34" s="365" t="s">
        <v>84</v>
      </c>
      <c r="C34" s="62">
        <v>1150</v>
      </c>
      <c r="D34" s="63" t="s">
        <v>73</v>
      </c>
      <c r="E34" s="62">
        <v>3</v>
      </c>
      <c r="F34" s="559" t="s">
        <v>45</v>
      </c>
      <c r="G34" s="559">
        <v>8</v>
      </c>
      <c r="H34" s="559" t="s">
        <v>86</v>
      </c>
      <c r="I34" s="559" t="s">
        <v>87</v>
      </c>
      <c r="J34" s="619">
        <v>0</v>
      </c>
      <c r="K34" s="621">
        <v>0</v>
      </c>
      <c r="L34" s="164" t="s">
        <v>829</v>
      </c>
      <c r="M34" s="164" t="s">
        <v>1119</v>
      </c>
      <c r="N34" s="164" t="s">
        <v>76</v>
      </c>
      <c r="O34" s="249" t="s">
        <v>1294</v>
      </c>
      <c r="P34" s="164" t="s">
        <v>309</v>
      </c>
      <c r="Q34" s="249">
        <v>41996</v>
      </c>
      <c r="R34" s="249">
        <v>42030</v>
      </c>
      <c r="S34" s="249" t="s">
        <v>378</v>
      </c>
      <c r="T34" s="164">
        <v>171</v>
      </c>
      <c r="U34" s="249" t="s">
        <v>1295</v>
      </c>
      <c r="V34" s="164" t="s">
        <v>830</v>
      </c>
      <c r="W34" s="251">
        <v>900006268</v>
      </c>
      <c r="X34" s="249" t="s">
        <v>1296</v>
      </c>
      <c r="Y34" s="249" t="s">
        <v>808</v>
      </c>
      <c r="Z34" s="164"/>
      <c r="AA34" s="167">
        <v>803</v>
      </c>
      <c r="AB34" s="175"/>
      <c r="AC34" s="167">
        <v>981</v>
      </c>
      <c r="AD34" s="168">
        <v>88229200</v>
      </c>
      <c r="AE34" s="167"/>
      <c r="AF34" s="167"/>
      <c r="AG34" s="167"/>
      <c r="AH34" s="167"/>
      <c r="AI34" s="167">
        <v>0</v>
      </c>
      <c r="AJ34" s="167">
        <v>0</v>
      </c>
      <c r="AK34" s="167">
        <v>0</v>
      </c>
      <c r="AL34" s="167">
        <v>0</v>
      </c>
      <c r="AM34" s="167">
        <v>0</v>
      </c>
      <c r="AN34" s="167">
        <v>0</v>
      </c>
      <c r="AO34" s="167">
        <v>0</v>
      </c>
      <c r="AP34" s="167">
        <v>0</v>
      </c>
      <c r="AQ34" s="168">
        <f t="shared" si="6"/>
        <v>0</v>
      </c>
      <c r="AR34" s="168">
        <f t="shared" si="7"/>
        <v>88229200</v>
      </c>
      <c r="AS34" s="169">
        <f t="shared" si="8"/>
        <v>0</v>
      </c>
      <c r="AT34" s="236"/>
      <c r="AU34" s="346">
        <v>330</v>
      </c>
      <c r="AV34" s="346">
        <v>278</v>
      </c>
      <c r="AW34" s="345">
        <v>88229200</v>
      </c>
      <c r="AX34" s="345">
        <v>0</v>
      </c>
      <c r="AY34" s="345">
        <v>0</v>
      </c>
      <c r="AZ34" s="345">
        <v>0</v>
      </c>
      <c r="BA34" s="345">
        <v>0</v>
      </c>
      <c r="BB34" s="345">
        <v>0</v>
      </c>
      <c r="BC34" s="237"/>
      <c r="BD34" s="237"/>
      <c r="BE34" s="345"/>
      <c r="BF34" s="438">
        <v>86551513</v>
      </c>
      <c r="BG34" s="443"/>
      <c r="BH34" s="237"/>
      <c r="BI34" s="237"/>
      <c r="BJ34" s="344">
        <f t="shared" si="3"/>
        <v>86551513</v>
      </c>
      <c r="BK34" s="237">
        <f t="shared" si="10"/>
        <v>1677687</v>
      </c>
      <c r="BL34" s="435">
        <f t="shared" si="9"/>
        <v>0.98098490069047439</v>
      </c>
      <c r="BM34" s="192"/>
      <c r="BN34" s="192"/>
      <c r="BO34" s="192"/>
      <c r="BP34" s="192"/>
      <c r="BQ34" s="192"/>
      <c r="BR34" s="192"/>
      <c r="BS34" s="192"/>
      <c r="BT34" s="192"/>
      <c r="BU34" s="192"/>
      <c r="BV34" s="192"/>
      <c r="BW34" s="192"/>
      <c r="BX34" s="192"/>
      <c r="BY34" s="192"/>
      <c r="BZ34" s="192"/>
      <c r="CA34" s="192"/>
      <c r="CB34" s="192"/>
      <c r="CC34" s="192"/>
      <c r="CD34" s="192"/>
    </row>
    <row r="35" spans="1:82" s="25" customFormat="1" x14ac:dyDescent="0.25">
      <c r="A35" s="62">
        <v>109</v>
      </c>
      <c r="B35" s="365" t="s">
        <v>84</v>
      </c>
      <c r="C35" s="62">
        <v>1150</v>
      </c>
      <c r="D35" s="63" t="s">
        <v>73</v>
      </c>
      <c r="E35" s="62">
        <v>3</v>
      </c>
      <c r="F35" s="559"/>
      <c r="G35" s="559"/>
      <c r="H35" s="559"/>
      <c r="I35" s="559"/>
      <c r="J35" s="620"/>
      <c r="K35" s="622"/>
      <c r="L35" s="164"/>
      <c r="M35" s="164"/>
      <c r="N35" s="164"/>
      <c r="O35" s="164"/>
      <c r="P35" s="164"/>
      <c r="Q35" s="165"/>
      <c r="R35" s="165"/>
      <c r="S35" s="164"/>
      <c r="T35" s="164"/>
      <c r="U35" s="164"/>
      <c r="V35" s="164"/>
      <c r="W35" s="164"/>
      <c r="X35" s="164"/>
      <c r="Y35" s="164"/>
      <c r="Z35" s="164"/>
      <c r="AA35" s="167"/>
      <c r="AB35" s="175"/>
      <c r="AC35" s="167"/>
      <c r="AD35" s="168"/>
      <c r="AE35" s="167"/>
      <c r="AF35" s="167"/>
      <c r="AG35" s="167"/>
      <c r="AH35" s="167"/>
      <c r="AI35" s="167">
        <v>0</v>
      </c>
      <c r="AJ35" s="167">
        <v>0</v>
      </c>
      <c r="AK35" s="167">
        <v>0</v>
      </c>
      <c r="AL35" s="167">
        <v>0</v>
      </c>
      <c r="AM35" s="167">
        <v>0</v>
      </c>
      <c r="AN35" s="167">
        <v>0</v>
      </c>
      <c r="AO35" s="167">
        <v>0</v>
      </c>
      <c r="AP35" s="167">
        <v>0</v>
      </c>
      <c r="AQ35" s="168">
        <f t="shared" si="6"/>
        <v>0</v>
      </c>
      <c r="AR35" s="168">
        <f t="shared" si="7"/>
        <v>0</v>
      </c>
      <c r="AS35" s="169" t="e">
        <f t="shared" si="8"/>
        <v>#DIV/0!</v>
      </c>
      <c r="AT35" s="236"/>
      <c r="AU35" s="346"/>
      <c r="AV35" s="346"/>
      <c r="AW35" s="345"/>
      <c r="AX35" s="345"/>
      <c r="AY35" s="345"/>
      <c r="AZ35" s="345"/>
      <c r="BA35" s="345"/>
      <c r="BB35" s="345"/>
      <c r="BC35" s="237"/>
      <c r="BD35" s="237"/>
      <c r="BE35" s="345"/>
      <c r="BF35" s="438"/>
      <c r="BG35" s="443"/>
      <c r="BH35" s="237"/>
      <c r="BI35" s="237"/>
      <c r="BJ35" s="344">
        <f t="shared" si="3"/>
        <v>0</v>
      </c>
      <c r="BK35" s="237">
        <f t="shared" si="10"/>
        <v>0</v>
      </c>
      <c r="BL35" s="435" t="e">
        <f t="shared" si="9"/>
        <v>#DIV/0!</v>
      </c>
      <c r="BM35" s="192"/>
      <c r="BN35" s="192"/>
      <c r="BO35" s="192"/>
      <c r="BP35" s="192"/>
      <c r="BQ35" s="192"/>
      <c r="BR35" s="192"/>
      <c r="BS35" s="192"/>
      <c r="BT35" s="192"/>
      <c r="BU35" s="192"/>
      <c r="BV35" s="192"/>
      <c r="BW35" s="192"/>
      <c r="BX35" s="192"/>
      <c r="BY35" s="192"/>
      <c r="BZ35" s="192"/>
      <c r="CA35" s="192"/>
      <c r="CB35" s="192"/>
      <c r="CC35" s="192"/>
      <c r="CD35" s="192"/>
    </row>
    <row r="36" spans="1:82" s="25" customFormat="1" x14ac:dyDescent="0.25">
      <c r="A36" s="62">
        <v>109</v>
      </c>
      <c r="B36" s="365" t="s">
        <v>84</v>
      </c>
      <c r="C36" s="62">
        <v>1150</v>
      </c>
      <c r="D36" s="63" t="s">
        <v>73</v>
      </c>
      <c r="E36" s="62">
        <v>3</v>
      </c>
      <c r="F36" s="559"/>
      <c r="G36" s="559"/>
      <c r="H36" s="559"/>
      <c r="I36" s="559"/>
      <c r="J36" s="620"/>
      <c r="K36" s="622"/>
      <c r="L36" s="164"/>
      <c r="M36" s="164"/>
      <c r="N36" s="164"/>
      <c r="O36" s="164"/>
      <c r="P36" s="164"/>
      <c r="Q36" s="165"/>
      <c r="R36" s="165"/>
      <c r="S36" s="164"/>
      <c r="T36" s="164"/>
      <c r="U36" s="164"/>
      <c r="V36" s="164"/>
      <c r="W36" s="164"/>
      <c r="X36" s="164"/>
      <c r="Y36" s="164"/>
      <c r="Z36" s="164"/>
      <c r="AA36" s="167"/>
      <c r="AB36" s="175"/>
      <c r="AC36" s="167"/>
      <c r="AD36" s="168"/>
      <c r="AE36" s="167"/>
      <c r="AF36" s="167"/>
      <c r="AG36" s="167"/>
      <c r="AH36" s="167"/>
      <c r="AI36" s="167">
        <v>0</v>
      </c>
      <c r="AJ36" s="167">
        <v>0</v>
      </c>
      <c r="AK36" s="167">
        <v>0</v>
      </c>
      <c r="AL36" s="167">
        <v>0</v>
      </c>
      <c r="AM36" s="167">
        <v>0</v>
      </c>
      <c r="AN36" s="167">
        <v>0</v>
      </c>
      <c r="AO36" s="167">
        <v>0</v>
      </c>
      <c r="AP36" s="167">
        <v>0</v>
      </c>
      <c r="AQ36" s="168">
        <f t="shared" si="6"/>
        <v>0</v>
      </c>
      <c r="AR36" s="168">
        <f t="shared" si="7"/>
        <v>0</v>
      </c>
      <c r="AS36" s="169" t="e">
        <f t="shared" si="8"/>
        <v>#DIV/0!</v>
      </c>
      <c r="AT36" s="236"/>
      <c r="AU36" s="346"/>
      <c r="AV36" s="346"/>
      <c r="AW36" s="345"/>
      <c r="AX36" s="345"/>
      <c r="AY36" s="345"/>
      <c r="AZ36" s="345"/>
      <c r="BA36" s="345"/>
      <c r="BB36" s="345"/>
      <c r="BC36" s="237"/>
      <c r="BD36" s="237"/>
      <c r="BE36" s="345"/>
      <c r="BF36" s="438"/>
      <c r="BG36" s="443"/>
      <c r="BH36" s="237"/>
      <c r="BI36" s="237"/>
      <c r="BJ36" s="344">
        <f t="shared" si="3"/>
        <v>0</v>
      </c>
      <c r="BK36" s="237">
        <f t="shared" si="10"/>
        <v>0</v>
      </c>
      <c r="BL36" s="435" t="e">
        <f t="shared" si="9"/>
        <v>#DIV/0!</v>
      </c>
      <c r="BM36" s="192"/>
      <c r="BN36" s="192"/>
      <c r="BO36" s="192"/>
      <c r="BP36" s="192"/>
      <c r="BQ36" s="192"/>
      <c r="BR36" s="192"/>
      <c r="BS36" s="192"/>
      <c r="BT36" s="192"/>
      <c r="BU36" s="192"/>
      <c r="BV36" s="192"/>
      <c r="BW36" s="192"/>
      <c r="BX36" s="192"/>
      <c r="BY36" s="192"/>
      <c r="BZ36" s="192"/>
      <c r="CA36" s="192"/>
      <c r="CB36" s="192"/>
      <c r="CC36" s="192"/>
      <c r="CD36" s="192"/>
    </row>
    <row r="37" spans="1:82" s="25" customFormat="1" x14ac:dyDescent="0.25">
      <c r="A37" s="62">
        <v>110</v>
      </c>
      <c r="B37" s="365" t="s">
        <v>89</v>
      </c>
      <c r="C37" s="62">
        <v>1150</v>
      </c>
      <c r="D37" s="63" t="s">
        <v>73</v>
      </c>
      <c r="E37" s="62">
        <v>4</v>
      </c>
      <c r="F37" s="559" t="s">
        <v>53</v>
      </c>
      <c r="G37" s="559">
        <v>3000</v>
      </c>
      <c r="H37" s="559" t="s">
        <v>61</v>
      </c>
      <c r="I37" s="559" t="s">
        <v>92</v>
      </c>
      <c r="J37" s="619">
        <v>0</v>
      </c>
      <c r="K37" s="621">
        <v>0</v>
      </c>
      <c r="L37" s="164" t="s">
        <v>831</v>
      </c>
      <c r="M37" s="164" t="s">
        <v>1119</v>
      </c>
      <c r="N37" s="164" t="s">
        <v>76</v>
      </c>
      <c r="O37" s="249" t="s">
        <v>1314</v>
      </c>
      <c r="P37" s="164" t="s">
        <v>356</v>
      </c>
      <c r="Q37" s="266">
        <v>41843</v>
      </c>
      <c r="R37" s="266" t="s">
        <v>1398</v>
      </c>
      <c r="S37" s="249" t="s">
        <v>512</v>
      </c>
      <c r="T37" s="164">
        <v>72</v>
      </c>
      <c r="U37" s="381" t="s">
        <v>414</v>
      </c>
      <c r="V37" s="164" t="s">
        <v>415</v>
      </c>
      <c r="W37" s="382">
        <v>900320309</v>
      </c>
      <c r="X37" s="249">
        <v>800</v>
      </c>
      <c r="Y37" s="249" t="s">
        <v>1397</v>
      </c>
      <c r="Z37" s="164"/>
      <c r="AA37" s="167">
        <v>696</v>
      </c>
      <c r="AB37" s="175"/>
      <c r="AC37" s="167">
        <v>715</v>
      </c>
      <c r="AD37" s="168">
        <v>17200000</v>
      </c>
      <c r="AE37" s="167"/>
      <c r="AF37" s="167"/>
      <c r="AG37" s="167"/>
      <c r="AH37" s="167"/>
      <c r="AI37" s="167">
        <v>0</v>
      </c>
      <c r="AJ37" s="167">
        <v>0</v>
      </c>
      <c r="AK37" s="167">
        <v>0</v>
      </c>
      <c r="AL37" s="167">
        <v>0</v>
      </c>
      <c r="AM37" s="167">
        <v>0</v>
      </c>
      <c r="AN37" s="167">
        <v>17200000</v>
      </c>
      <c r="AO37" s="167">
        <v>0</v>
      </c>
      <c r="AP37" s="167">
        <v>0</v>
      </c>
      <c r="AQ37" s="168">
        <f t="shared" si="6"/>
        <v>17200000</v>
      </c>
      <c r="AR37" s="168">
        <f t="shared" si="7"/>
        <v>0</v>
      </c>
      <c r="AS37" s="169">
        <f t="shared" si="8"/>
        <v>1</v>
      </c>
      <c r="AT37" s="236"/>
      <c r="AU37" s="346"/>
      <c r="AV37" s="346"/>
      <c r="AW37" s="345"/>
      <c r="AX37" s="345"/>
      <c r="AY37" s="345"/>
      <c r="AZ37" s="345"/>
      <c r="BA37" s="345"/>
      <c r="BB37" s="345"/>
      <c r="BC37" s="237"/>
      <c r="BD37" s="237"/>
      <c r="BE37" s="345"/>
      <c r="BF37" s="438"/>
      <c r="BG37" s="443"/>
      <c r="BH37" s="237"/>
      <c r="BI37" s="237"/>
      <c r="BJ37" s="344">
        <f t="shared" si="3"/>
        <v>0</v>
      </c>
      <c r="BK37" s="237">
        <f t="shared" si="10"/>
        <v>0</v>
      </c>
      <c r="BL37" s="435" t="e">
        <f t="shared" si="9"/>
        <v>#DIV/0!</v>
      </c>
      <c r="BM37" s="192"/>
      <c r="BN37" s="192"/>
      <c r="BO37" s="192"/>
      <c r="BP37" s="192"/>
      <c r="BQ37" s="192"/>
      <c r="BR37" s="192"/>
      <c r="BS37" s="192"/>
      <c r="BT37" s="192"/>
      <c r="BU37" s="192"/>
      <c r="BV37" s="192"/>
      <c r="BW37" s="192"/>
      <c r="BX37" s="192"/>
      <c r="BY37" s="192"/>
      <c r="BZ37" s="192"/>
      <c r="CA37" s="192"/>
      <c r="CB37" s="192"/>
      <c r="CC37" s="192"/>
      <c r="CD37" s="192"/>
    </row>
    <row r="38" spans="1:82" s="25" customFormat="1" x14ac:dyDescent="0.25">
      <c r="A38" s="62">
        <v>110</v>
      </c>
      <c r="B38" s="365" t="s">
        <v>89</v>
      </c>
      <c r="C38" s="62">
        <v>1150</v>
      </c>
      <c r="D38" s="63" t="s">
        <v>73</v>
      </c>
      <c r="E38" s="62">
        <v>4</v>
      </c>
      <c r="F38" s="559"/>
      <c r="G38" s="559"/>
      <c r="H38" s="559"/>
      <c r="I38" s="559"/>
      <c r="J38" s="620"/>
      <c r="K38" s="622"/>
      <c r="L38" s="164" t="s">
        <v>832</v>
      </c>
      <c r="M38" s="164" t="s">
        <v>1119</v>
      </c>
      <c r="N38" s="164" t="s">
        <v>76</v>
      </c>
      <c r="O38" s="249"/>
      <c r="P38" s="381" t="s">
        <v>833</v>
      </c>
      <c r="Q38" s="249"/>
      <c r="R38" s="249"/>
      <c r="S38" s="249"/>
      <c r="T38" s="164">
        <v>106</v>
      </c>
      <c r="U38" s="249"/>
      <c r="V38" s="164" t="s">
        <v>834</v>
      </c>
      <c r="W38" s="382">
        <v>899999115</v>
      </c>
      <c r="X38" s="249"/>
      <c r="Y38" s="249"/>
      <c r="Z38" s="164"/>
      <c r="AA38" s="167">
        <v>851</v>
      </c>
      <c r="AB38" s="175"/>
      <c r="AC38" s="167">
        <v>928</v>
      </c>
      <c r="AD38" s="168">
        <v>116090223</v>
      </c>
      <c r="AE38" s="167"/>
      <c r="AF38" s="167"/>
      <c r="AG38" s="167"/>
      <c r="AH38" s="167"/>
      <c r="AI38" s="167">
        <v>0</v>
      </c>
      <c r="AJ38" s="167">
        <v>0</v>
      </c>
      <c r="AK38" s="167">
        <v>0</v>
      </c>
      <c r="AL38" s="167">
        <v>0</v>
      </c>
      <c r="AM38" s="167">
        <v>0</v>
      </c>
      <c r="AN38" s="167">
        <v>0</v>
      </c>
      <c r="AO38" s="167">
        <v>0</v>
      </c>
      <c r="AP38" s="167">
        <v>116090223</v>
      </c>
      <c r="AQ38" s="168">
        <f t="shared" si="6"/>
        <v>116090223</v>
      </c>
      <c r="AR38" s="168">
        <f t="shared" si="7"/>
        <v>0</v>
      </c>
      <c r="AS38" s="169">
        <f t="shared" si="8"/>
        <v>1</v>
      </c>
      <c r="AT38" s="236"/>
      <c r="AU38" s="346"/>
      <c r="AV38" s="346"/>
      <c r="AW38" s="345"/>
      <c r="AX38" s="345"/>
      <c r="AY38" s="345"/>
      <c r="AZ38" s="345"/>
      <c r="BA38" s="345"/>
      <c r="BB38" s="345"/>
      <c r="BC38" s="237"/>
      <c r="BD38" s="237"/>
      <c r="BE38" s="345"/>
      <c r="BF38" s="438"/>
      <c r="BG38" s="443"/>
      <c r="BH38" s="237"/>
      <c r="BI38" s="237"/>
      <c r="BJ38" s="344">
        <f t="shared" si="3"/>
        <v>0</v>
      </c>
      <c r="BK38" s="237">
        <f t="shared" si="10"/>
        <v>0</v>
      </c>
      <c r="BL38" s="435" t="e">
        <f t="shared" si="9"/>
        <v>#DIV/0!</v>
      </c>
      <c r="BM38" s="192"/>
      <c r="BN38" s="192"/>
      <c r="BO38" s="192"/>
      <c r="BP38" s="192"/>
      <c r="BQ38" s="192"/>
      <c r="BR38" s="192"/>
      <c r="BS38" s="192"/>
      <c r="BT38" s="192"/>
      <c r="BU38" s="192"/>
      <c r="BV38" s="192"/>
      <c r="BW38" s="192"/>
      <c r="BX38" s="192"/>
      <c r="BY38" s="192"/>
      <c r="BZ38" s="192"/>
      <c r="CA38" s="192"/>
      <c r="CB38" s="192"/>
      <c r="CC38" s="192"/>
      <c r="CD38" s="192"/>
    </row>
    <row r="39" spans="1:82" s="25" customFormat="1" x14ac:dyDescent="0.25">
      <c r="A39" s="62">
        <v>110</v>
      </c>
      <c r="B39" s="365" t="s">
        <v>89</v>
      </c>
      <c r="C39" s="62">
        <v>1150</v>
      </c>
      <c r="D39" s="63" t="s">
        <v>73</v>
      </c>
      <c r="E39" s="62">
        <v>4</v>
      </c>
      <c r="F39" s="559"/>
      <c r="G39" s="559"/>
      <c r="H39" s="559"/>
      <c r="I39" s="559"/>
      <c r="J39" s="620"/>
      <c r="K39" s="622"/>
      <c r="L39" s="164" t="s">
        <v>835</v>
      </c>
      <c r="M39" s="164" t="s">
        <v>1119</v>
      </c>
      <c r="N39" s="164" t="s">
        <v>76</v>
      </c>
      <c r="O39" s="249"/>
      <c r="P39" s="164" t="s">
        <v>836</v>
      </c>
      <c r="Q39" s="249"/>
      <c r="R39" s="249"/>
      <c r="S39" s="249"/>
      <c r="T39" s="164">
        <v>433</v>
      </c>
      <c r="U39" s="249"/>
      <c r="V39" s="381" t="s">
        <v>837</v>
      </c>
      <c r="W39" s="249"/>
      <c r="X39" s="249"/>
      <c r="Y39" s="249"/>
      <c r="Z39" s="164"/>
      <c r="AA39" s="167">
        <v>893</v>
      </c>
      <c r="AB39" s="175"/>
      <c r="AC39" s="167">
        <v>1004</v>
      </c>
      <c r="AD39" s="168">
        <v>1725000</v>
      </c>
      <c r="AE39" s="167"/>
      <c r="AF39" s="167"/>
      <c r="AG39" s="167"/>
      <c r="AH39" s="167"/>
      <c r="AI39" s="167">
        <v>0</v>
      </c>
      <c r="AJ39" s="167">
        <v>0</v>
      </c>
      <c r="AK39" s="167">
        <v>0</v>
      </c>
      <c r="AL39" s="167">
        <v>0</v>
      </c>
      <c r="AM39" s="167">
        <v>0</v>
      </c>
      <c r="AN39" s="167">
        <v>0</v>
      </c>
      <c r="AO39" s="167">
        <v>0</v>
      </c>
      <c r="AP39" s="167">
        <v>0</v>
      </c>
      <c r="AQ39" s="168">
        <f t="shared" si="6"/>
        <v>0</v>
      </c>
      <c r="AR39" s="168">
        <f t="shared" si="7"/>
        <v>1725000</v>
      </c>
      <c r="AS39" s="169">
        <f t="shared" si="8"/>
        <v>0</v>
      </c>
      <c r="AT39" s="236"/>
      <c r="AU39" s="346">
        <v>348</v>
      </c>
      <c r="AV39" s="346">
        <v>296</v>
      </c>
      <c r="AW39" s="345">
        <v>1725000</v>
      </c>
      <c r="AX39" s="345">
        <v>0</v>
      </c>
      <c r="AY39" s="345">
        <v>0</v>
      </c>
      <c r="AZ39" s="345">
        <v>1725000</v>
      </c>
      <c r="BA39" s="237">
        <v>0</v>
      </c>
      <c r="BB39" s="237">
        <v>0</v>
      </c>
      <c r="BC39" s="237"/>
      <c r="BD39" s="237"/>
      <c r="BE39" s="345"/>
      <c r="BF39" s="438"/>
      <c r="BG39" s="443"/>
      <c r="BH39" s="237"/>
      <c r="BI39" s="237"/>
      <c r="BJ39" s="344">
        <f t="shared" si="3"/>
        <v>1725000</v>
      </c>
      <c r="BK39" s="237">
        <f t="shared" si="10"/>
        <v>0</v>
      </c>
      <c r="BL39" s="435">
        <f t="shared" si="9"/>
        <v>1</v>
      </c>
      <c r="BM39" s="192"/>
      <c r="BN39" s="192"/>
      <c r="BO39" s="192"/>
      <c r="BP39" s="192"/>
      <c r="BQ39" s="192"/>
      <c r="BR39" s="192"/>
      <c r="BS39" s="192"/>
      <c r="BT39" s="192"/>
      <c r="BU39" s="192"/>
      <c r="BV39" s="192"/>
      <c r="BW39" s="192"/>
      <c r="BX39" s="192"/>
      <c r="BY39" s="192"/>
      <c r="BZ39" s="192"/>
      <c r="CA39" s="192"/>
      <c r="CB39" s="192"/>
      <c r="CC39" s="192"/>
      <c r="CD39" s="192"/>
    </row>
    <row r="40" spans="1:82" s="25" customFormat="1" ht="13.5" customHeight="1" x14ac:dyDescent="0.25">
      <c r="A40" s="62">
        <v>111</v>
      </c>
      <c r="B40" s="365" t="s">
        <v>94</v>
      </c>
      <c r="C40" s="62">
        <v>1164</v>
      </c>
      <c r="D40" s="63" t="s">
        <v>96</v>
      </c>
      <c r="E40" s="62">
        <v>1</v>
      </c>
      <c r="F40" s="559" t="s">
        <v>53</v>
      </c>
      <c r="G40" s="559">
        <v>200</v>
      </c>
      <c r="H40" s="559" t="s">
        <v>97</v>
      </c>
      <c r="I40" s="559" t="s">
        <v>98</v>
      </c>
      <c r="J40" s="619">
        <v>0</v>
      </c>
      <c r="K40" s="621">
        <v>0</v>
      </c>
      <c r="L40" s="164"/>
      <c r="M40" s="164"/>
      <c r="N40" s="164"/>
      <c r="O40" s="164"/>
      <c r="P40" s="164"/>
      <c r="Q40" s="165"/>
      <c r="R40" s="165"/>
      <c r="S40" s="164"/>
      <c r="T40" s="164"/>
      <c r="U40" s="164"/>
      <c r="V40" s="164"/>
      <c r="W40" s="164"/>
      <c r="X40" s="164"/>
      <c r="Y40" s="164"/>
      <c r="Z40" s="164"/>
      <c r="AA40" s="167"/>
      <c r="AB40" s="175"/>
      <c r="AC40" s="167"/>
      <c r="AD40" s="168"/>
      <c r="AE40" s="167"/>
      <c r="AF40" s="167"/>
      <c r="AG40" s="167"/>
      <c r="AH40" s="167"/>
      <c r="AI40" s="167">
        <v>0</v>
      </c>
      <c r="AJ40" s="167">
        <v>0</v>
      </c>
      <c r="AK40" s="167">
        <v>0</v>
      </c>
      <c r="AL40" s="167">
        <v>0</v>
      </c>
      <c r="AM40" s="167">
        <v>0</v>
      </c>
      <c r="AN40" s="167">
        <v>0</v>
      </c>
      <c r="AO40" s="167">
        <v>0</v>
      </c>
      <c r="AP40" s="167">
        <v>0</v>
      </c>
      <c r="AQ40" s="168">
        <f t="shared" si="6"/>
        <v>0</v>
      </c>
      <c r="AR40" s="168">
        <f t="shared" si="7"/>
        <v>0</v>
      </c>
      <c r="AS40" s="169" t="e">
        <f t="shared" si="8"/>
        <v>#DIV/0!</v>
      </c>
      <c r="AT40" s="236"/>
      <c r="AU40" s="346"/>
      <c r="AV40" s="346"/>
      <c r="AW40" s="345"/>
      <c r="AX40" s="345"/>
      <c r="AY40" s="345"/>
      <c r="AZ40" s="345"/>
      <c r="BA40" s="351"/>
      <c r="BB40" s="237"/>
      <c r="BC40" s="237"/>
      <c r="BD40" s="237"/>
      <c r="BE40" s="237"/>
      <c r="BF40" s="438"/>
      <c r="BG40" s="443"/>
      <c r="BH40" s="237"/>
      <c r="BI40" s="237"/>
      <c r="BJ40" s="344">
        <f t="shared" si="3"/>
        <v>0</v>
      </c>
      <c r="BK40" s="237">
        <f t="shared" si="10"/>
        <v>0</v>
      </c>
      <c r="BL40" s="435" t="e">
        <f t="shared" si="9"/>
        <v>#DIV/0!</v>
      </c>
      <c r="BM40" s="192"/>
      <c r="BN40" s="192"/>
      <c r="BO40" s="192"/>
      <c r="BP40" s="192"/>
      <c r="BQ40" s="192"/>
      <c r="BR40" s="192"/>
      <c r="BS40" s="192"/>
      <c r="BT40" s="192"/>
      <c r="BU40" s="192"/>
      <c r="BV40" s="192"/>
      <c r="BW40" s="192"/>
      <c r="BX40" s="192"/>
      <c r="BY40" s="192"/>
      <c r="BZ40" s="192"/>
      <c r="CA40" s="192"/>
      <c r="CB40" s="192"/>
      <c r="CC40" s="192"/>
      <c r="CD40" s="192"/>
    </row>
    <row r="41" spans="1:82" s="25" customFormat="1" ht="13.5" customHeight="1" x14ac:dyDescent="0.25">
      <c r="A41" s="62">
        <v>111</v>
      </c>
      <c r="B41" s="365" t="s">
        <v>94</v>
      </c>
      <c r="C41" s="62">
        <v>1164</v>
      </c>
      <c r="D41" s="63" t="s">
        <v>96</v>
      </c>
      <c r="E41" s="62">
        <v>1</v>
      </c>
      <c r="F41" s="559"/>
      <c r="G41" s="559"/>
      <c r="H41" s="559"/>
      <c r="I41" s="559"/>
      <c r="J41" s="620"/>
      <c r="K41" s="622"/>
      <c r="L41" s="164"/>
      <c r="M41" s="164"/>
      <c r="N41" s="164"/>
      <c r="O41" s="164"/>
      <c r="P41" s="164"/>
      <c r="Q41" s="165"/>
      <c r="R41" s="165"/>
      <c r="S41" s="164"/>
      <c r="T41" s="164"/>
      <c r="U41" s="164"/>
      <c r="V41" s="164"/>
      <c r="W41" s="164"/>
      <c r="X41" s="164"/>
      <c r="Y41" s="164"/>
      <c r="Z41" s="164"/>
      <c r="AA41" s="167"/>
      <c r="AB41" s="175"/>
      <c r="AC41" s="167"/>
      <c r="AD41" s="168"/>
      <c r="AE41" s="167"/>
      <c r="AF41" s="167"/>
      <c r="AG41" s="167"/>
      <c r="AH41" s="167"/>
      <c r="AI41" s="167">
        <v>0</v>
      </c>
      <c r="AJ41" s="167">
        <v>0</v>
      </c>
      <c r="AK41" s="167">
        <v>0</v>
      </c>
      <c r="AL41" s="167">
        <v>0</v>
      </c>
      <c r="AM41" s="167">
        <v>0</v>
      </c>
      <c r="AN41" s="167">
        <v>0</v>
      </c>
      <c r="AO41" s="167">
        <v>0</v>
      </c>
      <c r="AP41" s="167">
        <v>0</v>
      </c>
      <c r="AQ41" s="168">
        <f t="shared" si="6"/>
        <v>0</v>
      </c>
      <c r="AR41" s="168">
        <f t="shared" si="7"/>
        <v>0</v>
      </c>
      <c r="AS41" s="169" t="e">
        <f t="shared" si="8"/>
        <v>#DIV/0!</v>
      </c>
      <c r="AT41" s="236"/>
      <c r="AU41" s="346"/>
      <c r="AV41" s="346"/>
      <c r="AW41" s="345"/>
      <c r="AX41" s="345"/>
      <c r="AY41" s="345"/>
      <c r="AZ41" s="345"/>
      <c r="BA41" s="351"/>
      <c r="BB41" s="237"/>
      <c r="BC41" s="237"/>
      <c r="BD41" s="237"/>
      <c r="BE41" s="237"/>
      <c r="BF41" s="438"/>
      <c r="BG41" s="443"/>
      <c r="BH41" s="237"/>
      <c r="BI41" s="237"/>
      <c r="BJ41" s="344">
        <f t="shared" si="3"/>
        <v>0</v>
      </c>
      <c r="BK41" s="237">
        <f t="shared" si="10"/>
        <v>0</v>
      </c>
      <c r="BL41" s="435" t="e">
        <f t="shared" si="9"/>
        <v>#DIV/0!</v>
      </c>
      <c r="BM41" s="192"/>
      <c r="BN41" s="192"/>
      <c r="BO41" s="192"/>
      <c r="BP41" s="192"/>
      <c r="BQ41" s="192"/>
      <c r="BR41" s="192"/>
      <c r="BS41" s="192"/>
      <c r="BT41" s="192"/>
      <c r="BU41" s="192"/>
      <c r="BV41" s="192"/>
      <c r="BW41" s="192"/>
      <c r="BX41" s="192"/>
      <c r="BY41" s="192"/>
      <c r="BZ41" s="192"/>
      <c r="CA41" s="192"/>
      <c r="CB41" s="192"/>
      <c r="CC41" s="192"/>
      <c r="CD41" s="192"/>
    </row>
    <row r="42" spans="1:82" s="25" customFormat="1" ht="13.5" customHeight="1" x14ac:dyDescent="0.25">
      <c r="A42" s="62">
        <v>111</v>
      </c>
      <c r="B42" s="365" t="s">
        <v>94</v>
      </c>
      <c r="C42" s="62">
        <v>1164</v>
      </c>
      <c r="D42" s="63" t="s">
        <v>96</v>
      </c>
      <c r="E42" s="62">
        <v>1</v>
      </c>
      <c r="F42" s="559"/>
      <c r="G42" s="559"/>
      <c r="H42" s="559"/>
      <c r="I42" s="559"/>
      <c r="J42" s="620"/>
      <c r="K42" s="622"/>
      <c r="L42" s="164"/>
      <c r="M42" s="164"/>
      <c r="N42" s="164"/>
      <c r="O42" s="164"/>
      <c r="P42" s="164"/>
      <c r="Q42" s="165"/>
      <c r="R42" s="165"/>
      <c r="S42" s="164"/>
      <c r="T42" s="164"/>
      <c r="U42" s="164"/>
      <c r="V42" s="164"/>
      <c r="W42" s="164"/>
      <c r="X42" s="164"/>
      <c r="Y42" s="164"/>
      <c r="Z42" s="164"/>
      <c r="AA42" s="167"/>
      <c r="AB42" s="175"/>
      <c r="AC42" s="167"/>
      <c r="AD42" s="168"/>
      <c r="AE42" s="167"/>
      <c r="AF42" s="167"/>
      <c r="AG42" s="167"/>
      <c r="AH42" s="167"/>
      <c r="AI42" s="167">
        <v>0</v>
      </c>
      <c r="AJ42" s="167">
        <v>0</v>
      </c>
      <c r="AK42" s="167">
        <v>0</v>
      </c>
      <c r="AL42" s="167">
        <v>0</v>
      </c>
      <c r="AM42" s="167">
        <v>0</v>
      </c>
      <c r="AN42" s="167">
        <v>0</v>
      </c>
      <c r="AO42" s="167">
        <v>0</v>
      </c>
      <c r="AP42" s="167">
        <v>0</v>
      </c>
      <c r="AQ42" s="168">
        <f t="shared" si="6"/>
        <v>0</v>
      </c>
      <c r="AR42" s="168">
        <f t="shared" si="7"/>
        <v>0</v>
      </c>
      <c r="AS42" s="169" t="e">
        <f t="shared" si="8"/>
        <v>#DIV/0!</v>
      </c>
      <c r="AT42" s="236"/>
      <c r="AU42" s="346"/>
      <c r="AV42" s="346"/>
      <c r="AW42" s="345"/>
      <c r="AX42" s="345"/>
      <c r="AY42" s="345"/>
      <c r="AZ42" s="345"/>
      <c r="BA42" s="351"/>
      <c r="BB42" s="237"/>
      <c r="BC42" s="237"/>
      <c r="BD42" s="237"/>
      <c r="BE42" s="237"/>
      <c r="BF42" s="438"/>
      <c r="BG42" s="443"/>
      <c r="BH42" s="237"/>
      <c r="BI42" s="237"/>
      <c r="BJ42" s="344">
        <f t="shared" si="3"/>
        <v>0</v>
      </c>
      <c r="BK42" s="237">
        <f t="shared" si="10"/>
        <v>0</v>
      </c>
      <c r="BL42" s="435" t="e">
        <f t="shared" si="9"/>
        <v>#DIV/0!</v>
      </c>
      <c r="BM42" s="192"/>
      <c r="BN42" s="192"/>
      <c r="BO42" s="192"/>
      <c r="BP42" s="192"/>
      <c r="BQ42" s="192"/>
      <c r="BR42" s="192"/>
      <c r="BS42" s="192"/>
      <c r="BT42" s="192"/>
      <c r="BU42" s="192"/>
      <c r="BV42" s="192"/>
      <c r="BW42" s="192"/>
      <c r="BX42" s="192"/>
      <c r="BY42" s="192"/>
      <c r="BZ42" s="192"/>
      <c r="CA42" s="192"/>
      <c r="CB42" s="192"/>
      <c r="CC42" s="192"/>
      <c r="CD42" s="192"/>
    </row>
    <row r="43" spans="1:82" s="25" customFormat="1" ht="13.5" customHeight="1" x14ac:dyDescent="0.25">
      <c r="A43" s="64">
        <v>112</v>
      </c>
      <c r="B43" s="365" t="s">
        <v>102</v>
      </c>
      <c r="C43" s="64">
        <v>1157</v>
      </c>
      <c r="D43" s="65" t="s">
        <v>104</v>
      </c>
      <c r="E43" s="64">
        <v>1</v>
      </c>
      <c r="F43" s="584" t="s">
        <v>105</v>
      </c>
      <c r="G43" s="584">
        <v>900</v>
      </c>
      <c r="H43" s="584" t="s">
        <v>106</v>
      </c>
      <c r="I43" s="584" t="s">
        <v>107</v>
      </c>
      <c r="J43" s="619">
        <v>0</v>
      </c>
      <c r="K43" s="621">
        <v>0</v>
      </c>
      <c r="L43" s="166" t="s">
        <v>838</v>
      </c>
      <c r="M43" s="164" t="s">
        <v>1127</v>
      </c>
      <c r="N43" s="166" t="s">
        <v>839</v>
      </c>
      <c r="O43" s="190" t="s">
        <v>806</v>
      </c>
      <c r="P43" s="190" t="s">
        <v>400</v>
      </c>
      <c r="Q43" s="180">
        <v>40896</v>
      </c>
      <c r="R43" s="180">
        <v>40898</v>
      </c>
      <c r="S43" s="166" t="s">
        <v>840</v>
      </c>
      <c r="T43" s="166" t="s">
        <v>841</v>
      </c>
      <c r="U43" s="166" t="s">
        <v>418</v>
      </c>
      <c r="V43" s="252" t="s">
        <v>419</v>
      </c>
      <c r="W43" s="252" t="s">
        <v>420</v>
      </c>
      <c r="X43" s="166">
        <v>900</v>
      </c>
      <c r="Y43" s="166" t="s">
        <v>843</v>
      </c>
      <c r="Z43" s="164"/>
      <c r="AA43" s="167">
        <v>3</v>
      </c>
      <c r="AB43" s="175"/>
      <c r="AC43" s="167">
        <v>61</v>
      </c>
      <c r="AD43" s="168">
        <v>1188000000</v>
      </c>
      <c r="AE43" s="167">
        <v>0</v>
      </c>
      <c r="AF43" s="167">
        <v>0</v>
      </c>
      <c r="AG43" s="167">
        <v>0</v>
      </c>
      <c r="AH43" s="167">
        <v>0</v>
      </c>
      <c r="AI43" s="167">
        <v>0</v>
      </c>
      <c r="AJ43" s="167">
        <v>0</v>
      </c>
      <c r="AK43" s="167">
        <v>106920000</v>
      </c>
      <c r="AL43" s="167">
        <v>108000000</v>
      </c>
      <c r="AM43" s="167">
        <v>108000000</v>
      </c>
      <c r="AN43" s="167">
        <v>108000000</v>
      </c>
      <c r="AO43" s="167">
        <v>107280000</v>
      </c>
      <c r="AP43" s="167">
        <v>107520000</v>
      </c>
      <c r="AQ43" s="168">
        <f t="shared" si="6"/>
        <v>645720000</v>
      </c>
      <c r="AR43" s="168">
        <f t="shared" si="7"/>
        <v>542280000</v>
      </c>
      <c r="AS43" s="169">
        <f t="shared" si="8"/>
        <v>0.54353535353535354</v>
      </c>
      <c r="AT43" s="236"/>
      <c r="AU43" s="346">
        <v>9</v>
      </c>
      <c r="AV43" s="346">
        <v>7</v>
      </c>
      <c r="AW43" s="345">
        <v>542280000</v>
      </c>
      <c r="AX43" s="345">
        <v>108000000</v>
      </c>
      <c r="AY43" s="345">
        <v>108000000</v>
      </c>
      <c r="AZ43" s="345">
        <v>107880000</v>
      </c>
      <c r="BA43" s="349">
        <v>107880000</v>
      </c>
      <c r="BB43" s="345">
        <v>108000000</v>
      </c>
      <c r="BC43" s="237">
        <v>0</v>
      </c>
      <c r="BD43" s="237"/>
      <c r="BE43" s="345"/>
      <c r="BF43" s="438"/>
      <c r="BG43" s="443"/>
      <c r="BH43" s="237"/>
      <c r="BI43" s="237"/>
      <c r="BJ43" s="344">
        <f t="shared" si="3"/>
        <v>539760000</v>
      </c>
      <c r="BK43" s="237">
        <f t="shared" si="10"/>
        <v>2520000</v>
      </c>
      <c r="BL43" s="435">
        <f t="shared" si="9"/>
        <v>0.99535295419340564</v>
      </c>
      <c r="BM43" s="192"/>
      <c r="BN43" s="192"/>
      <c r="BO43" s="192"/>
      <c r="BP43" s="192"/>
      <c r="BQ43" s="192"/>
      <c r="BR43" s="192"/>
      <c r="BS43" s="192"/>
      <c r="BT43" s="192"/>
      <c r="BU43" s="192"/>
      <c r="BV43" s="192"/>
      <c r="BW43" s="192"/>
      <c r="BX43" s="192"/>
      <c r="BY43" s="192"/>
      <c r="BZ43" s="192"/>
      <c r="CA43" s="192"/>
      <c r="CB43" s="192"/>
      <c r="CC43" s="192"/>
      <c r="CD43" s="192"/>
    </row>
    <row r="44" spans="1:82" s="25" customFormat="1" x14ac:dyDescent="0.25">
      <c r="A44" s="64">
        <v>112</v>
      </c>
      <c r="B44" s="365" t="s">
        <v>102</v>
      </c>
      <c r="C44" s="64">
        <v>1157</v>
      </c>
      <c r="D44" s="65" t="s">
        <v>104</v>
      </c>
      <c r="E44" s="64">
        <v>1</v>
      </c>
      <c r="F44" s="585"/>
      <c r="G44" s="585"/>
      <c r="H44" s="585"/>
      <c r="I44" s="585"/>
      <c r="J44" s="620"/>
      <c r="K44" s="622"/>
      <c r="L44" s="166" t="s">
        <v>844</v>
      </c>
      <c r="M44" s="164" t="s">
        <v>1127</v>
      </c>
      <c r="N44" s="166" t="s">
        <v>48</v>
      </c>
      <c r="O44" s="190" t="s">
        <v>806</v>
      </c>
      <c r="P44" s="166" t="s">
        <v>356</v>
      </c>
      <c r="Q44" s="180">
        <v>41873</v>
      </c>
      <c r="R44" s="180">
        <v>41883</v>
      </c>
      <c r="S44" s="166" t="s">
        <v>845</v>
      </c>
      <c r="T44" s="186">
        <v>91</v>
      </c>
      <c r="U44" s="166" t="s">
        <v>418</v>
      </c>
      <c r="V44" s="166" t="s">
        <v>846</v>
      </c>
      <c r="W44" s="166">
        <v>52931830</v>
      </c>
      <c r="X44" s="166" t="s">
        <v>361</v>
      </c>
      <c r="Y44" s="166" t="s">
        <v>843</v>
      </c>
      <c r="Z44" s="164"/>
      <c r="AA44" s="167">
        <v>733</v>
      </c>
      <c r="AB44" s="175"/>
      <c r="AC44" s="167">
        <v>767</v>
      </c>
      <c r="AD44" s="168">
        <v>25000000</v>
      </c>
      <c r="AE44" s="167"/>
      <c r="AF44" s="167"/>
      <c r="AG44" s="167"/>
      <c r="AH44" s="167"/>
      <c r="AI44" s="167">
        <v>0</v>
      </c>
      <c r="AJ44" s="167">
        <v>0</v>
      </c>
      <c r="AK44" s="167">
        <v>0</v>
      </c>
      <c r="AL44" s="167">
        <v>0</v>
      </c>
      <c r="AM44" s="167">
        <v>0</v>
      </c>
      <c r="AN44" s="167">
        <v>1166666</v>
      </c>
      <c r="AO44" s="167">
        <v>2500000</v>
      </c>
      <c r="AP44" s="167">
        <v>5000000</v>
      </c>
      <c r="AQ44" s="168">
        <f t="shared" si="6"/>
        <v>8666666</v>
      </c>
      <c r="AR44" s="168">
        <f t="shared" si="7"/>
        <v>16333334</v>
      </c>
      <c r="AS44" s="169">
        <f t="shared" si="8"/>
        <v>0.34666664000000003</v>
      </c>
      <c r="AT44" s="236"/>
      <c r="AU44" s="346">
        <v>241</v>
      </c>
      <c r="AV44" s="346">
        <v>203</v>
      </c>
      <c r="AW44" s="345">
        <v>16333334</v>
      </c>
      <c r="AX44" s="345">
        <v>0</v>
      </c>
      <c r="AY44" s="345">
        <v>2500000</v>
      </c>
      <c r="AZ44" s="345">
        <v>2500000</v>
      </c>
      <c r="BA44" s="349">
        <v>2500000</v>
      </c>
      <c r="BB44" s="345">
        <v>2500000</v>
      </c>
      <c r="BC44" s="345">
        <v>2500000</v>
      </c>
      <c r="BD44" s="345">
        <v>2500000</v>
      </c>
      <c r="BE44" s="345">
        <v>1333334</v>
      </c>
      <c r="BF44" s="438"/>
      <c r="BG44" s="443"/>
      <c r="BH44" s="237"/>
      <c r="BI44" s="237"/>
      <c r="BJ44" s="344">
        <f t="shared" si="3"/>
        <v>16333334</v>
      </c>
      <c r="BK44" s="237">
        <f t="shared" si="10"/>
        <v>0</v>
      </c>
      <c r="BL44" s="435">
        <f t="shared" si="9"/>
        <v>1</v>
      </c>
      <c r="BM44" s="192"/>
      <c r="BN44" s="192"/>
      <c r="BO44" s="192"/>
      <c r="BP44" s="192"/>
      <c r="BQ44" s="192"/>
      <c r="BR44" s="192"/>
      <c r="BS44" s="192"/>
      <c r="BT44" s="192"/>
      <c r="BU44" s="192"/>
      <c r="BV44" s="192"/>
      <c r="BW44" s="192"/>
      <c r="BX44" s="192"/>
      <c r="BY44" s="192"/>
      <c r="BZ44" s="192"/>
      <c r="CA44" s="192"/>
      <c r="CB44" s="192"/>
      <c r="CC44" s="192"/>
      <c r="CD44" s="192"/>
    </row>
    <row r="45" spans="1:82" s="25" customFormat="1" ht="13.5" customHeight="1" x14ac:dyDescent="0.25">
      <c r="A45" s="64">
        <v>112</v>
      </c>
      <c r="B45" s="365" t="s">
        <v>102</v>
      </c>
      <c r="C45" s="64">
        <v>1157</v>
      </c>
      <c r="D45" s="65" t="s">
        <v>104</v>
      </c>
      <c r="E45" s="64">
        <v>1</v>
      </c>
      <c r="F45" s="585"/>
      <c r="G45" s="585">
        <v>900</v>
      </c>
      <c r="H45" s="585"/>
      <c r="I45" s="585" t="s">
        <v>107</v>
      </c>
      <c r="J45" s="620"/>
      <c r="K45" s="622"/>
      <c r="L45" s="166" t="s">
        <v>847</v>
      </c>
      <c r="M45" s="164" t="s">
        <v>1127</v>
      </c>
      <c r="N45" s="166" t="s">
        <v>48</v>
      </c>
      <c r="O45" s="190" t="s">
        <v>806</v>
      </c>
      <c r="P45" s="166" t="s">
        <v>356</v>
      </c>
      <c r="Q45" s="180">
        <v>41873</v>
      </c>
      <c r="R45" s="180">
        <v>41883</v>
      </c>
      <c r="S45" s="166" t="s">
        <v>845</v>
      </c>
      <c r="T45" s="186">
        <v>90</v>
      </c>
      <c r="U45" s="166" t="s">
        <v>418</v>
      </c>
      <c r="V45" s="166" t="s">
        <v>571</v>
      </c>
      <c r="W45" s="166">
        <v>20687100</v>
      </c>
      <c r="X45" s="166" t="s">
        <v>361</v>
      </c>
      <c r="Y45" s="166" t="s">
        <v>843</v>
      </c>
      <c r="Z45" s="164"/>
      <c r="AA45" s="167">
        <v>732</v>
      </c>
      <c r="AB45" s="175"/>
      <c r="AC45" s="167">
        <v>766</v>
      </c>
      <c r="AD45" s="168">
        <v>25000000</v>
      </c>
      <c r="AE45" s="167"/>
      <c r="AF45" s="167"/>
      <c r="AG45" s="167"/>
      <c r="AH45" s="167"/>
      <c r="AI45" s="167">
        <v>0</v>
      </c>
      <c r="AJ45" s="167">
        <v>0</v>
      </c>
      <c r="AK45" s="167">
        <v>0</v>
      </c>
      <c r="AL45" s="167">
        <v>0</v>
      </c>
      <c r="AM45" s="167">
        <v>0</v>
      </c>
      <c r="AN45" s="167">
        <v>1166667</v>
      </c>
      <c r="AO45" s="167">
        <v>2500000</v>
      </c>
      <c r="AP45" s="167">
        <v>5000000</v>
      </c>
      <c r="AQ45" s="168">
        <f t="shared" si="6"/>
        <v>8666667</v>
      </c>
      <c r="AR45" s="168">
        <f t="shared" si="7"/>
        <v>16333333</v>
      </c>
      <c r="AS45" s="169">
        <f t="shared" si="8"/>
        <v>0.34666668</v>
      </c>
      <c r="AT45" s="236"/>
      <c r="AU45" s="346">
        <v>240</v>
      </c>
      <c r="AV45" s="346">
        <v>202</v>
      </c>
      <c r="AW45" s="345">
        <v>16333333</v>
      </c>
      <c r="AX45" s="345">
        <v>0</v>
      </c>
      <c r="AY45" s="345">
        <v>2500000</v>
      </c>
      <c r="AZ45" s="345">
        <v>2500000</v>
      </c>
      <c r="BA45" s="349">
        <v>2500000</v>
      </c>
      <c r="BB45" s="345">
        <v>2500000</v>
      </c>
      <c r="BC45" s="345">
        <v>2500000</v>
      </c>
      <c r="BD45" s="345">
        <v>2500000</v>
      </c>
      <c r="BE45" s="345"/>
      <c r="BF45" s="438">
        <v>1333333</v>
      </c>
      <c r="BG45" s="443"/>
      <c r="BH45" s="237"/>
      <c r="BI45" s="237"/>
      <c r="BJ45" s="344">
        <f t="shared" si="3"/>
        <v>16333333</v>
      </c>
      <c r="BK45" s="237">
        <f t="shared" si="10"/>
        <v>0</v>
      </c>
      <c r="BL45" s="435">
        <f t="shared" si="9"/>
        <v>1</v>
      </c>
      <c r="BM45" s="192"/>
      <c r="BN45" s="192"/>
      <c r="BO45" s="192"/>
      <c r="BP45" s="192"/>
      <c r="BQ45" s="192"/>
      <c r="BR45" s="192"/>
      <c r="BS45" s="192"/>
      <c r="BT45" s="192"/>
      <c r="BU45" s="192"/>
      <c r="BV45" s="192"/>
      <c r="BW45" s="192"/>
      <c r="BX45" s="192"/>
      <c r="BY45" s="192"/>
      <c r="BZ45" s="192"/>
      <c r="CA45" s="192"/>
      <c r="CB45" s="192"/>
      <c r="CC45" s="192"/>
      <c r="CD45" s="192"/>
    </row>
    <row r="46" spans="1:82" s="25" customFormat="1" ht="14.25" customHeight="1" x14ac:dyDescent="0.25">
      <c r="A46" s="64">
        <v>112</v>
      </c>
      <c r="B46" s="365" t="s">
        <v>102</v>
      </c>
      <c r="C46" s="64">
        <v>1157</v>
      </c>
      <c r="D46" s="65" t="s">
        <v>104</v>
      </c>
      <c r="E46" s="64">
        <v>1</v>
      </c>
      <c r="F46" s="585"/>
      <c r="G46" s="585"/>
      <c r="H46" s="585"/>
      <c r="I46" s="585"/>
      <c r="J46" s="620"/>
      <c r="K46" s="622"/>
      <c r="L46" s="166" t="s">
        <v>848</v>
      </c>
      <c r="M46" s="164" t="s">
        <v>1127</v>
      </c>
      <c r="N46" s="166" t="s">
        <v>48</v>
      </c>
      <c r="O46" s="190" t="s">
        <v>806</v>
      </c>
      <c r="P46" s="166" t="s">
        <v>356</v>
      </c>
      <c r="Q46" s="180">
        <v>41876</v>
      </c>
      <c r="R46" s="180">
        <v>41820</v>
      </c>
      <c r="S46" s="166" t="s">
        <v>845</v>
      </c>
      <c r="T46" s="186">
        <v>93</v>
      </c>
      <c r="U46" s="166" t="s">
        <v>418</v>
      </c>
      <c r="V46" s="166" t="s">
        <v>849</v>
      </c>
      <c r="W46" s="166">
        <v>53092253</v>
      </c>
      <c r="X46" s="166" t="s">
        <v>361</v>
      </c>
      <c r="Y46" s="166" t="s">
        <v>843</v>
      </c>
      <c r="Z46" s="164"/>
      <c r="AA46" s="167">
        <v>734</v>
      </c>
      <c r="AB46" s="175"/>
      <c r="AC46" s="167">
        <v>768</v>
      </c>
      <c r="AD46" s="168">
        <v>25000000</v>
      </c>
      <c r="AE46" s="167"/>
      <c r="AF46" s="167"/>
      <c r="AG46" s="167"/>
      <c r="AH46" s="167"/>
      <c r="AI46" s="167">
        <v>0</v>
      </c>
      <c r="AJ46" s="167">
        <v>0</v>
      </c>
      <c r="AK46" s="167">
        <v>0</v>
      </c>
      <c r="AL46" s="167">
        <v>0</v>
      </c>
      <c r="AM46" s="167">
        <v>0</v>
      </c>
      <c r="AN46" s="167">
        <v>0</v>
      </c>
      <c r="AO46" s="167">
        <v>0</v>
      </c>
      <c r="AP46" s="167">
        <v>8666666</v>
      </c>
      <c r="AQ46" s="168">
        <f t="shared" si="6"/>
        <v>8666666</v>
      </c>
      <c r="AR46" s="168">
        <f t="shared" si="7"/>
        <v>16333334</v>
      </c>
      <c r="AS46" s="169">
        <f t="shared" si="8"/>
        <v>0.34666664000000003</v>
      </c>
      <c r="AT46" s="236"/>
      <c r="AU46" s="346">
        <v>242</v>
      </c>
      <c r="AV46" s="346">
        <v>204</v>
      </c>
      <c r="AW46" s="345">
        <v>16333334</v>
      </c>
      <c r="AX46" s="345">
        <v>0</v>
      </c>
      <c r="AY46" s="345">
        <v>0</v>
      </c>
      <c r="AZ46" s="345">
        <v>5000000</v>
      </c>
      <c r="BA46" s="349">
        <v>2500000</v>
      </c>
      <c r="BB46" s="345">
        <v>2500000</v>
      </c>
      <c r="BC46" s="345">
        <v>2500000</v>
      </c>
      <c r="BD46" s="345">
        <v>2500000</v>
      </c>
      <c r="BE46" s="345"/>
      <c r="BF46" s="438">
        <v>1333334</v>
      </c>
      <c r="BG46" s="443"/>
      <c r="BH46" s="237"/>
      <c r="BI46" s="237"/>
      <c r="BJ46" s="344">
        <f t="shared" si="3"/>
        <v>16333334</v>
      </c>
      <c r="BK46" s="237">
        <f t="shared" si="10"/>
        <v>0</v>
      </c>
      <c r="BL46" s="435">
        <f t="shared" si="9"/>
        <v>1</v>
      </c>
      <c r="BM46" s="192"/>
      <c r="BN46" s="192"/>
      <c r="BO46" s="192"/>
      <c r="BP46" s="192"/>
      <c r="BQ46" s="192"/>
      <c r="BR46" s="192"/>
      <c r="BS46" s="192"/>
      <c r="BT46" s="192"/>
      <c r="BU46" s="192"/>
      <c r="BV46" s="192"/>
      <c r="BW46" s="192"/>
      <c r="BX46" s="192"/>
      <c r="BY46" s="192"/>
      <c r="BZ46" s="192"/>
      <c r="CA46" s="192"/>
      <c r="CB46" s="192"/>
      <c r="CC46" s="192"/>
      <c r="CD46" s="192"/>
    </row>
    <row r="47" spans="1:82" s="25" customFormat="1" x14ac:dyDescent="0.25">
      <c r="A47" s="64">
        <v>112</v>
      </c>
      <c r="B47" s="365" t="s">
        <v>102</v>
      </c>
      <c r="C47" s="64">
        <v>1157</v>
      </c>
      <c r="D47" s="65" t="s">
        <v>104</v>
      </c>
      <c r="E47" s="64">
        <v>1</v>
      </c>
      <c r="F47" s="585"/>
      <c r="G47" s="585"/>
      <c r="H47" s="585"/>
      <c r="I47" s="585"/>
      <c r="J47" s="620"/>
      <c r="K47" s="622"/>
      <c r="L47" s="166" t="s">
        <v>850</v>
      </c>
      <c r="M47" s="164" t="s">
        <v>1127</v>
      </c>
      <c r="N47" s="166" t="s">
        <v>48</v>
      </c>
      <c r="O47" s="190" t="s">
        <v>806</v>
      </c>
      <c r="P47" s="166" t="s">
        <v>356</v>
      </c>
      <c r="Q47" s="180">
        <v>41876</v>
      </c>
      <c r="R47" s="180">
        <v>41883</v>
      </c>
      <c r="S47" s="166" t="s">
        <v>845</v>
      </c>
      <c r="T47" s="186">
        <v>94</v>
      </c>
      <c r="U47" s="166" t="s">
        <v>418</v>
      </c>
      <c r="V47" s="166" t="s">
        <v>851</v>
      </c>
      <c r="W47" s="166">
        <v>52827709</v>
      </c>
      <c r="X47" s="166" t="s">
        <v>361</v>
      </c>
      <c r="Y47" s="166" t="s">
        <v>843</v>
      </c>
      <c r="Z47" s="164"/>
      <c r="AA47" s="167">
        <v>736</v>
      </c>
      <c r="AB47" s="175"/>
      <c r="AC47" s="167">
        <v>773</v>
      </c>
      <c r="AD47" s="168">
        <v>20000000</v>
      </c>
      <c r="AE47" s="167"/>
      <c r="AF47" s="167"/>
      <c r="AG47" s="167"/>
      <c r="AH47" s="167"/>
      <c r="AI47" s="167">
        <v>0</v>
      </c>
      <c r="AJ47" s="167">
        <v>0</v>
      </c>
      <c r="AK47" s="167">
        <v>0</v>
      </c>
      <c r="AL47" s="167">
        <v>0</v>
      </c>
      <c r="AM47" s="167">
        <v>0</v>
      </c>
      <c r="AN47" s="167">
        <v>0</v>
      </c>
      <c r="AO47" s="167">
        <v>2200000</v>
      </c>
      <c r="AP47" s="167">
        <v>4000000</v>
      </c>
      <c r="AQ47" s="168">
        <f t="shared" si="6"/>
        <v>6200000</v>
      </c>
      <c r="AR47" s="168">
        <f t="shared" si="7"/>
        <v>13800000</v>
      </c>
      <c r="AS47" s="169">
        <f t="shared" si="8"/>
        <v>0.31</v>
      </c>
      <c r="AT47" s="236"/>
      <c r="AU47" s="346">
        <v>247</v>
      </c>
      <c r="AV47" s="346">
        <v>209</v>
      </c>
      <c r="AW47" s="345">
        <v>13800000</v>
      </c>
      <c r="AX47" s="345">
        <v>0</v>
      </c>
      <c r="AY47" s="345">
        <v>2000000</v>
      </c>
      <c r="AZ47" s="345">
        <v>2000000</v>
      </c>
      <c r="BA47" s="349">
        <v>2000000</v>
      </c>
      <c r="BB47" s="345">
        <v>2000000</v>
      </c>
      <c r="BC47" s="345">
        <v>2000000</v>
      </c>
      <c r="BD47" s="345">
        <v>2000000</v>
      </c>
      <c r="BE47" s="345">
        <v>1800000</v>
      </c>
      <c r="BF47" s="438"/>
      <c r="BG47" s="443"/>
      <c r="BH47" s="237"/>
      <c r="BI47" s="237"/>
      <c r="BJ47" s="344">
        <f t="shared" si="3"/>
        <v>13800000</v>
      </c>
      <c r="BK47" s="237">
        <f t="shared" si="10"/>
        <v>0</v>
      </c>
      <c r="BL47" s="435">
        <f t="shared" si="9"/>
        <v>1</v>
      </c>
      <c r="BM47" s="192"/>
      <c r="BN47" s="192"/>
      <c r="BO47" s="192"/>
      <c r="BP47" s="192"/>
      <c r="BQ47" s="192"/>
      <c r="BR47" s="192"/>
      <c r="BS47" s="192"/>
      <c r="BT47" s="192"/>
      <c r="BU47" s="192"/>
      <c r="BV47" s="192"/>
      <c r="BW47" s="192"/>
      <c r="BX47" s="192"/>
      <c r="BY47" s="192"/>
      <c r="BZ47" s="192"/>
      <c r="CA47" s="192"/>
      <c r="CB47" s="192"/>
      <c r="CC47" s="192"/>
      <c r="CD47" s="192"/>
    </row>
    <row r="48" spans="1:82" s="25" customFormat="1" x14ac:dyDescent="0.25">
      <c r="A48" s="64">
        <v>112</v>
      </c>
      <c r="B48" s="365" t="s">
        <v>102</v>
      </c>
      <c r="C48" s="64">
        <v>1157</v>
      </c>
      <c r="D48" s="65" t="s">
        <v>104</v>
      </c>
      <c r="E48" s="64">
        <v>1</v>
      </c>
      <c r="F48" s="585"/>
      <c r="G48" s="585"/>
      <c r="H48" s="585"/>
      <c r="I48" s="585"/>
      <c r="J48" s="620"/>
      <c r="K48" s="622"/>
      <c r="L48" s="166" t="s">
        <v>852</v>
      </c>
      <c r="M48" s="164" t="s">
        <v>1127</v>
      </c>
      <c r="N48" s="166" t="s">
        <v>48</v>
      </c>
      <c r="O48" s="166" t="s">
        <v>836</v>
      </c>
      <c r="P48" s="166" t="s">
        <v>836</v>
      </c>
      <c r="Q48" s="180">
        <v>41978</v>
      </c>
      <c r="R48" s="180">
        <v>42005</v>
      </c>
      <c r="S48" s="253" t="s">
        <v>1292</v>
      </c>
      <c r="T48" s="186" t="s">
        <v>853</v>
      </c>
      <c r="U48" s="166" t="s">
        <v>418</v>
      </c>
      <c r="V48" s="166" t="s">
        <v>419</v>
      </c>
      <c r="W48" s="164" t="s">
        <v>420</v>
      </c>
      <c r="X48" s="166">
        <v>1200</v>
      </c>
      <c r="Y48" s="166" t="s">
        <v>843</v>
      </c>
      <c r="Z48" s="164"/>
      <c r="AA48" s="167">
        <v>823</v>
      </c>
      <c r="AB48" s="175"/>
      <c r="AC48" s="167">
        <v>924</v>
      </c>
      <c r="AD48" s="168">
        <v>432000000</v>
      </c>
      <c r="AE48" s="167"/>
      <c r="AF48" s="167"/>
      <c r="AG48" s="167"/>
      <c r="AH48" s="167"/>
      <c r="AI48" s="167"/>
      <c r="AJ48" s="167"/>
      <c r="AK48" s="167"/>
      <c r="AL48" s="167"/>
      <c r="AM48" s="167"/>
      <c r="AN48" s="167">
        <v>0</v>
      </c>
      <c r="AO48" s="167">
        <v>0</v>
      </c>
      <c r="AP48" s="167">
        <v>0</v>
      </c>
      <c r="AQ48" s="168">
        <f t="shared" si="6"/>
        <v>0</v>
      </c>
      <c r="AR48" s="168">
        <f t="shared" si="7"/>
        <v>432000000</v>
      </c>
      <c r="AS48" s="169">
        <f t="shared" si="8"/>
        <v>0</v>
      </c>
      <c r="AT48" s="236"/>
      <c r="AU48" s="346">
        <v>306</v>
      </c>
      <c r="AV48" s="346">
        <v>261</v>
      </c>
      <c r="AW48" s="345">
        <v>432000000</v>
      </c>
      <c r="AX48" s="345">
        <v>36000000</v>
      </c>
      <c r="AY48" s="345">
        <v>36000000</v>
      </c>
      <c r="AZ48" s="345">
        <v>36000000</v>
      </c>
      <c r="BA48" s="349">
        <v>35760000</v>
      </c>
      <c r="BB48" s="345">
        <v>36000000</v>
      </c>
      <c r="BC48" s="345">
        <v>36000000</v>
      </c>
      <c r="BD48" s="345">
        <v>36000000</v>
      </c>
      <c r="BE48" s="345">
        <v>35880000</v>
      </c>
      <c r="BF48" s="438">
        <v>36000000</v>
      </c>
      <c r="BG48" s="443">
        <v>36000000</v>
      </c>
      <c r="BH48" s="237">
        <v>36000000</v>
      </c>
      <c r="BI48" s="237">
        <v>36000000</v>
      </c>
      <c r="BJ48" s="344">
        <f t="shared" si="3"/>
        <v>431640000</v>
      </c>
      <c r="BK48" s="237">
        <f t="shared" si="10"/>
        <v>360000</v>
      </c>
      <c r="BL48" s="435">
        <f t="shared" si="9"/>
        <v>0.99916666666666665</v>
      </c>
      <c r="BM48" s="192"/>
      <c r="BN48" s="192"/>
      <c r="BO48" s="192"/>
      <c r="BP48" s="192"/>
      <c r="BQ48" s="192"/>
      <c r="BR48" s="192"/>
      <c r="BS48" s="192"/>
      <c r="BT48" s="192"/>
      <c r="BU48" s="192"/>
      <c r="BV48" s="192"/>
      <c r="BW48" s="192"/>
      <c r="BX48" s="192"/>
      <c r="BY48" s="192"/>
      <c r="BZ48" s="192"/>
      <c r="CA48" s="192"/>
      <c r="CB48" s="192"/>
      <c r="CC48" s="192"/>
      <c r="CD48" s="192"/>
    </row>
    <row r="49" spans="1:82" s="25" customFormat="1" x14ac:dyDescent="0.25">
      <c r="A49" s="64">
        <v>112</v>
      </c>
      <c r="B49" s="365" t="s">
        <v>102</v>
      </c>
      <c r="C49" s="64">
        <v>1157</v>
      </c>
      <c r="D49" s="65" t="s">
        <v>104</v>
      </c>
      <c r="E49" s="64">
        <v>1</v>
      </c>
      <c r="F49" s="585"/>
      <c r="G49" s="585"/>
      <c r="H49" s="585"/>
      <c r="I49" s="585"/>
      <c r="J49" s="620"/>
      <c r="K49" s="622"/>
      <c r="L49" s="166" t="s">
        <v>854</v>
      </c>
      <c r="M49" s="164" t="s">
        <v>1127</v>
      </c>
      <c r="N49" s="166" t="s">
        <v>48</v>
      </c>
      <c r="O49" s="166" t="s">
        <v>836</v>
      </c>
      <c r="P49" s="166" t="s">
        <v>836</v>
      </c>
      <c r="Q49" s="180">
        <v>41978</v>
      </c>
      <c r="R49" s="180">
        <v>42005</v>
      </c>
      <c r="S49" s="253" t="s">
        <v>1292</v>
      </c>
      <c r="T49" s="186" t="s">
        <v>855</v>
      </c>
      <c r="U49" s="166" t="s">
        <v>418</v>
      </c>
      <c r="V49" s="166" t="s">
        <v>419</v>
      </c>
      <c r="W49" s="164" t="s">
        <v>420</v>
      </c>
      <c r="X49" s="166">
        <v>1200</v>
      </c>
      <c r="Y49" s="166" t="s">
        <v>843</v>
      </c>
      <c r="Z49" s="164"/>
      <c r="AA49" s="167">
        <v>828</v>
      </c>
      <c r="AB49" s="175"/>
      <c r="AC49" s="167">
        <v>925</v>
      </c>
      <c r="AD49" s="168">
        <v>35234465</v>
      </c>
      <c r="AE49" s="167"/>
      <c r="AF49" s="167"/>
      <c r="AG49" s="167"/>
      <c r="AH49" s="167"/>
      <c r="AI49" s="167"/>
      <c r="AJ49" s="167"/>
      <c r="AK49" s="167"/>
      <c r="AL49" s="167"/>
      <c r="AM49" s="167"/>
      <c r="AN49" s="167">
        <v>0</v>
      </c>
      <c r="AO49" s="167">
        <v>0</v>
      </c>
      <c r="AP49" s="167">
        <v>0</v>
      </c>
      <c r="AQ49" s="168">
        <f t="shared" si="6"/>
        <v>0</v>
      </c>
      <c r="AR49" s="168">
        <f t="shared" si="7"/>
        <v>35234465</v>
      </c>
      <c r="AS49" s="169">
        <f t="shared" si="8"/>
        <v>0</v>
      </c>
      <c r="AT49" s="236"/>
      <c r="AU49" s="346">
        <v>307</v>
      </c>
      <c r="AV49" s="346">
        <v>262</v>
      </c>
      <c r="AW49" s="345">
        <v>35234465</v>
      </c>
      <c r="AX49" s="345">
        <v>0</v>
      </c>
      <c r="AY49" s="345">
        <v>0</v>
      </c>
      <c r="AZ49" s="345">
        <v>0</v>
      </c>
      <c r="BA49" s="349">
        <v>2268511</v>
      </c>
      <c r="BB49" s="345">
        <f>2033502+1857253</f>
        <v>3890755</v>
      </c>
      <c r="BC49" s="345">
        <v>1713862</v>
      </c>
      <c r="BD49" s="237"/>
      <c r="BE49" s="345">
        <v>1727709</v>
      </c>
      <c r="BF49" s="438">
        <v>1753707</v>
      </c>
      <c r="BG49" s="447">
        <f>1657004+1648699</f>
        <v>3305703</v>
      </c>
      <c r="BH49" s="237">
        <v>3278927</v>
      </c>
      <c r="BI49" s="237"/>
      <c r="BJ49" s="344">
        <f t="shared" si="3"/>
        <v>17939174</v>
      </c>
      <c r="BK49" s="237">
        <f t="shared" si="10"/>
        <v>17295291</v>
      </c>
      <c r="BL49" s="435">
        <f t="shared" si="9"/>
        <v>0.50913711901117276</v>
      </c>
      <c r="BM49" s="192"/>
      <c r="BN49" s="192"/>
      <c r="BO49" s="192"/>
      <c r="BP49" s="192"/>
      <c r="BQ49" s="192"/>
      <c r="BR49" s="192"/>
      <c r="BS49" s="192"/>
      <c r="BT49" s="192"/>
      <c r="BU49" s="192"/>
      <c r="BV49" s="192"/>
      <c r="BW49" s="192"/>
      <c r="BX49" s="192"/>
      <c r="BY49" s="192"/>
      <c r="BZ49" s="192"/>
      <c r="CA49" s="192"/>
      <c r="CB49" s="192"/>
      <c r="CC49" s="192"/>
      <c r="CD49" s="192"/>
    </row>
    <row r="50" spans="1:82" s="25" customFormat="1" x14ac:dyDescent="0.25">
      <c r="A50" s="64">
        <v>112</v>
      </c>
      <c r="B50" s="365" t="s">
        <v>102</v>
      </c>
      <c r="C50" s="64">
        <v>1157</v>
      </c>
      <c r="D50" s="65" t="s">
        <v>104</v>
      </c>
      <c r="E50" s="64">
        <v>1</v>
      </c>
      <c r="F50" s="585"/>
      <c r="G50" s="585"/>
      <c r="H50" s="585"/>
      <c r="I50" s="585"/>
      <c r="J50" s="620"/>
      <c r="K50" s="622"/>
      <c r="L50" s="166" t="s">
        <v>856</v>
      </c>
      <c r="M50" s="164" t="s">
        <v>1127</v>
      </c>
      <c r="N50" s="166" t="s">
        <v>90</v>
      </c>
      <c r="O50" s="255"/>
      <c r="P50" s="244" t="s">
        <v>356</v>
      </c>
      <c r="Q50" s="255"/>
      <c r="R50" s="255"/>
      <c r="S50" s="255"/>
      <c r="T50" s="186">
        <v>10</v>
      </c>
      <c r="U50" s="255"/>
      <c r="V50" s="244" t="s">
        <v>424</v>
      </c>
      <c r="W50" s="164">
        <v>830044030</v>
      </c>
      <c r="X50" s="255"/>
      <c r="Y50" s="255"/>
      <c r="Z50" s="164"/>
      <c r="AA50" s="167">
        <v>850</v>
      </c>
      <c r="AB50" s="175"/>
      <c r="AC50" s="167">
        <v>927</v>
      </c>
      <c r="AD50" s="168">
        <v>1100000</v>
      </c>
      <c r="AE50" s="167"/>
      <c r="AF50" s="167"/>
      <c r="AG50" s="167"/>
      <c r="AH50" s="167"/>
      <c r="AI50" s="167"/>
      <c r="AJ50" s="167"/>
      <c r="AK50" s="167"/>
      <c r="AL50" s="167"/>
      <c r="AM50" s="167"/>
      <c r="AN50" s="167">
        <v>0</v>
      </c>
      <c r="AO50" s="167">
        <v>0</v>
      </c>
      <c r="AP50" s="167">
        <v>1100000</v>
      </c>
      <c r="AQ50" s="168">
        <f t="shared" si="6"/>
        <v>1100000</v>
      </c>
      <c r="AR50" s="168">
        <f t="shared" si="7"/>
        <v>0</v>
      </c>
      <c r="AS50" s="169">
        <f t="shared" si="8"/>
        <v>1</v>
      </c>
      <c r="AT50" s="236"/>
      <c r="AU50" s="346"/>
      <c r="AV50" s="346"/>
      <c r="AW50" s="345"/>
      <c r="AX50" s="345"/>
      <c r="AY50" s="345"/>
      <c r="AZ50" s="345"/>
      <c r="BA50" s="349"/>
      <c r="BB50" s="345"/>
      <c r="BC50" s="345"/>
      <c r="BD50" s="345"/>
      <c r="BE50" s="345"/>
      <c r="BF50" s="438"/>
      <c r="BG50" s="443"/>
      <c r="BH50" s="237"/>
      <c r="BI50" s="237"/>
      <c r="BJ50" s="344">
        <f t="shared" si="3"/>
        <v>0</v>
      </c>
      <c r="BK50" s="237">
        <f t="shared" si="10"/>
        <v>0</v>
      </c>
      <c r="BL50" s="435" t="e">
        <f t="shared" si="9"/>
        <v>#DIV/0!</v>
      </c>
      <c r="BM50" s="192"/>
      <c r="BN50" s="192"/>
      <c r="BO50" s="192"/>
      <c r="BP50" s="192"/>
      <c r="BQ50" s="192"/>
      <c r="BR50" s="192"/>
      <c r="BS50" s="192"/>
      <c r="BT50" s="192"/>
      <c r="BU50" s="192"/>
      <c r="BV50" s="192"/>
      <c r="BW50" s="192"/>
      <c r="BX50" s="192"/>
      <c r="BY50" s="192"/>
      <c r="BZ50" s="192"/>
      <c r="CA50" s="192"/>
      <c r="CB50" s="192"/>
      <c r="CC50" s="192"/>
      <c r="CD50" s="192"/>
    </row>
    <row r="51" spans="1:82" s="25" customFormat="1" x14ac:dyDescent="0.25">
      <c r="A51" s="64">
        <v>112</v>
      </c>
      <c r="B51" s="365" t="s">
        <v>102</v>
      </c>
      <c r="C51" s="64">
        <v>1157</v>
      </c>
      <c r="D51" s="65" t="s">
        <v>104</v>
      </c>
      <c r="E51" s="64">
        <v>1</v>
      </c>
      <c r="F51" s="585"/>
      <c r="G51" s="585"/>
      <c r="H51" s="585"/>
      <c r="I51" s="585"/>
      <c r="J51" s="620"/>
      <c r="K51" s="622"/>
      <c r="L51" s="166" t="s">
        <v>857</v>
      </c>
      <c r="M51" s="164" t="s">
        <v>1127</v>
      </c>
      <c r="N51" s="166" t="s">
        <v>90</v>
      </c>
      <c r="O51" s="255"/>
      <c r="P51" s="244" t="s">
        <v>858</v>
      </c>
      <c r="Q51" s="255"/>
      <c r="R51" s="255"/>
      <c r="S51" s="255"/>
      <c r="T51" s="186">
        <v>2712</v>
      </c>
      <c r="U51" s="255"/>
      <c r="V51" s="244" t="s">
        <v>859</v>
      </c>
      <c r="W51" s="255"/>
      <c r="X51" s="255"/>
      <c r="Y51" s="255"/>
      <c r="Z51" s="164"/>
      <c r="AA51" s="167">
        <v>852</v>
      </c>
      <c r="AB51" s="175"/>
      <c r="AC51" s="167">
        <v>929</v>
      </c>
      <c r="AD51" s="168">
        <v>833335</v>
      </c>
      <c r="AE51" s="167"/>
      <c r="AF51" s="167"/>
      <c r="AG51" s="167"/>
      <c r="AH51" s="167"/>
      <c r="AI51" s="167"/>
      <c r="AJ51" s="167"/>
      <c r="AK51" s="167"/>
      <c r="AL51" s="167"/>
      <c r="AM51" s="167"/>
      <c r="AN51" s="167">
        <v>0</v>
      </c>
      <c r="AO51" s="167">
        <v>0</v>
      </c>
      <c r="AP51" s="167">
        <v>833335</v>
      </c>
      <c r="AQ51" s="168">
        <f t="shared" si="6"/>
        <v>833335</v>
      </c>
      <c r="AR51" s="168">
        <f t="shared" si="7"/>
        <v>0</v>
      </c>
      <c r="AS51" s="169">
        <f t="shared" si="8"/>
        <v>1</v>
      </c>
      <c r="AT51" s="236"/>
      <c r="AU51" s="346"/>
      <c r="AV51" s="346"/>
      <c r="AW51" s="345"/>
      <c r="AX51" s="345"/>
      <c r="AY51" s="345"/>
      <c r="AZ51" s="345"/>
      <c r="BA51" s="349"/>
      <c r="BB51" s="345"/>
      <c r="BC51" s="345"/>
      <c r="BD51" s="345"/>
      <c r="BE51" s="345"/>
      <c r="BF51" s="438"/>
      <c r="BG51" s="443"/>
      <c r="BH51" s="237"/>
      <c r="BI51" s="237"/>
      <c r="BJ51" s="344">
        <f t="shared" si="3"/>
        <v>0</v>
      </c>
      <c r="BK51" s="237">
        <f t="shared" si="10"/>
        <v>0</v>
      </c>
      <c r="BL51" s="435" t="e">
        <f t="shared" si="9"/>
        <v>#DIV/0!</v>
      </c>
      <c r="BM51" s="192"/>
      <c r="BN51" s="192"/>
      <c r="BO51" s="192"/>
      <c r="BP51" s="192"/>
      <c r="BQ51" s="192"/>
      <c r="BR51" s="192"/>
      <c r="BS51" s="192"/>
      <c r="BT51" s="192"/>
      <c r="BU51" s="192"/>
      <c r="BV51" s="192"/>
      <c r="BW51" s="192"/>
      <c r="BX51" s="192"/>
      <c r="BY51" s="192"/>
      <c r="BZ51" s="192"/>
      <c r="CA51" s="192"/>
      <c r="CB51" s="192"/>
      <c r="CC51" s="192"/>
      <c r="CD51" s="192"/>
    </row>
    <row r="52" spans="1:82" s="25" customFormat="1" x14ac:dyDescent="0.25">
      <c r="A52" s="64">
        <v>112</v>
      </c>
      <c r="B52" s="365" t="s">
        <v>102</v>
      </c>
      <c r="C52" s="64">
        <v>1157</v>
      </c>
      <c r="D52" s="65" t="s">
        <v>104</v>
      </c>
      <c r="E52" s="64">
        <v>1</v>
      </c>
      <c r="F52" s="585"/>
      <c r="G52" s="585"/>
      <c r="H52" s="585"/>
      <c r="I52" s="585"/>
      <c r="J52" s="620"/>
      <c r="K52" s="622"/>
      <c r="L52" s="166" t="s">
        <v>860</v>
      </c>
      <c r="M52" s="164" t="s">
        <v>1127</v>
      </c>
      <c r="N52" s="166" t="s">
        <v>90</v>
      </c>
      <c r="O52" s="255"/>
      <c r="P52" s="244" t="s">
        <v>858</v>
      </c>
      <c r="Q52" s="255"/>
      <c r="R52" s="255"/>
      <c r="S52" s="255"/>
      <c r="T52" s="186">
        <v>2781</v>
      </c>
      <c r="U52" s="255"/>
      <c r="V52" s="244" t="s">
        <v>859</v>
      </c>
      <c r="W52" s="255"/>
      <c r="X52" s="255"/>
      <c r="Y52" s="255"/>
      <c r="Z52" s="164"/>
      <c r="AA52" s="167">
        <v>853</v>
      </c>
      <c r="AB52" s="175"/>
      <c r="AC52" s="167">
        <v>930</v>
      </c>
      <c r="AD52" s="168">
        <v>831172</v>
      </c>
      <c r="AE52" s="167"/>
      <c r="AF52" s="167"/>
      <c r="AG52" s="167"/>
      <c r="AH52" s="167"/>
      <c r="AI52" s="167"/>
      <c r="AJ52" s="167"/>
      <c r="AK52" s="167"/>
      <c r="AL52" s="167"/>
      <c r="AM52" s="167"/>
      <c r="AN52" s="167">
        <v>0</v>
      </c>
      <c r="AO52" s="167">
        <v>0</v>
      </c>
      <c r="AP52" s="167">
        <v>831172</v>
      </c>
      <c r="AQ52" s="168">
        <f t="shared" si="6"/>
        <v>831172</v>
      </c>
      <c r="AR52" s="168">
        <f t="shared" si="7"/>
        <v>0</v>
      </c>
      <c r="AS52" s="169">
        <f t="shared" si="8"/>
        <v>1</v>
      </c>
      <c r="AT52" s="236"/>
      <c r="AU52" s="346"/>
      <c r="AV52" s="346"/>
      <c r="AW52" s="345"/>
      <c r="AX52" s="345"/>
      <c r="AY52" s="345"/>
      <c r="AZ52" s="345"/>
      <c r="BA52" s="349"/>
      <c r="BB52" s="345"/>
      <c r="BC52" s="345"/>
      <c r="BD52" s="345"/>
      <c r="BE52" s="345"/>
      <c r="BF52" s="438"/>
      <c r="BG52" s="443"/>
      <c r="BH52" s="237"/>
      <c r="BI52" s="237"/>
      <c r="BJ52" s="344">
        <f t="shared" si="3"/>
        <v>0</v>
      </c>
      <c r="BK52" s="237">
        <f t="shared" si="10"/>
        <v>0</v>
      </c>
      <c r="BL52" s="435" t="e">
        <f t="shared" si="9"/>
        <v>#DIV/0!</v>
      </c>
      <c r="BM52" s="192"/>
      <c r="BN52" s="192"/>
      <c r="BO52" s="192"/>
      <c r="BP52" s="192"/>
      <c r="BQ52" s="192"/>
      <c r="BR52" s="192"/>
      <c r="BS52" s="192"/>
      <c r="BT52" s="192"/>
      <c r="BU52" s="192"/>
      <c r="BV52" s="192"/>
      <c r="BW52" s="192"/>
      <c r="BX52" s="192"/>
      <c r="BY52" s="192"/>
      <c r="BZ52" s="192"/>
      <c r="CA52" s="192"/>
      <c r="CB52" s="192"/>
      <c r="CC52" s="192"/>
      <c r="CD52" s="192"/>
    </row>
    <row r="53" spans="1:82" s="25" customFormat="1" x14ac:dyDescent="0.25">
      <c r="A53" s="64">
        <v>112</v>
      </c>
      <c r="B53" s="365" t="s">
        <v>102</v>
      </c>
      <c r="C53" s="64">
        <v>1157</v>
      </c>
      <c r="D53" s="65" t="s">
        <v>104</v>
      </c>
      <c r="E53" s="64">
        <v>1</v>
      </c>
      <c r="F53" s="585"/>
      <c r="G53" s="585"/>
      <c r="H53" s="585"/>
      <c r="I53" s="585"/>
      <c r="J53" s="620"/>
      <c r="K53" s="622"/>
      <c r="L53" s="166" t="s">
        <v>861</v>
      </c>
      <c r="M53" s="164" t="s">
        <v>1127</v>
      </c>
      <c r="N53" s="166" t="s">
        <v>48</v>
      </c>
      <c r="O53" s="380" t="s">
        <v>806</v>
      </c>
      <c r="P53" s="244" t="s">
        <v>356</v>
      </c>
      <c r="Q53" s="245">
        <v>41876</v>
      </c>
      <c r="R53" s="245">
        <v>41883</v>
      </c>
      <c r="S53" s="244" t="s">
        <v>845</v>
      </c>
      <c r="T53" s="186">
        <v>94</v>
      </c>
      <c r="U53" s="166" t="s">
        <v>418</v>
      </c>
      <c r="V53" s="166" t="s">
        <v>862</v>
      </c>
      <c r="W53" s="166">
        <v>52827709</v>
      </c>
      <c r="X53" s="166" t="s">
        <v>361</v>
      </c>
      <c r="Y53" s="166" t="s">
        <v>843</v>
      </c>
      <c r="Z53" s="164"/>
      <c r="AA53" s="167">
        <v>878</v>
      </c>
      <c r="AB53" s="175"/>
      <c r="AC53" s="167">
        <v>986</v>
      </c>
      <c r="AD53" s="168">
        <v>10000000</v>
      </c>
      <c r="AE53" s="167"/>
      <c r="AF53" s="167"/>
      <c r="AG53" s="167"/>
      <c r="AH53" s="167"/>
      <c r="AI53" s="167"/>
      <c r="AJ53" s="167"/>
      <c r="AK53" s="167"/>
      <c r="AL53" s="167"/>
      <c r="AM53" s="167"/>
      <c r="AN53" s="167">
        <v>0</v>
      </c>
      <c r="AO53" s="167">
        <v>0</v>
      </c>
      <c r="AP53" s="167">
        <v>0</v>
      </c>
      <c r="AQ53" s="168">
        <f t="shared" si="6"/>
        <v>0</v>
      </c>
      <c r="AR53" s="168">
        <f t="shared" si="7"/>
        <v>10000000</v>
      </c>
      <c r="AS53" s="169">
        <f t="shared" si="8"/>
        <v>0</v>
      </c>
      <c r="AT53" s="236"/>
      <c r="AU53" s="346">
        <v>464</v>
      </c>
      <c r="AV53" s="346">
        <v>516</v>
      </c>
      <c r="AW53" s="345">
        <v>10000000</v>
      </c>
      <c r="AX53" s="345">
        <v>0</v>
      </c>
      <c r="AY53" s="345">
        <v>0</v>
      </c>
      <c r="AZ53" s="345">
        <v>0</v>
      </c>
      <c r="BA53" s="349">
        <v>0</v>
      </c>
      <c r="BB53" s="345">
        <v>0</v>
      </c>
      <c r="BC53" s="345">
        <v>0</v>
      </c>
      <c r="BD53" s="345"/>
      <c r="BE53" s="345">
        <v>200000</v>
      </c>
      <c r="BF53" s="438">
        <v>2000000</v>
      </c>
      <c r="BG53" s="443">
        <v>2000000</v>
      </c>
      <c r="BH53" s="237">
        <v>2000000</v>
      </c>
      <c r="BI53" s="237">
        <f>2000000+1066667</f>
        <v>3066667</v>
      </c>
      <c r="BJ53" s="344">
        <f t="shared" si="3"/>
        <v>9266667</v>
      </c>
      <c r="BK53" s="237">
        <f t="shared" si="10"/>
        <v>733333</v>
      </c>
      <c r="BL53" s="435">
        <f t="shared" si="9"/>
        <v>0.92666669999999995</v>
      </c>
      <c r="BM53" s="192"/>
      <c r="BN53" s="192"/>
      <c r="BO53" s="192"/>
      <c r="BP53" s="192"/>
      <c r="BQ53" s="192"/>
      <c r="BR53" s="192"/>
      <c r="BS53" s="192"/>
      <c r="BT53" s="192"/>
      <c r="BU53" s="192"/>
      <c r="BV53" s="192"/>
      <c r="BW53" s="192"/>
      <c r="BX53" s="192"/>
      <c r="BY53" s="192"/>
      <c r="BZ53" s="192"/>
      <c r="CA53" s="192"/>
      <c r="CB53" s="192"/>
      <c r="CC53" s="192"/>
      <c r="CD53" s="192"/>
    </row>
    <row r="54" spans="1:82" s="25" customFormat="1" x14ac:dyDescent="0.25">
      <c r="A54" s="64">
        <v>112</v>
      </c>
      <c r="B54" s="365" t="s">
        <v>102</v>
      </c>
      <c r="C54" s="64">
        <v>1157</v>
      </c>
      <c r="D54" s="65" t="s">
        <v>104</v>
      </c>
      <c r="E54" s="64">
        <v>1</v>
      </c>
      <c r="F54" s="585"/>
      <c r="G54" s="585"/>
      <c r="H54" s="585"/>
      <c r="I54" s="585"/>
      <c r="J54" s="620"/>
      <c r="K54" s="622"/>
      <c r="L54" s="166" t="s">
        <v>863</v>
      </c>
      <c r="M54" s="164" t="s">
        <v>1127</v>
      </c>
      <c r="N54" s="166" t="s">
        <v>48</v>
      </c>
      <c r="O54" s="380" t="s">
        <v>806</v>
      </c>
      <c r="P54" s="244" t="s">
        <v>356</v>
      </c>
      <c r="Q54" s="245">
        <v>41876</v>
      </c>
      <c r="R54" s="245">
        <v>41820</v>
      </c>
      <c r="S54" s="244" t="s">
        <v>845</v>
      </c>
      <c r="T54" s="186">
        <v>93</v>
      </c>
      <c r="U54" s="166" t="s">
        <v>418</v>
      </c>
      <c r="V54" s="166" t="s">
        <v>849</v>
      </c>
      <c r="W54" s="166">
        <v>53092253</v>
      </c>
      <c r="X54" s="166" t="s">
        <v>361</v>
      </c>
      <c r="Y54" s="166" t="s">
        <v>843</v>
      </c>
      <c r="Z54" s="164"/>
      <c r="AA54" s="167">
        <v>879</v>
      </c>
      <c r="AB54" s="175"/>
      <c r="AC54" s="167">
        <v>988</v>
      </c>
      <c r="AD54" s="168">
        <v>12500000</v>
      </c>
      <c r="AE54" s="167"/>
      <c r="AF54" s="167"/>
      <c r="AG54" s="167"/>
      <c r="AH54" s="167"/>
      <c r="AI54" s="167"/>
      <c r="AJ54" s="167"/>
      <c r="AK54" s="167"/>
      <c r="AL54" s="167"/>
      <c r="AM54" s="167"/>
      <c r="AN54" s="167">
        <v>0</v>
      </c>
      <c r="AO54" s="167">
        <v>0</v>
      </c>
      <c r="AP54" s="167">
        <v>0</v>
      </c>
      <c r="AQ54" s="168">
        <f t="shared" si="6"/>
        <v>0</v>
      </c>
      <c r="AR54" s="168">
        <f t="shared" si="7"/>
        <v>12500000</v>
      </c>
      <c r="AS54" s="169">
        <f t="shared" si="8"/>
        <v>0</v>
      </c>
      <c r="AT54" s="236"/>
      <c r="AU54" s="346">
        <v>465</v>
      </c>
      <c r="AV54" s="346">
        <v>517</v>
      </c>
      <c r="AW54" s="345">
        <v>12500000</v>
      </c>
      <c r="AX54" s="345">
        <v>0</v>
      </c>
      <c r="AY54" s="345">
        <v>0</v>
      </c>
      <c r="AZ54" s="345">
        <v>0</v>
      </c>
      <c r="BA54" s="349">
        <v>0</v>
      </c>
      <c r="BB54" s="345">
        <v>0</v>
      </c>
      <c r="BC54" s="345">
        <v>0</v>
      </c>
      <c r="BD54" s="345"/>
      <c r="BE54" s="345"/>
      <c r="BF54" s="438">
        <v>3666666</v>
      </c>
      <c r="BG54" s="443">
        <v>2500000</v>
      </c>
      <c r="BH54" s="237">
        <v>2500000</v>
      </c>
      <c r="BI54" s="237">
        <f>2500000+1333334</f>
        <v>3833334</v>
      </c>
      <c r="BJ54" s="344">
        <f t="shared" si="3"/>
        <v>12500000</v>
      </c>
      <c r="BK54" s="237">
        <f t="shared" si="10"/>
        <v>0</v>
      </c>
      <c r="BL54" s="435">
        <f t="shared" si="9"/>
        <v>1</v>
      </c>
      <c r="BM54" s="192"/>
      <c r="BN54" s="192"/>
      <c r="BO54" s="192"/>
      <c r="BP54" s="192"/>
      <c r="BQ54" s="192"/>
      <c r="BR54" s="192"/>
      <c r="BS54" s="192"/>
      <c r="BT54" s="192"/>
      <c r="BU54" s="192"/>
      <c r="BV54" s="192"/>
      <c r="BW54" s="192"/>
      <c r="BX54" s="192"/>
      <c r="BY54" s="192"/>
      <c r="BZ54" s="192"/>
      <c r="CA54" s="192"/>
      <c r="CB54" s="192"/>
      <c r="CC54" s="192"/>
      <c r="CD54" s="192"/>
    </row>
    <row r="55" spans="1:82" s="25" customFormat="1" x14ac:dyDescent="0.25">
      <c r="A55" s="64">
        <v>112</v>
      </c>
      <c r="B55" s="365" t="s">
        <v>102</v>
      </c>
      <c r="C55" s="64">
        <v>1157</v>
      </c>
      <c r="D55" s="65" t="s">
        <v>104</v>
      </c>
      <c r="E55" s="64">
        <v>1</v>
      </c>
      <c r="F55" s="585"/>
      <c r="G55" s="585"/>
      <c r="H55" s="585"/>
      <c r="I55" s="585"/>
      <c r="J55" s="620"/>
      <c r="K55" s="622"/>
      <c r="L55" s="166" t="s">
        <v>864</v>
      </c>
      <c r="M55" s="164" t="s">
        <v>1127</v>
      </c>
      <c r="N55" s="166" t="s">
        <v>48</v>
      </c>
      <c r="O55" s="380" t="s">
        <v>806</v>
      </c>
      <c r="P55" s="244" t="s">
        <v>356</v>
      </c>
      <c r="Q55" s="245">
        <v>41873</v>
      </c>
      <c r="R55" s="245">
        <v>41883</v>
      </c>
      <c r="S55" s="244" t="s">
        <v>845</v>
      </c>
      <c r="T55" s="186">
        <v>90</v>
      </c>
      <c r="U55" s="166" t="s">
        <v>418</v>
      </c>
      <c r="V55" s="166" t="s">
        <v>571</v>
      </c>
      <c r="W55" s="166">
        <v>20687100</v>
      </c>
      <c r="X55" s="166" t="s">
        <v>361</v>
      </c>
      <c r="Y55" s="166" t="s">
        <v>843</v>
      </c>
      <c r="Z55" s="164"/>
      <c r="AA55" s="167">
        <v>877</v>
      </c>
      <c r="AB55" s="175"/>
      <c r="AC55" s="167">
        <v>989</v>
      </c>
      <c r="AD55" s="168">
        <v>12500000</v>
      </c>
      <c r="AE55" s="167"/>
      <c r="AF55" s="167"/>
      <c r="AG55" s="167"/>
      <c r="AH55" s="167"/>
      <c r="AI55" s="167"/>
      <c r="AJ55" s="167"/>
      <c r="AK55" s="167"/>
      <c r="AL55" s="167"/>
      <c r="AM55" s="167"/>
      <c r="AN55" s="167">
        <v>0</v>
      </c>
      <c r="AO55" s="167">
        <v>0</v>
      </c>
      <c r="AP55" s="167">
        <v>0</v>
      </c>
      <c r="AQ55" s="168">
        <f t="shared" si="6"/>
        <v>0</v>
      </c>
      <c r="AR55" s="168">
        <f t="shared" si="7"/>
        <v>12500000</v>
      </c>
      <c r="AS55" s="169">
        <f t="shared" si="8"/>
        <v>0</v>
      </c>
      <c r="AT55" s="236"/>
      <c r="AU55" s="346">
        <v>466</v>
      </c>
      <c r="AV55" s="346">
        <v>518</v>
      </c>
      <c r="AW55" s="345">
        <v>12500000</v>
      </c>
      <c r="AX55" s="345">
        <v>0</v>
      </c>
      <c r="AY55" s="345">
        <v>0</v>
      </c>
      <c r="AZ55" s="345">
        <v>0</v>
      </c>
      <c r="BA55" s="349">
        <v>0</v>
      </c>
      <c r="BB55" s="345">
        <v>0</v>
      </c>
      <c r="BC55" s="345">
        <v>0</v>
      </c>
      <c r="BD55" s="345"/>
      <c r="BE55" s="345"/>
      <c r="BF55" s="438">
        <f>1166667+2500000</f>
        <v>3666667</v>
      </c>
      <c r="BG55" s="443">
        <v>2500000</v>
      </c>
      <c r="BH55" s="237">
        <v>2500000</v>
      </c>
      <c r="BI55" s="237">
        <f>2500000+1333333</f>
        <v>3833333</v>
      </c>
      <c r="BJ55" s="344">
        <f t="shared" si="3"/>
        <v>12500000</v>
      </c>
      <c r="BK55" s="237">
        <f t="shared" si="10"/>
        <v>0</v>
      </c>
      <c r="BL55" s="435">
        <f t="shared" si="9"/>
        <v>1</v>
      </c>
      <c r="BM55" s="192"/>
      <c r="BN55" s="192"/>
      <c r="BO55" s="192"/>
      <c r="BP55" s="192"/>
      <c r="BQ55" s="192"/>
      <c r="BR55" s="192"/>
      <c r="BS55" s="192"/>
      <c r="BT55" s="192"/>
      <c r="BU55" s="192"/>
      <c r="BV55" s="192"/>
      <c r="BW55" s="192"/>
      <c r="BX55" s="192"/>
      <c r="BY55" s="192"/>
      <c r="BZ55" s="192"/>
      <c r="CA55" s="192"/>
      <c r="CB55" s="192"/>
      <c r="CC55" s="192"/>
      <c r="CD55" s="192"/>
    </row>
    <row r="56" spans="1:82" s="25" customFormat="1" x14ac:dyDescent="0.25">
      <c r="A56" s="64">
        <v>112</v>
      </c>
      <c r="B56" s="365" t="s">
        <v>102</v>
      </c>
      <c r="C56" s="64">
        <v>1157</v>
      </c>
      <c r="D56" s="65" t="s">
        <v>104</v>
      </c>
      <c r="E56" s="64">
        <v>1</v>
      </c>
      <c r="F56" s="585"/>
      <c r="G56" s="585"/>
      <c r="H56" s="585"/>
      <c r="I56" s="585"/>
      <c r="J56" s="620"/>
      <c r="K56" s="622"/>
      <c r="L56" s="166" t="s">
        <v>865</v>
      </c>
      <c r="M56" s="164" t="s">
        <v>1127</v>
      </c>
      <c r="N56" s="166" t="s">
        <v>48</v>
      </c>
      <c r="O56" s="190" t="s">
        <v>806</v>
      </c>
      <c r="P56" s="166" t="s">
        <v>356</v>
      </c>
      <c r="Q56" s="180">
        <v>41873</v>
      </c>
      <c r="R56" s="180">
        <v>41883</v>
      </c>
      <c r="S56" s="166" t="s">
        <v>845</v>
      </c>
      <c r="T56" s="186">
        <v>91</v>
      </c>
      <c r="U56" s="166" t="s">
        <v>418</v>
      </c>
      <c r="V56" s="166" t="s">
        <v>846</v>
      </c>
      <c r="W56" s="166">
        <v>52931830</v>
      </c>
      <c r="X56" s="166" t="s">
        <v>361</v>
      </c>
      <c r="Y56" s="166" t="s">
        <v>843</v>
      </c>
      <c r="Z56" s="164"/>
      <c r="AA56" s="167">
        <v>880</v>
      </c>
      <c r="AB56" s="175"/>
      <c r="AC56" s="167">
        <v>990</v>
      </c>
      <c r="AD56" s="168">
        <v>12500000</v>
      </c>
      <c r="AE56" s="167"/>
      <c r="AF56" s="167"/>
      <c r="AG56" s="167"/>
      <c r="AH56" s="167"/>
      <c r="AI56" s="167"/>
      <c r="AJ56" s="167"/>
      <c r="AK56" s="167"/>
      <c r="AL56" s="167"/>
      <c r="AM56" s="167"/>
      <c r="AN56" s="167">
        <v>0</v>
      </c>
      <c r="AO56" s="167">
        <v>0</v>
      </c>
      <c r="AP56" s="167">
        <v>0</v>
      </c>
      <c r="AQ56" s="168">
        <f t="shared" si="6"/>
        <v>0</v>
      </c>
      <c r="AR56" s="168">
        <f t="shared" si="7"/>
        <v>12500000</v>
      </c>
      <c r="AS56" s="169">
        <f t="shared" si="8"/>
        <v>0</v>
      </c>
      <c r="AT56" s="236"/>
      <c r="AU56" s="346">
        <v>467</v>
      </c>
      <c r="AV56" s="346">
        <v>519</v>
      </c>
      <c r="AW56" s="345">
        <v>12500000</v>
      </c>
      <c r="AX56" s="345">
        <v>0</v>
      </c>
      <c r="AY56" s="345">
        <v>0</v>
      </c>
      <c r="AZ56" s="345">
        <v>0</v>
      </c>
      <c r="BA56" s="349">
        <v>0</v>
      </c>
      <c r="BB56" s="345">
        <v>0</v>
      </c>
      <c r="BC56" s="345">
        <v>0</v>
      </c>
      <c r="BE56" s="345">
        <v>1166666</v>
      </c>
      <c r="BF56" s="438">
        <v>2500000</v>
      </c>
      <c r="BG56" s="443">
        <v>2500000</v>
      </c>
      <c r="BH56" s="237">
        <v>2500000</v>
      </c>
      <c r="BI56" s="237">
        <f>2500000+1333334</f>
        <v>3833334</v>
      </c>
      <c r="BJ56" s="344">
        <f t="shared" si="3"/>
        <v>12500000</v>
      </c>
      <c r="BK56" s="237">
        <f t="shared" si="10"/>
        <v>0</v>
      </c>
      <c r="BL56" s="435">
        <f t="shared" si="9"/>
        <v>1</v>
      </c>
      <c r="BM56" s="192"/>
      <c r="BN56" s="192"/>
      <c r="BO56" s="192"/>
      <c r="BP56" s="192"/>
      <c r="BQ56" s="192"/>
      <c r="BR56" s="192"/>
      <c r="BS56" s="192"/>
      <c r="BT56" s="192"/>
      <c r="BU56" s="192"/>
      <c r="BV56" s="192"/>
      <c r="BW56" s="192"/>
      <c r="BX56" s="192"/>
      <c r="BY56" s="192"/>
      <c r="BZ56" s="192"/>
      <c r="CA56" s="192"/>
      <c r="CB56" s="192"/>
      <c r="CC56" s="192"/>
      <c r="CD56" s="192"/>
    </row>
    <row r="57" spans="1:82" s="25" customFormat="1" ht="13.5" customHeight="1" x14ac:dyDescent="0.25">
      <c r="A57" s="64">
        <v>113</v>
      </c>
      <c r="B57" s="365" t="s">
        <v>110</v>
      </c>
      <c r="C57" s="64">
        <v>1157</v>
      </c>
      <c r="D57" s="65" t="s">
        <v>104</v>
      </c>
      <c r="E57" s="64">
        <v>2</v>
      </c>
      <c r="F57" s="584" t="s">
        <v>53</v>
      </c>
      <c r="G57" s="584">
        <v>220</v>
      </c>
      <c r="H57" s="584" t="s">
        <v>61</v>
      </c>
      <c r="I57" s="584" t="s">
        <v>111</v>
      </c>
      <c r="J57" s="619">
        <v>0</v>
      </c>
      <c r="K57" s="621">
        <v>0</v>
      </c>
      <c r="L57" s="166"/>
      <c r="M57" s="164"/>
      <c r="N57" s="166"/>
      <c r="O57" s="166"/>
      <c r="P57" s="166"/>
      <c r="Q57" s="180"/>
      <c r="R57" s="180"/>
      <c r="S57" s="166"/>
      <c r="T57" s="166"/>
      <c r="U57" s="166"/>
      <c r="V57" s="166"/>
      <c r="W57" s="182"/>
      <c r="X57" s="166"/>
      <c r="Y57" s="166"/>
      <c r="Z57" s="166"/>
      <c r="AA57" s="174"/>
      <c r="AB57" s="175"/>
      <c r="AC57" s="174"/>
      <c r="AD57" s="175"/>
      <c r="AE57" s="174"/>
      <c r="AF57" s="174"/>
      <c r="AG57" s="174"/>
      <c r="AH57" s="174"/>
      <c r="AI57" s="174"/>
      <c r="AJ57" s="174"/>
      <c r="AK57" s="174"/>
      <c r="AL57" s="174"/>
      <c r="AM57" s="174"/>
      <c r="AN57" s="174"/>
      <c r="AO57" s="174"/>
      <c r="AP57" s="174"/>
      <c r="AQ57" s="168">
        <f t="shared" si="6"/>
        <v>0</v>
      </c>
      <c r="AR57" s="168">
        <f t="shared" si="7"/>
        <v>0</v>
      </c>
      <c r="AS57" s="169" t="e">
        <f t="shared" si="8"/>
        <v>#DIV/0!</v>
      </c>
      <c r="AT57" s="236"/>
      <c r="AU57" s="346"/>
      <c r="AV57" s="346"/>
      <c r="AW57" s="345"/>
      <c r="AX57" s="345"/>
      <c r="AY57" s="345"/>
      <c r="AZ57" s="345"/>
      <c r="BA57" s="349"/>
      <c r="BB57" s="345"/>
      <c r="BC57" s="345"/>
      <c r="BD57" s="345"/>
      <c r="BE57" s="345"/>
      <c r="BF57" s="438"/>
      <c r="BG57" s="443"/>
      <c r="BH57" s="237"/>
      <c r="BI57" s="237"/>
      <c r="BJ57" s="344">
        <f t="shared" si="3"/>
        <v>0</v>
      </c>
      <c r="BK57" s="237">
        <f t="shared" si="10"/>
        <v>0</v>
      </c>
      <c r="BL57" s="435" t="e">
        <f t="shared" si="9"/>
        <v>#DIV/0!</v>
      </c>
      <c r="BM57" s="192"/>
      <c r="BN57" s="192"/>
      <c r="BO57" s="192"/>
      <c r="BP57" s="192"/>
      <c r="BQ57" s="192"/>
      <c r="BR57" s="192"/>
      <c r="BS57" s="192"/>
      <c r="BT57" s="192"/>
      <c r="BU57" s="192"/>
      <c r="BV57" s="192"/>
      <c r="BW57" s="192"/>
      <c r="BX57" s="192"/>
      <c r="BY57" s="192"/>
      <c r="BZ57" s="192"/>
      <c r="CA57" s="192"/>
      <c r="CB57" s="192"/>
      <c r="CC57" s="192"/>
      <c r="CD57" s="192"/>
    </row>
    <row r="58" spans="1:82" s="25" customFormat="1" x14ac:dyDescent="0.25">
      <c r="A58" s="64">
        <v>113</v>
      </c>
      <c r="B58" s="365" t="s">
        <v>110</v>
      </c>
      <c r="C58" s="64">
        <v>1157</v>
      </c>
      <c r="D58" s="65" t="s">
        <v>104</v>
      </c>
      <c r="E58" s="64">
        <v>2</v>
      </c>
      <c r="F58" s="585"/>
      <c r="G58" s="585"/>
      <c r="H58" s="585"/>
      <c r="I58" s="585"/>
      <c r="J58" s="620"/>
      <c r="K58" s="622"/>
      <c r="L58" s="166"/>
      <c r="M58" s="164"/>
      <c r="N58" s="166"/>
      <c r="O58" s="166"/>
      <c r="P58" s="166"/>
      <c r="Q58" s="180"/>
      <c r="R58" s="180"/>
      <c r="S58" s="182"/>
      <c r="T58" s="166"/>
      <c r="U58" s="166"/>
      <c r="V58" s="166"/>
      <c r="W58" s="182"/>
      <c r="X58" s="166"/>
      <c r="Y58" s="166"/>
      <c r="Z58" s="166"/>
      <c r="AA58" s="174"/>
      <c r="AB58" s="175"/>
      <c r="AC58" s="174"/>
      <c r="AD58" s="175"/>
      <c r="AE58" s="174"/>
      <c r="AF58" s="174"/>
      <c r="AG58" s="174"/>
      <c r="AH58" s="174"/>
      <c r="AI58" s="174"/>
      <c r="AJ58" s="174"/>
      <c r="AK58" s="174"/>
      <c r="AL58" s="174"/>
      <c r="AM58" s="174"/>
      <c r="AN58" s="174"/>
      <c r="AO58" s="174"/>
      <c r="AP58" s="174"/>
      <c r="AQ58" s="168">
        <f t="shared" si="6"/>
        <v>0</v>
      </c>
      <c r="AR58" s="168">
        <f t="shared" si="7"/>
        <v>0</v>
      </c>
      <c r="AS58" s="169" t="e">
        <f t="shared" si="8"/>
        <v>#DIV/0!</v>
      </c>
      <c r="AT58" s="236"/>
      <c r="AU58" s="346"/>
      <c r="AV58" s="346"/>
      <c r="AW58" s="345"/>
      <c r="AX58" s="345"/>
      <c r="AY58" s="345"/>
      <c r="AZ58" s="345"/>
      <c r="BA58" s="349"/>
      <c r="BB58" s="345"/>
      <c r="BC58" s="345"/>
      <c r="BD58" s="345"/>
      <c r="BE58" s="345"/>
      <c r="BF58" s="438"/>
      <c r="BG58" s="443"/>
      <c r="BH58" s="237"/>
      <c r="BI58" s="237"/>
      <c r="BJ58" s="344">
        <f t="shared" si="3"/>
        <v>0</v>
      </c>
      <c r="BK58" s="237">
        <f t="shared" si="10"/>
        <v>0</v>
      </c>
      <c r="BL58" s="435" t="e">
        <f t="shared" si="9"/>
        <v>#DIV/0!</v>
      </c>
      <c r="BM58" s="192"/>
      <c r="BN58" s="192"/>
      <c r="BO58" s="192"/>
      <c r="BP58" s="192"/>
      <c r="BQ58" s="192"/>
      <c r="BR58" s="192"/>
      <c r="BS58" s="192"/>
      <c r="BT58" s="192"/>
      <c r="BU58" s="192"/>
      <c r="BV58" s="192"/>
      <c r="BW58" s="192"/>
      <c r="BX58" s="192"/>
      <c r="BY58" s="192"/>
      <c r="BZ58" s="192"/>
      <c r="CA58" s="192"/>
      <c r="CB58" s="192"/>
      <c r="CC58" s="192"/>
      <c r="CD58" s="192"/>
    </row>
    <row r="59" spans="1:82" s="25" customFormat="1" x14ac:dyDescent="0.25">
      <c r="A59" s="64">
        <v>113</v>
      </c>
      <c r="B59" s="365" t="s">
        <v>110</v>
      </c>
      <c r="C59" s="64">
        <v>1157</v>
      </c>
      <c r="D59" s="65" t="s">
        <v>104</v>
      </c>
      <c r="E59" s="64">
        <v>2</v>
      </c>
      <c r="F59" s="585"/>
      <c r="G59" s="585"/>
      <c r="H59" s="585"/>
      <c r="I59" s="585"/>
      <c r="J59" s="620"/>
      <c r="K59" s="622"/>
      <c r="L59" s="166"/>
      <c r="M59" s="164"/>
      <c r="N59" s="166"/>
      <c r="O59" s="166"/>
      <c r="P59" s="166"/>
      <c r="Q59" s="180"/>
      <c r="R59" s="180"/>
      <c r="S59" s="182"/>
      <c r="T59" s="166"/>
      <c r="U59" s="181"/>
      <c r="V59" s="166"/>
      <c r="W59" s="182"/>
      <c r="X59" s="166"/>
      <c r="Y59" s="166"/>
      <c r="Z59" s="166"/>
      <c r="AA59" s="174"/>
      <c r="AB59" s="175"/>
      <c r="AC59" s="174"/>
      <c r="AD59" s="175"/>
      <c r="AE59" s="174"/>
      <c r="AF59" s="174"/>
      <c r="AG59" s="174"/>
      <c r="AH59" s="174"/>
      <c r="AI59" s="174"/>
      <c r="AJ59" s="174"/>
      <c r="AK59" s="174"/>
      <c r="AL59" s="174"/>
      <c r="AM59" s="174"/>
      <c r="AN59" s="174"/>
      <c r="AO59" s="174"/>
      <c r="AP59" s="174"/>
      <c r="AQ59" s="168">
        <f t="shared" ref="AQ59:AQ90" si="11">SUM(AE59:AP59)</f>
        <v>0</v>
      </c>
      <c r="AR59" s="168">
        <f t="shared" ref="AR59:AR90" si="12">+AD59-AQ59</f>
        <v>0</v>
      </c>
      <c r="AS59" s="169" t="e">
        <f t="shared" ref="AS59:AS90" si="13">+AQ59/AD59</f>
        <v>#DIV/0!</v>
      </c>
      <c r="AT59" s="236"/>
      <c r="AU59" s="346"/>
      <c r="AV59" s="346"/>
      <c r="AW59" s="345"/>
      <c r="AX59" s="345"/>
      <c r="AY59" s="345"/>
      <c r="AZ59" s="345"/>
      <c r="BA59" s="349"/>
      <c r="BB59" s="345"/>
      <c r="BC59" s="345"/>
      <c r="BD59" s="345"/>
      <c r="BE59" s="345"/>
      <c r="BF59" s="438"/>
      <c r="BG59" s="443"/>
      <c r="BH59" s="237"/>
      <c r="BI59" s="237"/>
      <c r="BJ59" s="344">
        <f t="shared" si="3"/>
        <v>0</v>
      </c>
      <c r="BK59" s="237">
        <f t="shared" si="10"/>
        <v>0</v>
      </c>
      <c r="BL59" s="435" t="e">
        <f t="shared" si="9"/>
        <v>#DIV/0!</v>
      </c>
      <c r="BM59" s="192"/>
      <c r="BN59" s="192"/>
      <c r="BO59" s="192"/>
      <c r="BP59" s="192"/>
      <c r="BQ59" s="192"/>
      <c r="BR59" s="192"/>
      <c r="BS59" s="192"/>
      <c r="BT59" s="192"/>
      <c r="BU59" s="192"/>
      <c r="BV59" s="192"/>
      <c r="BW59" s="192"/>
      <c r="BX59" s="192"/>
      <c r="BY59" s="192"/>
      <c r="BZ59" s="192"/>
      <c r="CA59" s="192"/>
      <c r="CB59" s="192"/>
      <c r="CC59" s="192"/>
      <c r="CD59" s="192"/>
    </row>
    <row r="60" spans="1:82" s="25" customFormat="1" ht="13.5" customHeight="1" x14ac:dyDescent="0.25">
      <c r="A60" s="62">
        <v>114</v>
      </c>
      <c r="B60" s="365" t="s">
        <v>112</v>
      </c>
      <c r="C60" s="62">
        <v>1157</v>
      </c>
      <c r="D60" s="63" t="s">
        <v>104</v>
      </c>
      <c r="E60" s="62">
        <v>3</v>
      </c>
      <c r="F60" s="592" t="s">
        <v>53</v>
      </c>
      <c r="G60" s="584">
        <v>5000</v>
      </c>
      <c r="H60" s="584" t="s">
        <v>61</v>
      </c>
      <c r="I60" s="584" t="s">
        <v>114</v>
      </c>
      <c r="J60" s="623">
        <v>0</v>
      </c>
      <c r="K60" s="625">
        <v>0</v>
      </c>
      <c r="L60" s="164" t="s">
        <v>866</v>
      </c>
      <c r="M60" s="164" t="s">
        <v>1119</v>
      </c>
      <c r="N60" s="164" t="s">
        <v>48</v>
      </c>
      <c r="O60" s="166" t="s">
        <v>329</v>
      </c>
      <c r="P60" s="177" t="s">
        <v>356</v>
      </c>
      <c r="Q60" s="190">
        <v>41873</v>
      </c>
      <c r="R60" s="165">
        <v>42027</v>
      </c>
      <c r="S60" s="177" t="s">
        <v>867</v>
      </c>
      <c r="T60" s="194" t="s">
        <v>868</v>
      </c>
      <c r="U60" s="177" t="s">
        <v>785</v>
      </c>
      <c r="V60" s="177" t="s">
        <v>444</v>
      </c>
      <c r="W60" s="166" t="s">
        <v>869</v>
      </c>
      <c r="X60" s="166">
        <v>800</v>
      </c>
      <c r="Y60" s="188" t="s">
        <v>870</v>
      </c>
      <c r="Z60" s="194"/>
      <c r="AA60" s="167">
        <v>593</v>
      </c>
      <c r="AB60" s="175"/>
      <c r="AC60" s="167">
        <v>764</v>
      </c>
      <c r="AD60" s="168">
        <v>151900000</v>
      </c>
      <c r="AE60" s="167"/>
      <c r="AF60" s="167"/>
      <c r="AG60" s="167"/>
      <c r="AH60" s="167"/>
      <c r="AI60" s="167">
        <v>0</v>
      </c>
      <c r="AJ60" s="167">
        <v>0</v>
      </c>
      <c r="AK60" s="167">
        <v>0</v>
      </c>
      <c r="AL60" s="167">
        <v>0</v>
      </c>
      <c r="AM60" s="167">
        <v>0</v>
      </c>
      <c r="AN60" s="167">
        <v>0</v>
      </c>
      <c r="AO60" s="167">
        <v>0</v>
      </c>
      <c r="AP60" s="167">
        <v>0</v>
      </c>
      <c r="AQ60" s="168">
        <f t="shared" si="11"/>
        <v>0</v>
      </c>
      <c r="AR60" s="168">
        <f t="shared" si="12"/>
        <v>151900000</v>
      </c>
      <c r="AS60" s="169">
        <f t="shared" si="13"/>
        <v>0</v>
      </c>
      <c r="AT60" s="236"/>
      <c r="AU60" s="346">
        <v>239</v>
      </c>
      <c r="AV60" s="346">
        <v>201</v>
      </c>
      <c r="AW60" s="345">
        <v>151900000</v>
      </c>
      <c r="AX60" s="345">
        <v>0</v>
      </c>
      <c r="AY60" s="345">
        <v>0</v>
      </c>
      <c r="AZ60" s="345">
        <v>0</v>
      </c>
      <c r="BA60" s="349">
        <v>7488000</v>
      </c>
      <c r="BB60" s="345">
        <v>0</v>
      </c>
      <c r="BC60" s="345">
        <f>11944000+10485200</f>
        <v>22429200</v>
      </c>
      <c r="BD60" s="345"/>
      <c r="BE60" s="345">
        <v>23164950</v>
      </c>
      <c r="BF60" s="438">
        <v>5182669</v>
      </c>
      <c r="BG60" s="443"/>
      <c r="BH60" s="237">
        <v>7200000</v>
      </c>
      <c r="BI60" s="237">
        <v>85592581</v>
      </c>
      <c r="BJ60" s="344">
        <f t="shared" si="3"/>
        <v>151057400</v>
      </c>
      <c r="BK60" s="237">
        <f t="shared" si="10"/>
        <v>842600</v>
      </c>
      <c r="BL60" s="435">
        <f t="shared" si="9"/>
        <v>0.9944529295589204</v>
      </c>
      <c r="BM60" s="192"/>
      <c r="BN60" s="192"/>
      <c r="BO60" s="192"/>
      <c r="BP60" s="192"/>
      <c r="BQ60" s="192"/>
      <c r="BR60" s="192"/>
      <c r="BS60" s="192"/>
      <c r="BT60" s="192"/>
      <c r="BU60" s="192"/>
      <c r="BV60" s="192"/>
      <c r="BW60" s="192"/>
      <c r="BX60" s="192"/>
      <c r="BY60" s="192"/>
      <c r="BZ60" s="192"/>
      <c r="CA60" s="192"/>
      <c r="CB60" s="192"/>
      <c r="CC60" s="192"/>
      <c r="CD60" s="192"/>
    </row>
    <row r="61" spans="1:82" s="25" customFormat="1" x14ac:dyDescent="0.25">
      <c r="A61" s="62">
        <v>114</v>
      </c>
      <c r="B61" s="365" t="s">
        <v>112</v>
      </c>
      <c r="C61" s="62">
        <v>1157</v>
      </c>
      <c r="D61" s="63" t="s">
        <v>104</v>
      </c>
      <c r="E61" s="62">
        <v>3</v>
      </c>
      <c r="F61" s="593"/>
      <c r="G61" s="585"/>
      <c r="H61" s="585"/>
      <c r="I61" s="585"/>
      <c r="J61" s="624"/>
      <c r="K61" s="626"/>
      <c r="L61" s="164" t="s">
        <v>871</v>
      </c>
      <c r="M61" s="164" t="s">
        <v>1119</v>
      </c>
      <c r="N61" s="164" t="s">
        <v>48</v>
      </c>
      <c r="O61" s="190" t="s">
        <v>872</v>
      </c>
      <c r="P61" s="188" t="s">
        <v>356</v>
      </c>
      <c r="Q61" s="180">
        <v>41764</v>
      </c>
      <c r="R61" s="180">
        <v>41787</v>
      </c>
      <c r="S61" s="188" t="s">
        <v>724</v>
      </c>
      <c r="T61" s="254" t="s">
        <v>873</v>
      </c>
      <c r="U61" s="166" t="s">
        <v>874</v>
      </c>
      <c r="V61" s="195" t="s">
        <v>444</v>
      </c>
      <c r="W61" s="166" t="s">
        <v>869</v>
      </c>
      <c r="X61" s="166" t="s">
        <v>361</v>
      </c>
      <c r="Y61" s="188" t="s">
        <v>875</v>
      </c>
      <c r="Z61" s="254"/>
      <c r="AA61" s="167">
        <v>454</v>
      </c>
      <c r="AB61" s="175"/>
      <c r="AC61" s="167">
        <v>514</v>
      </c>
      <c r="AD61" s="168">
        <v>78232500</v>
      </c>
      <c r="AE61" s="167">
        <v>0</v>
      </c>
      <c r="AF61" s="167">
        <v>0</v>
      </c>
      <c r="AG61" s="167">
        <v>0</v>
      </c>
      <c r="AH61" s="167">
        <v>0</v>
      </c>
      <c r="AI61" s="167">
        <v>0</v>
      </c>
      <c r="AJ61" s="167">
        <v>0</v>
      </c>
      <c r="AK61" s="167">
        <v>0</v>
      </c>
      <c r="AL61" s="167">
        <v>0</v>
      </c>
      <c r="AM61" s="167">
        <v>4700000</v>
      </c>
      <c r="AN61" s="167">
        <v>5755000</v>
      </c>
      <c r="AO61" s="167">
        <v>67777500</v>
      </c>
      <c r="AP61" s="167">
        <v>0</v>
      </c>
      <c r="AQ61" s="168">
        <f t="shared" si="11"/>
        <v>78232500</v>
      </c>
      <c r="AR61" s="168">
        <f t="shared" si="12"/>
        <v>0</v>
      </c>
      <c r="AS61" s="169">
        <f t="shared" si="13"/>
        <v>1</v>
      </c>
      <c r="AT61" s="236"/>
      <c r="AU61" s="346"/>
      <c r="AV61" s="346"/>
      <c r="AW61" s="345"/>
      <c r="AX61" s="345"/>
      <c r="AY61" s="345"/>
      <c r="AZ61" s="345"/>
      <c r="BA61" s="349"/>
      <c r="BB61" s="345"/>
      <c r="BC61" s="345"/>
      <c r="BD61" s="345"/>
      <c r="BE61" s="345"/>
      <c r="BF61" s="438"/>
      <c r="BG61" s="443"/>
      <c r="BH61" s="237"/>
      <c r="BI61" s="237"/>
      <c r="BJ61" s="344">
        <f t="shared" si="3"/>
        <v>0</v>
      </c>
      <c r="BK61" s="237">
        <f t="shared" si="10"/>
        <v>0</v>
      </c>
      <c r="BL61" s="435" t="e">
        <f t="shared" si="9"/>
        <v>#DIV/0!</v>
      </c>
      <c r="BM61" s="192"/>
      <c r="BN61" s="192"/>
      <c r="BO61" s="192"/>
      <c r="BP61" s="192"/>
      <c r="BQ61" s="192"/>
      <c r="BR61" s="192"/>
      <c r="BS61" s="192"/>
      <c r="BT61" s="192"/>
      <c r="BU61" s="192"/>
      <c r="BV61" s="192"/>
      <c r="BW61" s="192"/>
      <c r="BX61" s="192"/>
      <c r="BY61" s="192"/>
      <c r="BZ61" s="192"/>
      <c r="CA61" s="192"/>
      <c r="CB61" s="192"/>
      <c r="CC61" s="192"/>
      <c r="CD61" s="192"/>
    </row>
    <row r="62" spans="1:82" s="25" customFormat="1" x14ac:dyDescent="0.25">
      <c r="A62" s="62">
        <v>114</v>
      </c>
      <c r="B62" s="365" t="s">
        <v>112</v>
      </c>
      <c r="C62" s="62">
        <v>1157</v>
      </c>
      <c r="D62" s="63" t="s">
        <v>104</v>
      </c>
      <c r="E62" s="62">
        <v>3</v>
      </c>
      <c r="F62" s="593"/>
      <c r="G62" s="585"/>
      <c r="H62" s="585"/>
      <c r="I62" s="585"/>
      <c r="J62" s="624"/>
      <c r="K62" s="626"/>
      <c r="L62" s="164" t="s">
        <v>876</v>
      </c>
      <c r="M62" s="164" t="s">
        <v>1119</v>
      </c>
      <c r="N62" s="164" t="s">
        <v>48</v>
      </c>
      <c r="O62" s="190" t="s">
        <v>877</v>
      </c>
      <c r="P62" s="166" t="s">
        <v>320</v>
      </c>
      <c r="Q62" s="180">
        <v>41787</v>
      </c>
      <c r="R62" s="180">
        <v>41787</v>
      </c>
      <c r="S62" s="188" t="s">
        <v>724</v>
      </c>
      <c r="T62" s="254" t="s">
        <v>878</v>
      </c>
      <c r="U62" s="188" t="s">
        <v>418</v>
      </c>
      <c r="V62" s="188" t="s">
        <v>789</v>
      </c>
      <c r="W62" s="188">
        <v>92446427</v>
      </c>
      <c r="X62" s="166" t="s">
        <v>361</v>
      </c>
      <c r="Y62" s="188" t="s">
        <v>875</v>
      </c>
      <c r="Z62" s="254"/>
      <c r="AA62" s="167">
        <v>554</v>
      </c>
      <c r="AB62" s="175"/>
      <c r="AC62" s="167">
        <v>574</v>
      </c>
      <c r="AD62" s="168">
        <v>6000000</v>
      </c>
      <c r="AE62" s="167">
        <v>0</v>
      </c>
      <c r="AF62" s="167">
        <v>0</v>
      </c>
      <c r="AG62" s="167">
        <v>0</v>
      </c>
      <c r="AH62" s="167">
        <v>0</v>
      </c>
      <c r="AI62" s="167">
        <v>0</v>
      </c>
      <c r="AJ62" s="167">
        <v>0</v>
      </c>
      <c r="AK62" s="167">
        <v>0</v>
      </c>
      <c r="AL62" s="167">
        <v>2000000</v>
      </c>
      <c r="AM62" s="167">
        <v>0</v>
      </c>
      <c r="AN62" s="167">
        <v>2000000</v>
      </c>
      <c r="AO62" s="167">
        <v>2000000</v>
      </c>
      <c r="AP62" s="167">
        <v>0</v>
      </c>
      <c r="AQ62" s="168">
        <f t="shared" si="11"/>
        <v>6000000</v>
      </c>
      <c r="AR62" s="168">
        <f t="shared" si="12"/>
        <v>0</v>
      </c>
      <c r="AS62" s="169">
        <f t="shared" si="13"/>
        <v>1</v>
      </c>
      <c r="AT62" s="236"/>
      <c r="AU62" s="346"/>
      <c r="AV62" s="346"/>
      <c r="AW62" s="345"/>
      <c r="AX62" s="345"/>
      <c r="AY62" s="345"/>
      <c r="AZ62" s="345"/>
      <c r="BA62" s="349"/>
      <c r="BB62" s="345"/>
      <c r="BC62" s="345"/>
      <c r="BD62" s="345"/>
      <c r="BE62" s="345"/>
      <c r="BF62" s="438"/>
      <c r="BG62" s="443"/>
      <c r="BH62" s="237"/>
      <c r="BI62" s="237"/>
      <c r="BJ62" s="344">
        <f t="shared" si="3"/>
        <v>0</v>
      </c>
      <c r="BK62" s="237">
        <f t="shared" si="10"/>
        <v>0</v>
      </c>
      <c r="BL62" s="435" t="e">
        <f t="shared" si="9"/>
        <v>#DIV/0!</v>
      </c>
      <c r="BM62" s="192"/>
      <c r="BN62" s="192"/>
      <c r="BO62" s="192"/>
      <c r="BP62" s="192"/>
      <c r="BQ62" s="192"/>
      <c r="BR62" s="192"/>
      <c r="BS62" s="192"/>
      <c r="BT62" s="192"/>
      <c r="BU62" s="192"/>
      <c r="BV62" s="192"/>
      <c r="BW62" s="192"/>
      <c r="BX62" s="192"/>
      <c r="BY62" s="192"/>
      <c r="BZ62" s="192"/>
      <c r="CA62" s="192"/>
      <c r="CB62" s="192"/>
      <c r="CC62" s="192"/>
      <c r="CD62" s="192"/>
    </row>
    <row r="63" spans="1:82" s="25" customFormat="1" x14ac:dyDescent="0.25">
      <c r="A63" s="62">
        <v>114</v>
      </c>
      <c r="B63" s="365" t="s">
        <v>112</v>
      </c>
      <c r="C63" s="62">
        <v>1157</v>
      </c>
      <c r="D63" s="63" t="s">
        <v>104</v>
      </c>
      <c r="E63" s="62">
        <v>3</v>
      </c>
      <c r="F63" s="593"/>
      <c r="G63" s="585"/>
      <c r="H63" s="585"/>
      <c r="I63" s="585"/>
      <c r="J63" s="624"/>
      <c r="K63" s="626"/>
      <c r="L63" s="164" t="s">
        <v>879</v>
      </c>
      <c r="M63" s="164" t="s">
        <v>1119</v>
      </c>
      <c r="N63" s="164" t="s">
        <v>48</v>
      </c>
      <c r="O63" s="190" t="s">
        <v>880</v>
      </c>
      <c r="P63" s="166" t="s">
        <v>320</v>
      </c>
      <c r="Q63" s="180" t="s">
        <v>881</v>
      </c>
      <c r="R63" s="180">
        <v>41779</v>
      </c>
      <c r="S63" s="166" t="s">
        <v>867</v>
      </c>
      <c r="T63" s="164" t="s">
        <v>882</v>
      </c>
      <c r="U63" s="166" t="s">
        <v>798</v>
      </c>
      <c r="V63" s="188" t="s">
        <v>883</v>
      </c>
      <c r="W63" s="166">
        <v>52719035</v>
      </c>
      <c r="X63" s="166" t="s">
        <v>361</v>
      </c>
      <c r="Y63" s="188" t="s">
        <v>884</v>
      </c>
      <c r="Z63" s="164"/>
      <c r="AA63" s="167">
        <v>2</v>
      </c>
      <c r="AB63" s="175"/>
      <c r="AC63" s="167">
        <v>540</v>
      </c>
      <c r="AD63" s="168">
        <v>13600000</v>
      </c>
      <c r="AE63" s="167">
        <v>0</v>
      </c>
      <c r="AF63" s="167">
        <v>0</v>
      </c>
      <c r="AG63" s="167">
        <v>0</v>
      </c>
      <c r="AH63" s="167">
        <v>0</v>
      </c>
      <c r="AI63" s="167">
        <v>0</v>
      </c>
      <c r="AJ63" s="167">
        <v>0</v>
      </c>
      <c r="AK63" s="167">
        <v>0</v>
      </c>
      <c r="AL63" s="167">
        <v>1700000</v>
      </c>
      <c r="AM63" s="167">
        <v>0</v>
      </c>
      <c r="AN63" s="167">
        <v>3400000</v>
      </c>
      <c r="AO63" s="167">
        <v>0</v>
      </c>
      <c r="AP63" s="167">
        <v>3400000</v>
      </c>
      <c r="AQ63" s="168">
        <f t="shared" si="11"/>
        <v>8500000</v>
      </c>
      <c r="AR63" s="168">
        <f t="shared" si="12"/>
        <v>5100000</v>
      </c>
      <c r="AS63" s="169">
        <f t="shared" si="13"/>
        <v>0.625</v>
      </c>
      <c r="AT63" s="236"/>
      <c r="AU63" s="346">
        <v>149</v>
      </c>
      <c r="AV63" s="346">
        <v>121</v>
      </c>
      <c r="AW63" s="345">
        <v>5100000</v>
      </c>
      <c r="AX63" s="345">
        <v>0</v>
      </c>
      <c r="AY63" s="345">
        <v>1700000</v>
      </c>
      <c r="AZ63" s="345">
        <v>1700000</v>
      </c>
      <c r="BA63" s="349"/>
      <c r="BB63" s="345">
        <v>0</v>
      </c>
      <c r="BC63" s="345">
        <v>0</v>
      </c>
      <c r="BD63" s="345"/>
      <c r="BE63" s="345"/>
      <c r="BF63" s="438"/>
      <c r="BG63" s="443"/>
      <c r="BH63" s="237">
        <v>1700000</v>
      </c>
      <c r="BI63" s="237"/>
      <c r="BJ63" s="344">
        <f t="shared" si="3"/>
        <v>5100000</v>
      </c>
      <c r="BK63" s="237">
        <f t="shared" si="10"/>
        <v>0</v>
      </c>
      <c r="BL63" s="435">
        <f t="shared" si="9"/>
        <v>1</v>
      </c>
      <c r="BM63" s="192"/>
      <c r="BN63" s="192"/>
      <c r="BO63" s="192"/>
      <c r="BP63" s="192"/>
      <c r="BQ63" s="192"/>
      <c r="BR63" s="192"/>
      <c r="BS63" s="192"/>
      <c r="BT63" s="192"/>
      <c r="BU63" s="192"/>
      <c r="BV63" s="192"/>
      <c r="BW63" s="192"/>
      <c r="BX63" s="192"/>
      <c r="BY63" s="192"/>
      <c r="BZ63" s="192"/>
      <c r="CA63" s="192"/>
      <c r="CB63" s="192"/>
      <c r="CC63" s="192"/>
      <c r="CD63" s="192"/>
    </row>
    <row r="64" spans="1:82" s="25" customFormat="1" x14ac:dyDescent="0.25">
      <c r="A64" s="62">
        <v>114</v>
      </c>
      <c r="B64" s="365" t="s">
        <v>112</v>
      </c>
      <c r="C64" s="62">
        <v>1157</v>
      </c>
      <c r="D64" s="63" t="s">
        <v>104</v>
      </c>
      <c r="E64" s="62">
        <v>3</v>
      </c>
      <c r="F64" s="593"/>
      <c r="G64" s="585"/>
      <c r="H64" s="585"/>
      <c r="I64" s="585"/>
      <c r="J64" s="624"/>
      <c r="K64" s="626"/>
      <c r="L64" s="164" t="s">
        <v>885</v>
      </c>
      <c r="M64" s="164" t="s">
        <v>1119</v>
      </c>
      <c r="N64" s="164" t="s">
        <v>48</v>
      </c>
      <c r="O64" s="255" t="s">
        <v>448</v>
      </c>
      <c r="P64" s="166" t="s">
        <v>320</v>
      </c>
      <c r="Q64" s="180">
        <v>41939</v>
      </c>
      <c r="R64" s="253">
        <v>42027</v>
      </c>
      <c r="S64" s="253" t="s">
        <v>807</v>
      </c>
      <c r="T64" s="164" t="s">
        <v>886</v>
      </c>
      <c r="U64" s="166" t="s">
        <v>798</v>
      </c>
      <c r="V64" s="188" t="s">
        <v>887</v>
      </c>
      <c r="W64" s="166">
        <v>8732224</v>
      </c>
      <c r="X64" s="166" t="s">
        <v>361</v>
      </c>
      <c r="Y64" s="188" t="s">
        <v>884</v>
      </c>
      <c r="Z64" s="164"/>
      <c r="AA64" s="167">
        <v>761</v>
      </c>
      <c r="AB64" s="175"/>
      <c r="AC64" s="167">
        <v>854</v>
      </c>
      <c r="AD64" s="168">
        <v>12000000</v>
      </c>
      <c r="AE64" s="167"/>
      <c r="AF64" s="167"/>
      <c r="AG64" s="167"/>
      <c r="AH64" s="167"/>
      <c r="AI64" s="167"/>
      <c r="AJ64" s="167"/>
      <c r="AK64" s="167"/>
      <c r="AL64" s="167"/>
      <c r="AM64" s="167"/>
      <c r="AN64" s="167">
        <v>0</v>
      </c>
      <c r="AO64" s="167">
        <v>0</v>
      </c>
      <c r="AP64" s="167">
        <v>0</v>
      </c>
      <c r="AQ64" s="168">
        <f t="shared" si="11"/>
        <v>0</v>
      </c>
      <c r="AR64" s="168">
        <f t="shared" si="12"/>
        <v>12000000</v>
      </c>
      <c r="AS64" s="169">
        <f t="shared" si="13"/>
        <v>0</v>
      </c>
      <c r="AT64" s="236"/>
      <c r="AU64" s="346">
        <v>279</v>
      </c>
      <c r="AV64" s="346">
        <v>239</v>
      </c>
      <c r="AW64" s="345">
        <v>12000000</v>
      </c>
      <c r="AX64" s="345">
        <v>0</v>
      </c>
      <c r="AY64" s="345">
        <v>0</v>
      </c>
      <c r="AZ64" s="345">
        <v>0</v>
      </c>
      <c r="BA64" s="349">
        <v>2000000</v>
      </c>
      <c r="BB64" s="345">
        <v>0</v>
      </c>
      <c r="BC64" s="345">
        <v>4000000</v>
      </c>
      <c r="BD64" s="345">
        <v>2000000</v>
      </c>
      <c r="BE64" s="345"/>
      <c r="BF64" s="438">
        <v>1333333</v>
      </c>
      <c r="BG64" s="443"/>
      <c r="BH64" s="237"/>
      <c r="BI64" s="237">
        <v>2000000</v>
      </c>
      <c r="BJ64" s="344">
        <f t="shared" si="3"/>
        <v>11333333</v>
      </c>
      <c r="BK64" s="237">
        <f t="shared" ref="BK64:BK95" si="14">+AW64-BJ64</f>
        <v>666667</v>
      </c>
      <c r="BL64" s="435">
        <f t="shared" ref="BL64:BL95" si="15">+BJ64/AW64</f>
        <v>0.94444441666666668</v>
      </c>
      <c r="BM64" s="192"/>
      <c r="BN64" s="192"/>
      <c r="BO64" s="192"/>
      <c r="BP64" s="192"/>
      <c r="BQ64" s="192"/>
      <c r="BR64" s="192"/>
      <c r="BS64" s="192"/>
      <c r="BT64" s="192"/>
      <c r="BU64" s="192"/>
      <c r="BV64" s="192"/>
      <c r="BW64" s="192"/>
      <c r="BX64" s="192"/>
      <c r="BY64" s="192"/>
      <c r="BZ64" s="192"/>
      <c r="CA64" s="192"/>
      <c r="CB64" s="192"/>
      <c r="CC64" s="192"/>
      <c r="CD64" s="192"/>
    </row>
    <row r="65" spans="1:82" s="25" customFormat="1" x14ac:dyDescent="0.25">
      <c r="A65" s="62">
        <v>115</v>
      </c>
      <c r="B65" s="365" t="s">
        <v>116</v>
      </c>
      <c r="C65" s="62">
        <v>1157</v>
      </c>
      <c r="D65" s="63" t="s">
        <v>104</v>
      </c>
      <c r="E65" s="62">
        <v>4</v>
      </c>
      <c r="F65" s="559" t="s">
        <v>53</v>
      </c>
      <c r="G65" s="559">
        <v>1000</v>
      </c>
      <c r="H65" s="559" t="s">
        <v>61</v>
      </c>
      <c r="I65" s="559" t="s">
        <v>118</v>
      </c>
      <c r="J65" s="619">
        <v>0</v>
      </c>
      <c r="K65" s="621">
        <v>0</v>
      </c>
      <c r="L65" s="164" t="s">
        <v>888</v>
      </c>
      <c r="M65" s="164" t="s">
        <v>1119</v>
      </c>
      <c r="N65" s="164" t="s">
        <v>48</v>
      </c>
      <c r="O65" s="166" t="s">
        <v>430</v>
      </c>
      <c r="P65" s="194" t="s">
        <v>889</v>
      </c>
      <c r="Q65" s="190">
        <v>41845</v>
      </c>
      <c r="R65" s="190">
        <v>41845</v>
      </c>
      <c r="S65" s="177" t="s">
        <v>395</v>
      </c>
      <c r="T65" s="194" t="s">
        <v>890</v>
      </c>
      <c r="U65" s="177" t="s">
        <v>891</v>
      </c>
      <c r="V65" s="177" t="s">
        <v>478</v>
      </c>
      <c r="W65" s="379">
        <v>53072865</v>
      </c>
      <c r="X65" s="241" t="s">
        <v>361</v>
      </c>
      <c r="Y65" s="256" t="s">
        <v>483</v>
      </c>
      <c r="Z65" s="194"/>
      <c r="AA65" s="167">
        <v>627</v>
      </c>
      <c r="AB65" s="175"/>
      <c r="AC65" s="167">
        <v>714</v>
      </c>
      <c r="AD65" s="168">
        <v>2000000</v>
      </c>
      <c r="AE65" s="167"/>
      <c r="AF65" s="167"/>
      <c r="AG65" s="167"/>
      <c r="AH65" s="167"/>
      <c r="AI65" s="167"/>
      <c r="AJ65" s="167"/>
      <c r="AK65" s="167"/>
      <c r="AL65" s="167"/>
      <c r="AM65" s="167"/>
      <c r="AN65" s="167">
        <v>0</v>
      </c>
      <c r="AO65" s="167">
        <v>2000000</v>
      </c>
      <c r="AP65" s="167">
        <v>0</v>
      </c>
      <c r="AQ65" s="168">
        <f t="shared" si="11"/>
        <v>2000000</v>
      </c>
      <c r="AR65" s="168">
        <f t="shared" si="12"/>
        <v>0</v>
      </c>
      <c r="AS65" s="169">
        <f t="shared" si="13"/>
        <v>1</v>
      </c>
      <c r="AT65" s="236"/>
      <c r="AU65" s="346"/>
      <c r="AV65" s="346"/>
      <c r="AW65" s="345"/>
      <c r="AX65" s="345"/>
      <c r="AY65" s="345"/>
      <c r="AZ65" s="345"/>
      <c r="BA65" s="349"/>
      <c r="BB65" s="345"/>
      <c r="BC65" s="345"/>
      <c r="BD65" s="237"/>
      <c r="BE65" s="345"/>
      <c r="BF65" s="438"/>
      <c r="BG65" s="443"/>
      <c r="BH65" s="237"/>
      <c r="BI65" s="237"/>
      <c r="BJ65" s="344">
        <f t="shared" si="3"/>
        <v>0</v>
      </c>
      <c r="BK65" s="237">
        <f t="shared" si="14"/>
        <v>0</v>
      </c>
      <c r="BL65" s="435" t="e">
        <f t="shared" si="15"/>
        <v>#DIV/0!</v>
      </c>
      <c r="BM65" s="192"/>
      <c r="BN65" s="192"/>
      <c r="BO65" s="192"/>
      <c r="BP65" s="192"/>
      <c r="BQ65" s="192"/>
      <c r="BR65" s="192"/>
      <c r="BS65" s="192"/>
      <c r="BT65" s="192"/>
      <c r="BU65" s="192"/>
      <c r="BV65" s="192"/>
      <c r="BW65" s="192"/>
      <c r="BX65" s="192"/>
      <c r="BY65" s="192"/>
      <c r="BZ65" s="192"/>
      <c r="CA65" s="192"/>
      <c r="CB65" s="192"/>
      <c r="CC65" s="192"/>
      <c r="CD65" s="192"/>
    </row>
    <row r="66" spans="1:82" s="25" customFormat="1" x14ac:dyDescent="0.25">
      <c r="A66" s="62">
        <v>115</v>
      </c>
      <c r="B66" s="365" t="s">
        <v>116</v>
      </c>
      <c r="C66" s="62">
        <v>1157</v>
      </c>
      <c r="D66" s="63" t="s">
        <v>104</v>
      </c>
      <c r="E66" s="62">
        <v>4</v>
      </c>
      <c r="F66" s="559"/>
      <c r="G66" s="559"/>
      <c r="H66" s="559"/>
      <c r="I66" s="559"/>
      <c r="J66" s="620"/>
      <c r="K66" s="622"/>
      <c r="L66" s="164" t="s">
        <v>892</v>
      </c>
      <c r="M66" s="164" t="s">
        <v>1119</v>
      </c>
      <c r="N66" s="164" t="s">
        <v>48</v>
      </c>
      <c r="O66" s="255" t="s">
        <v>806</v>
      </c>
      <c r="P66" s="194" t="s">
        <v>400</v>
      </c>
      <c r="Q66" s="190">
        <v>41936</v>
      </c>
      <c r="R66" s="253">
        <v>41963</v>
      </c>
      <c r="S66" s="255" t="s">
        <v>867</v>
      </c>
      <c r="T66" s="194" t="s">
        <v>893</v>
      </c>
      <c r="U66" s="255" t="s">
        <v>1287</v>
      </c>
      <c r="V66" s="177" t="s">
        <v>487</v>
      </c>
      <c r="W66" s="166">
        <v>822004163</v>
      </c>
      <c r="X66" s="166">
        <v>200</v>
      </c>
      <c r="Y66" s="188" t="s">
        <v>884</v>
      </c>
      <c r="Z66" s="194"/>
      <c r="AA66" s="167">
        <v>759</v>
      </c>
      <c r="AB66" s="175"/>
      <c r="AC66" s="167">
        <v>851</v>
      </c>
      <c r="AD66" s="168">
        <v>296140000</v>
      </c>
      <c r="AE66" s="167"/>
      <c r="AF66" s="167"/>
      <c r="AG66" s="167"/>
      <c r="AH66" s="167"/>
      <c r="AI66" s="167">
        <v>0</v>
      </c>
      <c r="AJ66" s="167">
        <v>0</v>
      </c>
      <c r="AK66" s="167">
        <v>0</v>
      </c>
      <c r="AL66" s="167">
        <v>0</v>
      </c>
      <c r="AM66" s="167">
        <v>0</v>
      </c>
      <c r="AN66" s="167">
        <v>0</v>
      </c>
      <c r="AO66" s="167">
        <v>0</v>
      </c>
      <c r="AP66" s="167">
        <v>0</v>
      </c>
      <c r="AQ66" s="168">
        <f t="shared" si="11"/>
        <v>0</v>
      </c>
      <c r="AR66" s="168">
        <f t="shared" si="12"/>
        <v>296140000</v>
      </c>
      <c r="AS66" s="169">
        <f t="shared" si="13"/>
        <v>0</v>
      </c>
      <c r="AT66" s="236"/>
      <c r="AU66" s="346">
        <v>277</v>
      </c>
      <c r="AV66" s="346">
        <v>369</v>
      </c>
      <c r="AW66" s="345">
        <v>296140000</v>
      </c>
      <c r="AX66" s="345">
        <v>0</v>
      </c>
      <c r="AY66" s="345">
        <v>0</v>
      </c>
      <c r="AZ66" s="345">
        <v>0</v>
      </c>
      <c r="BA66" s="345">
        <v>0</v>
      </c>
      <c r="BB66" s="345">
        <v>0</v>
      </c>
      <c r="BC66" s="345">
        <v>133040000</v>
      </c>
      <c r="BD66" s="237"/>
      <c r="BE66" s="345">
        <v>32240000</v>
      </c>
      <c r="BF66" s="438">
        <v>34160000</v>
      </c>
      <c r="BG66" s="447">
        <v>34160000</v>
      </c>
      <c r="BH66" s="237"/>
      <c r="BI66" s="237">
        <f>55340000+1920000</f>
        <v>57260000</v>
      </c>
      <c r="BJ66" s="344">
        <f t="shared" si="3"/>
        <v>290860000</v>
      </c>
      <c r="BK66" s="237">
        <f t="shared" si="14"/>
        <v>5280000</v>
      </c>
      <c r="BL66" s="435">
        <f t="shared" si="15"/>
        <v>0.98217059498885662</v>
      </c>
      <c r="BM66" s="192"/>
      <c r="BN66" s="192"/>
      <c r="BO66" s="192"/>
      <c r="BP66" s="192"/>
      <c r="BQ66" s="192"/>
      <c r="BR66" s="192"/>
      <c r="BS66" s="192"/>
      <c r="BT66" s="192"/>
      <c r="BU66" s="192"/>
      <c r="BV66" s="192"/>
      <c r="BW66" s="192"/>
      <c r="BX66" s="192"/>
      <c r="BY66" s="192"/>
      <c r="BZ66" s="192"/>
      <c r="CA66" s="192"/>
      <c r="CB66" s="192"/>
      <c r="CC66" s="192"/>
      <c r="CD66" s="192"/>
    </row>
    <row r="67" spans="1:82" s="25" customFormat="1" x14ac:dyDescent="0.25">
      <c r="A67" s="62">
        <v>115</v>
      </c>
      <c r="B67" s="365" t="s">
        <v>116</v>
      </c>
      <c r="C67" s="62">
        <v>1157</v>
      </c>
      <c r="D67" s="63" t="s">
        <v>104</v>
      </c>
      <c r="E67" s="62">
        <v>4</v>
      </c>
      <c r="F67" s="559"/>
      <c r="G67" s="559"/>
      <c r="H67" s="559"/>
      <c r="I67" s="559"/>
      <c r="J67" s="620"/>
      <c r="K67" s="622"/>
      <c r="L67" s="164" t="s">
        <v>894</v>
      </c>
      <c r="M67" s="164" t="s">
        <v>1119</v>
      </c>
      <c r="N67" s="164" t="s">
        <v>48</v>
      </c>
      <c r="O67" s="255" t="s">
        <v>806</v>
      </c>
      <c r="P67" s="164" t="s">
        <v>320</v>
      </c>
      <c r="Q67" s="253">
        <v>41942</v>
      </c>
      <c r="R67" s="253">
        <v>41963</v>
      </c>
      <c r="S67" s="255" t="s">
        <v>867</v>
      </c>
      <c r="T67" s="164" t="s">
        <v>895</v>
      </c>
      <c r="U67" s="255" t="s">
        <v>418</v>
      </c>
      <c r="V67" s="164" t="s">
        <v>896</v>
      </c>
      <c r="W67" s="166">
        <v>1049602118</v>
      </c>
      <c r="X67" s="256">
        <v>200</v>
      </c>
      <c r="Y67" s="188" t="s">
        <v>884</v>
      </c>
      <c r="Z67" s="164"/>
      <c r="AA67" s="167">
        <v>760</v>
      </c>
      <c r="AB67" s="175"/>
      <c r="AC67" s="167">
        <v>874</v>
      </c>
      <c r="AD67" s="168">
        <v>14807000</v>
      </c>
      <c r="AE67" s="167"/>
      <c r="AF67" s="167"/>
      <c r="AG67" s="167"/>
      <c r="AH67" s="167"/>
      <c r="AI67" s="167">
        <v>0</v>
      </c>
      <c r="AJ67" s="167">
        <v>0</v>
      </c>
      <c r="AK67" s="167">
        <v>0</v>
      </c>
      <c r="AL67" s="167">
        <v>0</v>
      </c>
      <c r="AM67" s="167">
        <v>0</v>
      </c>
      <c r="AN67" s="167">
        <v>0</v>
      </c>
      <c r="AO67" s="167">
        <v>0</v>
      </c>
      <c r="AP67" s="167">
        <v>0</v>
      </c>
      <c r="AQ67" s="168">
        <f t="shared" si="11"/>
        <v>0</v>
      </c>
      <c r="AR67" s="168">
        <f t="shared" si="12"/>
        <v>14807000</v>
      </c>
      <c r="AS67" s="169">
        <f t="shared" si="13"/>
        <v>0</v>
      </c>
      <c r="AT67" s="236"/>
      <c r="AU67" s="346">
        <v>284</v>
      </c>
      <c r="AV67" s="346">
        <v>244</v>
      </c>
      <c r="AW67" s="345">
        <v>14807000</v>
      </c>
      <c r="AX67" s="345">
        <v>0</v>
      </c>
      <c r="AY67" s="345">
        <v>0</v>
      </c>
      <c r="AZ67" s="345">
        <v>0</v>
      </c>
      <c r="BA67" s="345">
        <v>0</v>
      </c>
      <c r="BB67" s="345">
        <v>0</v>
      </c>
      <c r="BC67" s="345">
        <v>7403500</v>
      </c>
      <c r="BD67" s="237"/>
      <c r="BE67" s="345">
        <v>1850875</v>
      </c>
      <c r="BF67" s="438"/>
      <c r="BG67" s="443"/>
      <c r="BH67" s="237"/>
      <c r="BI67" s="237">
        <v>3701750</v>
      </c>
      <c r="BJ67" s="344">
        <f t="shared" ref="BJ67:BJ130" si="16">SUM(AX67:BI67)</f>
        <v>12956125</v>
      </c>
      <c r="BK67" s="237">
        <f t="shared" si="14"/>
        <v>1850875</v>
      </c>
      <c r="BL67" s="435">
        <f t="shared" si="15"/>
        <v>0.875</v>
      </c>
      <c r="BM67" s="192"/>
      <c r="BN67" s="192"/>
      <c r="BO67" s="192"/>
      <c r="BP67" s="192"/>
      <c r="BQ67" s="192"/>
      <c r="BR67" s="192"/>
      <c r="BS67" s="192"/>
      <c r="BT67" s="192"/>
      <c r="BU67" s="192"/>
      <c r="BV67" s="192"/>
      <c r="BW67" s="192"/>
      <c r="BX67" s="192"/>
      <c r="BY67" s="192"/>
      <c r="BZ67" s="192"/>
      <c r="CA67" s="192"/>
      <c r="CB67" s="192"/>
      <c r="CC67" s="192"/>
      <c r="CD67" s="192"/>
    </row>
    <row r="68" spans="1:82" s="25" customFormat="1" ht="13.5" customHeight="1" x14ac:dyDescent="0.25">
      <c r="A68" s="62">
        <v>116</v>
      </c>
      <c r="B68" s="365" t="s">
        <v>120</v>
      </c>
      <c r="C68" s="62">
        <v>1161</v>
      </c>
      <c r="D68" s="63" t="s">
        <v>122</v>
      </c>
      <c r="E68" s="62">
        <v>3</v>
      </c>
      <c r="F68" s="584" t="s">
        <v>123</v>
      </c>
      <c r="G68" s="584">
        <v>2</v>
      </c>
      <c r="H68" s="584" t="s">
        <v>124</v>
      </c>
      <c r="I68" s="584" t="s">
        <v>125</v>
      </c>
      <c r="J68" s="619">
        <v>0</v>
      </c>
      <c r="K68" s="621">
        <v>0</v>
      </c>
      <c r="L68" s="164" t="s">
        <v>897</v>
      </c>
      <c r="M68" s="164" t="s">
        <v>1134</v>
      </c>
      <c r="N68" s="164" t="s">
        <v>493</v>
      </c>
      <c r="O68" s="258" t="s">
        <v>448</v>
      </c>
      <c r="P68" s="164" t="s">
        <v>320</v>
      </c>
      <c r="Q68" s="258">
        <v>41710</v>
      </c>
      <c r="R68" s="258">
        <v>41716</v>
      </c>
      <c r="S68" s="259" t="s">
        <v>1054</v>
      </c>
      <c r="T68" s="272" t="s">
        <v>1396</v>
      </c>
      <c r="U68" s="259" t="s">
        <v>418</v>
      </c>
      <c r="V68" s="164" t="s">
        <v>515</v>
      </c>
      <c r="W68" s="178">
        <v>80123303</v>
      </c>
      <c r="X68" s="164" t="s">
        <v>493</v>
      </c>
      <c r="Y68" s="259" t="s">
        <v>1386</v>
      </c>
      <c r="Z68" s="259"/>
      <c r="AA68" s="259">
        <v>235</v>
      </c>
      <c r="AB68" s="175"/>
      <c r="AC68" s="167">
        <v>440</v>
      </c>
      <c r="AD68" s="168">
        <v>5800000</v>
      </c>
      <c r="AE68" s="167">
        <v>0</v>
      </c>
      <c r="AF68" s="167">
        <v>0</v>
      </c>
      <c r="AG68" s="167">
        <v>0</v>
      </c>
      <c r="AH68" s="167">
        <v>0</v>
      </c>
      <c r="AI68" s="167">
        <v>0</v>
      </c>
      <c r="AJ68" s="167">
        <v>2900000</v>
      </c>
      <c r="AK68" s="167">
        <v>0</v>
      </c>
      <c r="AL68" s="167">
        <v>1450000</v>
      </c>
      <c r="AM68" s="167">
        <v>1450000</v>
      </c>
      <c r="AN68" s="167">
        <v>0</v>
      </c>
      <c r="AO68" s="167">
        <v>0</v>
      </c>
      <c r="AP68" s="167">
        <v>0</v>
      </c>
      <c r="AQ68" s="168">
        <f t="shared" si="11"/>
        <v>5800000</v>
      </c>
      <c r="AR68" s="168">
        <f t="shared" si="12"/>
        <v>0</v>
      </c>
      <c r="AS68" s="169">
        <f t="shared" si="13"/>
        <v>1</v>
      </c>
      <c r="AT68" s="236"/>
      <c r="AU68" s="346"/>
      <c r="AV68" s="346"/>
      <c r="AW68" s="345"/>
      <c r="AX68" s="345"/>
      <c r="AY68" s="345"/>
      <c r="AZ68" s="345"/>
      <c r="BA68" s="237"/>
      <c r="BB68" s="237"/>
      <c r="BC68" s="237"/>
      <c r="BD68" s="345"/>
      <c r="BE68" s="345"/>
      <c r="BF68" s="438"/>
      <c r="BG68" s="443"/>
      <c r="BH68" s="237"/>
      <c r="BI68" s="237"/>
      <c r="BJ68" s="344">
        <f t="shared" si="16"/>
        <v>0</v>
      </c>
      <c r="BK68" s="237">
        <f t="shared" si="14"/>
        <v>0</v>
      </c>
      <c r="BL68" s="435" t="e">
        <f t="shared" si="15"/>
        <v>#DIV/0!</v>
      </c>
      <c r="BM68" s="192"/>
      <c r="BN68" s="192"/>
      <c r="BO68" s="192"/>
      <c r="BP68" s="192"/>
      <c r="BQ68" s="192"/>
      <c r="BR68" s="192"/>
      <c r="BS68" s="192"/>
      <c r="BT68" s="192"/>
      <c r="BU68" s="192"/>
      <c r="BV68" s="192"/>
      <c r="BW68" s="192"/>
      <c r="BX68" s="192"/>
      <c r="BY68" s="192"/>
      <c r="BZ68" s="192"/>
      <c r="CA68" s="192"/>
      <c r="CB68" s="192"/>
      <c r="CC68" s="192"/>
      <c r="CD68" s="192"/>
    </row>
    <row r="69" spans="1:82" s="25" customFormat="1" x14ac:dyDescent="0.25">
      <c r="A69" s="62">
        <v>116</v>
      </c>
      <c r="B69" s="365" t="s">
        <v>120</v>
      </c>
      <c r="C69" s="62">
        <v>1161</v>
      </c>
      <c r="D69" s="63" t="s">
        <v>122</v>
      </c>
      <c r="E69" s="62">
        <v>3</v>
      </c>
      <c r="F69" s="585"/>
      <c r="G69" s="585"/>
      <c r="H69" s="585"/>
      <c r="I69" s="585"/>
      <c r="J69" s="620"/>
      <c r="K69" s="622"/>
      <c r="L69" s="164" t="s">
        <v>898</v>
      </c>
      <c r="M69" s="164" t="s">
        <v>1134</v>
      </c>
      <c r="N69" s="164" t="s">
        <v>493</v>
      </c>
      <c r="O69" s="258" t="s">
        <v>1318</v>
      </c>
      <c r="P69" s="164" t="s">
        <v>356</v>
      </c>
      <c r="Q69" s="258">
        <v>41865</v>
      </c>
      <c r="R69" s="258">
        <v>41865</v>
      </c>
      <c r="S69" s="259" t="s">
        <v>310</v>
      </c>
      <c r="T69" s="164">
        <v>161</v>
      </c>
      <c r="U69" s="259" t="s">
        <v>1395</v>
      </c>
      <c r="V69" s="164" t="s">
        <v>899</v>
      </c>
      <c r="W69" s="178" t="s">
        <v>1394</v>
      </c>
      <c r="X69" s="164" t="s">
        <v>493</v>
      </c>
      <c r="Y69" s="259" t="s">
        <v>1386</v>
      </c>
      <c r="Z69" s="259"/>
      <c r="AA69" s="259">
        <v>716</v>
      </c>
      <c r="AB69" s="175"/>
      <c r="AC69" s="167">
        <v>753</v>
      </c>
      <c r="AD69" s="168">
        <v>45920000</v>
      </c>
      <c r="AE69" s="167"/>
      <c r="AF69" s="167"/>
      <c r="AG69" s="167"/>
      <c r="AH69" s="167"/>
      <c r="AI69" s="167">
        <v>0</v>
      </c>
      <c r="AJ69" s="167">
        <v>0</v>
      </c>
      <c r="AK69" s="167">
        <v>0</v>
      </c>
      <c r="AL69" s="167">
        <v>0</v>
      </c>
      <c r="AM69" s="167">
        <v>0</v>
      </c>
      <c r="AN69" s="167">
        <v>0</v>
      </c>
      <c r="AO69" s="167">
        <v>45920000</v>
      </c>
      <c r="AP69" s="167">
        <v>0</v>
      </c>
      <c r="AQ69" s="168">
        <f t="shared" si="11"/>
        <v>45920000</v>
      </c>
      <c r="AR69" s="168">
        <f t="shared" si="12"/>
        <v>0</v>
      </c>
      <c r="AS69" s="169">
        <f t="shared" si="13"/>
        <v>1</v>
      </c>
      <c r="AT69" s="236"/>
      <c r="AU69" s="346"/>
      <c r="AV69" s="346"/>
      <c r="AW69" s="345"/>
      <c r="AX69" s="345"/>
      <c r="AY69" s="345"/>
      <c r="AZ69" s="345"/>
      <c r="BA69" s="237"/>
      <c r="BB69" s="237"/>
      <c r="BC69" s="237"/>
      <c r="BD69" s="345"/>
      <c r="BE69" s="345"/>
      <c r="BF69" s="438"/>
      <c r="BG69" s="443"/>
      <c r="BH69" s="237"/>
      <c r="BI69" s="237"/>
      <c r="BJ69" s="344">
        <f t="shared" si="16"/>
        <v>0</v>
      </c>
      <c r="BK69" s="237">
        <f t="shared" si="14"/>
        <v>0</v>
      </c>
      <c r="BL69" s="435" t="e">
        <f t="shared" si="15"/>
        <v>#DIV/0!</v>
      </c>
      <c r="BM69" s="192"/>
      <c r="BN69" s="192"/>
      <c r="BO69" s="192"/>
      <c r="BP69" s="192"/>
      <c r="BQ69" s="192"/>
      <c r="BR69" s="192"/>
      <c r="BS69" s="192"/>
      <c r="BT69" s="192"/>
      <c r="BU69" s="192"/>
      <c r="BV69" s="192"/>
      <c r="BW69" s="192"/>
      <c r="BX69" s="192"/>
      <c r="BY69" s="192"/>
      <c r="BZ69" s="192"/>
      <c r="CA69" s="192"/>
      <c r="CB69" s="192"/>
      <c r="CC69" s="192"/>
      <c r="CD69" s="192"/>
    </row>
    <row r="70" spans="1:82" s="25" customFormat="1" x14ac:dyDescent="0.25">
      <c r="A70" s="62">
        <v>116</v>
      </c>
      <c r="B70" s="365" t="s">
        <v>120</v>
      </c>
      <c r="C70" s="62">
        <v>1161</v>
      </c>
      <c r="D70" s="63" t="s">
        <v>122</v>
      </c>
      <c r="E70" s="62">
        <v>3</v>
      </c>
      <c r="F70" s="585"/>
      <c r="G70" s="585"/>
      <c r="H70" s="585"/>
      <c r="I70" s="585"/>
      <c r="J70" s="620"/>
      <c r="K70" s="622"/>
      <c r="L70" s="164" t="s">
        <v>900</v>
      </c>
      <c r="M70" s="164" t="s">
        <v>1134</v>
      </c>
      <c r="N70" s="164" t="s">
        <v>493</v>
      </c>
      <c r="O70" s="258" t="s">
        <v>1318</v>
      </c>
      <c r="P70" s="164" t="s">
        <v>320</v>
      </c>
      <c r="Q70" s="257">
        <v>41978</v>
      </c>
      <c r="R70" s="258">
        <v>41865</v>
      </c>
      <c r="S70" s="259" t="s">
        <v>395</v>
      </c>
      <c r="T70" s="164">
        <v>9</v>
      </c>
      <c r="U70" s="259" t="s">
        <v>418</v>
      </c>
      <c r="V70" s="164" t="s">
        <v>515</v>
      </c>
      <c r="W70" s="178">
        <v>80123303</v>
      </c>
      <c r="X70" s="164" t="s">
        <v>493</v>
      </c>
      <c r="Y70" s="259" t="s">
        <v>1386</v>
      </c>
      <c r="Z70" s="259"/>
      <c r="AA70" s="259">
        <v>717</v>
      </c>
      <c r="AB70" s="175"/>
      <c r="AC70" s="167">
        <v>752</v>
      </c>
      <c r="AD70" s="168">
        <v>1450000</v>
      </c>
      <c r="AE70" s="167"/>
      <c r="AF70" s="167"/>
      <c r="AG70" s="167"/>
      <c r="AH70" s="167"/>
      <c r="AI70" s="167">
        <v>0</v>
      </c>
      <c r="AJ70" s="167">
        <v>0</v>
      </c>
      <c r="AK70" s="167">
        <v>0</v>
      </c>
      <c r="AL70" s="167">
        <v>0</v>
      </c>
      <c r="AM70" s="167">
        <v>0</v>
      </c>
      <c r="AN70" s="167">
        <v>0</v>
      </c>
      <c r="AO70" s="167">
        <v>1450000</v>
      </c>
      <c r="AP70" s="167">
        <v>0</v>
      </c>
      <c r="AQ70" s="168">
        <f t="shared" si="11"/>
        <v>1450000</v>
      </c>
      <c r="AR70" s="168">
        <f t="shared" si="12"/>
        <v>0</v>
      </c>
      <c r="AS70" s="169">
        <f t="shared" si="13"/>
        <v>1</v>
      </c>
      <c r="AT70" s="236"/>
      <c r="AU70" s="346"/>
      <c r="AV70" s="346"/>
      <c r="AW70" s="345"/>
      <c r="AX70" s="345"/>
      <c r="AY70" s="345"/>
      <c r="AZ70" s="345"/>
      <c r="BA70" s="345"/>
      <c r="BB70" s="345"/>
      <c r="BC70" s="237"/>
      <c r="BD70" s="345"/>
      <c r="BE70" s="345"/>
      <c r="BF70" s="438"/>
      <c r="BG70" s="443"/>
      <c r="BH70" s="237"/>
      <c r="BI70" s="237"/>
      <c r="BJ70" s="344">
        <f t="shared" si="16"/>
        <v>0</v>
      </c>
      <c r="BK70" s="237">
        <f t="shared" si="14"/>
        <v>0</v>
      </c>
      <c r="BL70" s="435" t="e">
        <f t="shared" si="15"/>
        <v>#DIV/0!</v>
      </c>
      <c r="BM70" s="192"/>
      <c r="BN70" s="192"/>
      <c r="BO70" s="192"/>
      <c r="BP70" s="192"/>
      <c r="BQ70" s="192"/>
      <c r="BR70" s="192"/>
      <c r="BS70" s="192"/>
      <c r="BT70" s="192"/>
      <c r="BU70" s="192"/>
      <c r="BV70" s="192"/>
      <c r="BW70" s="192"/>
      <c r="BX70" s="192"/>
      <c r="BY70" s="192"/>
      <c r="BZ70" s="192"/>
      <c r="CA70" s="192"/>
      <c r="CB70" s="192"/>
      <c r="CC70" s="192"/>
      <c r="CD70" s="192"/>
    </row>
    <row r="71" spans="1:82" s="25" customFormat="1" x14ac:dyDescent="0.25">
      <c r="A71" s="62">
        <v>116</v>
      </c>
      <c r="B71" s="365" t="s">
        <v>120</v>
      </c>
      <c r="C71" s="62">
        <v>1161</v>
      </c>
      <c r="D71" s="63" t="s">
        <v>122</v>
      </c>
      <c r="E71" s="62">
        <v>3</v>
      </c>
      <c r="F71" s="585"/>
      <c r="G71" s="585"/>
      <c r="H71" s="585"/>
      <c r="I71" s="585"/>
      <c r="J71" s="620"/>
      <c r="K71" s="622"/>
      <c r="L71" s="164" t="s">
        <v>901</v>
      </c>
      <c r="M71" s="164" t="s">
        <v>1134</v>
      </c>
      <c r="N71" s="164" t="s">
        <v>493</v>
      </c>
      <c r="O71" s="166" t="s">
        <v>793</v>
      </c>
      <c r="P71" s="188" t="s">
        <v>400</v>
      </c>
      <c r="Q71" s="257">
        <v>41978</v>
      </c>
      <c r="R71" s="258">
        <v>42065</v>
      </c>
      <c r="S71" s="258" t="s">
        <v>337</v>
      </c>
      <c r="T71" s="188" t="s">
        <v>902</v>
      </c>
      <c r="U71" s="258" t="s">
        <v>1297</v>
      </c>
      <c r="V71" s="188" t="s">
        <v>903</v>
      </c>
      <c r="W71" s="178">
        <v>900257679</v>
      </c>
      <c r="X71" s="258" t="s">
        <v>1298</v>
      </c>
      <c r="Y71" s="258" t="s">
        <v>1299</v>
      </c>
      <c r="Z71" s="164"/>
      <c r="AA71" s="167">
        <v>620</v>
      </c>
      <c r="AB71" s="175"/>
      <c r="AC71" s="167">
        <v>920</v>
      </c>
      <c r="AD71" s="168">
        <v>101000000</v>
      </c>
      <c r="AE71" s="167"/>
      <c r="AF71" s="167"/>
      <c r="AG71" s="167"/>
      <c r="AH71" s="167"/>
      <c r="AI71" s="167"/>
      <c r="AJ71" s="167"/>
      <c r="AK71" s="167"/>
      <c r="AL71" s="167"/>
      <c r="AM71" s="167"/>
      <c r="AN71" s="167">
        <v>0</v>
      </c>
      <c r="AO71" s="167">
        <v>0</v>
      </c>
      <c r="AP71" s="167">
        <v>0</v>
      </c>
      <c r="AQ71" s="168">
        <f t="shared" si="11"/>
        <v>0</v>
      </c>
      <c r="AR71" s="168">
        <f t="shared" si="12"/>
        <v>101000000</v>
      </c>
      <c r="AS71" s="169">
        <f t="shared" si="13"/>
        <v>0</v>
      </c>
      <c r="AT71" s="236"/>
      <c r="AU71" s="346">
        <v>303</v>
      </c>
      <c r="AV71" s="346">
        <v>374</v>
      </c>
      <c r="AW71" s="345">
        <v>101000000</v>
      </c>
      <c r="AX71" s="345">
        <v>0</v>
      </c>
      <c r="AY71" s="345">
        <v>0</v>
      </c>
      <c r="AZ71" s="345">
        <v>0</v>
      </c>
      <c r="BA71" s="345">
        <v>0</v>
      </c>
      <c r="BB71" s="345">
        <v>0</v>
      </c>
      <c r="BC71" s="345">
        <v>8118000</v>
      </c>
      <c r="BD71" s="345">
        <v>7350000</v>
      </c>
      <c r="BE71" s="345">
        <v>3830000</v>
      </c>
      <c r="BF71" s="438">
        <v>8078686</v>
      </c>
      <c r="BG71" s="443"/>
      <c r="BH71" s="237">
        <v>73623314</v>
      </c>
      <c r="BI71" s="237"/>
      <c r="BJ71" s="344">
        <f t="shared" si="16"/>
        <v>101000000</v>
      </c>
      <c r="BK71" s="237">
        <f t="shared" si="14"/>
        <v>0</v>
      </c>
      <c r="BL71" s="435">
        <f t="shared" si="15"/>
        <v>1</v>
      </c>
      <c r="BM71" s="192"/>
      <c r="BN71" s="192"/>
      <c r="BO71" s="192"/>
      <c r="BP71" s="192"/>
      <c r="BQ71" s="192"/>
      <c r="BR71" s="192"/>
      <c r="BS71" s="192"/>
      <c r="BT71" s="192"/>
      <c r="BU71" s="192"/>
      <c r="BV71" s="192"/>
      <c r="BW71" s="192"/>
      <c r="BX71" s="192"/>
      <c r="BY71" s="192"/>
      <c r="BZ71" s="192"/>
      <c r="CA71" s="192"/>
      <c r="CB71" s="192"/>
      <c r="CC71" s="192"/>
      <c r="CD71" s="192"/>
    </row>
    <row r="72" spans="1:82" s="25" customFormat="1" x14ac:dyDescent="0.25">
      <c r="A72" s="62">
        <v>116</v>
      </c>
      <c r="B72" s="365" t="s">
        <v>120</v>
      </c>
      <c r="C72" s="62">
        <v>1161</v>
      </c>
      <c r="D72" s="63" t="s">
        <v>122</v>
      </c>
      <c r="E72" s="62">
        <v>3</v>
      </c>
      <c r="F72" s="585"/>
      <c r="G72" s="585"/>
      <c r="H72" s="585"/>
      <c r="I72" s="585"/>
      <c r="J72" s="620"/>
      <c r="K72" s="622"/>
      <c r="L72" s="164" t="s">
        <v>904</v>
      </c>
      <c r="M72" s="164" t="s">
        <v>1134</v>
      </c>
      <c r="N72" s="164" t="s">
        <v>493</v>
      </c>
      <c r="O72" s="258" t="s">
        <v>448</v>
      </c>
      <c r="P72" s="188" t="s">
        <v>320</v>
      </c>
      <c r="Q72" s="257">
        <v>41978</v>
      </c>
      <c r="R72" s="258">
        <v>41700</v>
      </c>
      <c r="S72" s="258" t="s">
        <v>337</v>
      </c>
      <c r="T72" s="188" t="s">
        <v>905</v>
      </c>
      <c r="U72" s="258" t="s">
        <v>1300</v>
      </c>
      <c r="V72" s="188" t="s">
        <v>819</v>
      </c>
      <c r="W72" s="178">
        <v>52268409</v>
      </c>
      <c r="X72" s="259" t="s">
        <v>361</v>
      </c>
      <c r="Y72" s="258" t="s">
        <v>1299</v>
      </c>
      <c r="Z72" s="164"/>
      <c r="AA72" s="167">
        <v>846</v>
      </c>
      <c r="AB72" s="175"/>
      <c r="AC72" s="167">
        <v>1012</v>
      </c>
      <c r="AD72" s="168">
        <v>9600000</v>
      </c>
      <c r="AE72" s="167"/>
      <c r="AF72" s="167"/>
      <c r="AG72" s="167"/>
      <c r="AH72" s="167"/>
      <c r="AI72" s="167"/>
      <c r="AJ72" s="167"/>
      <c r="AK72" s="167"/>
      <c r="AL72" s="167"/>
      <c r="AM72" s="167"/>
      <c r="AN72" s="167">
        <v>0</v>
      </c>
      <c r="AO72" s="167">
        <v>0</v>
      </c>
      <c r="AP72" s="167">
        <v>0</v>
      </c>
      <c r="AQ72" s="168">
        <f t="shared" si="11"/>
        <v>0</v>
      </c>
      <c r="AR72" s="168">
        <f t="shared" si="12"/>
        <v>9600000</v>
      </c>
      <c r="AS72" s="169">
        <f t="shared" si="13"/>
        <v>0</v>
      </c>
      <c r="AT72" s="236"/>
      <c r="AU72" s="346">
        <v>349</v>
      </c>
      <c r="AV72" s="346">
        <v>297</v>
      </c>
      <c r="AW72" s="345">
        <v>9600000</v>
      </c>
      <c r="AX72" s="345">
        <v>0</v>
      </c>
      <c r="AY72" s="345">
        <v>0</v>
      </c>
      <c r="AZ72" s="345">
        <v>0</v>
      </c>
      <c r="BA72" s="345">
        <v>0</v>
      </c>
      <c r="BB72" s="345">
        <v>1600000</v>
      </c>
      <c r="BC72" s="345">
        <v>1600000</v>
      </c>
      <c r="BD72" s="345"/>
      <c r="BE72" s="345">
        <v>1600000</v>
      </c>
      <c r="BF72" s="438">
        <v>1600000</v>
      </c>
      <c r="BG72" s="443">
        <v>1600000</v>
      </c>
      <c r="BH72" s="237">
        <v>1600000</v>
      </c>
      <c r="BI72" s="237"/>
      <c r="BJ72" s="344">
        <f t="shared" si="16"/>
        <v>9600000</v>
      </c>
      <c r="BK72" s="237">
        <f t="shared" si="14"/>
        <v>0</v>
      </c>
      <c r="BL72" s="435">
        <f t="shared" si="15"/>
        <v>1</v>
      </c>
      <c r="BM72" s="192"/>
      <c r="BN72" s="192"/>
      <c r="BO72" s="192"/>
      <c r="BP72" s="192"/>
      <c r="BQ72" s="192"/>
      <c r="BR72" s="192"/>
      <c r="BS72" s="192"/>
      <c r="BT72" s="192"/>
      <c r="BU72" s="192"/>
      <c r="BV72" s="192"/>
      <c r="BW72" s="192"/>
      <c r="BX72" s="192"/>
      <c r="BY72" s="192"/>
      <c r="BZ72" s="192"/>
      <c r="CA72" s="192"/>
      <c r="CB72" s="192"/>
      <c r="CC72" s="192"/>
      <c r="CD72" s="192"/>
    </row>
    <row r="73" spans="1:82" s="25" customFormat="1" ht="13.5" customHeight="1" x14ac:dyDescent="0.25">
      <c r="A73" s="64">
        <v>117</v>
      </c>
      <c r="B73" s="365" t="s">
        <v>128</v>
      </c>
      <c r="C73" s="64">
        <v>1161</v>
      </c>
      <c r="D73" s="65" t="s">
        <v>122</v>
      </c>
      <c r="E73" s="64">
        <v>1</v>
      </c>
      <c r="F73" s="584" t="s">
        <v>130</v>
      </c>
      <c r="G73" s="584">
        <v>9</v>
      </c>
      <c r="H73" s="584" t="s">
        <v>131</v>
      </c>
      <c r="I73" s="584" t="s">
        <v>132</v>
      </c>
      <c r="J73" s="619">
        <v>0</v>
      </c>
      <c r="K73" s="621">
        <v>0</v>
      </c>
      <c r="L73" s="164" t="s">
        <v>906</v>
      </c>
      <c r="M73" s="164" t="s">
        <v>1134</v>
      </c>
      <c r="N73" s="164" t="s">
        <v>493</v>
      </c>
      <c r="O73" s="164" t="s">
        <v>1305</v>
      </c>
      <c r="P73" s="164" t="s">
        <v>356</v>
      </c>
      <c r="Q73" s="257">
        <v>41810</v>
      </c>
      <c r="R73" s="258">
        <v>41810</v>
      </c>
      <c r="S73" s="258" t="s">
        <v>395</v>
      </c>
      <c r="T73" s="187" t="s">
        <v>1393</v>
      </c>
      <c r="U73" s="164" t="s">
        <v>519</v>
      </c>
      <c r="V73" s="164" t="s">
        <v>520</v>
      </c>
      <c r="W73" s="178" t="s">
        <v>521</v>
      </c>
      <c r="X73" s="164" t="s">
        <v>493</v>
      </c>
      <c r="Y73" s="259" t="s">
        <v>1386</v>
      </c>
      <c r="Z73" s="259"/>
      <c r="AA73" s="259">
        <v>583</v>
      </c>
      <c r="AB73" s="175"/>
      <c r="AC73" s="167">
        <v>613</v>
      </c>
      <c r="AD73" s="168">
        <v>20860000</v>
      </c>
      <c r="AE73" s="167">
        <v>0</v>
      </c>
      <c r="AF73" s="167">
        <v>0</v>
      </c>
      <c r="AG73" s="167">
        <v>0</v>
      </c>
      <c r="AH73" s="167">
        <v>0</v>
      </c>
      <c r="AI73" s="167">
        <v>0</v>
      </c>
      <c r="AJ73" s="167">
        <v>0</v>
      </c>
      <c r="AK73" s="167">
        <v>0</v>
      </c>
      <c r="AL73" s="167">
        <v>0</v>
      </c>
      <c r="AM73" s="167">
        <v>0</v>
      </c>
      <c r="AN73" s="167">
        <v>20860000</v>
      </c>
      <c r="AO73" s="167">
        <v>0</v>
      </c>
      <c r="AP73" s="167">
        <v>0</v>
      </c>
      <c r="AQ73" s="168">
        <f t="shared" si="11"/>
        <v>20860000</v>
      </c>
      <c r="AR73" s="168">
        <f t="shared" si="12"/>
        <v>0</v>
      </c>
      <c r="AS73" s="169">
        <f t="shared" si="13"/>
        <v>1</v>
      </c>
      <c r="AT73" s="236"/>
      <c r="AU73" s="346"/>
      <c r="AV73" s="346"/>
      <c r="AW73" s="345"/>
      <c r="AX73" s="345"/>
      <c r="AY73" s="345"/>
      <c r="AZ73" s="345"/>
      <c r="BA73" s="345"/>
      <c r="BB73" s="345"/>
      <c r="BC73" s="237"/>
      <c r="BD73" s="345"/>
      <c r="BE73" s="345"/>
      <c r="BF73" s="438"/>
      <c r="BG73" s="443"/>
      <c r="BH73" s="237"/>
      <c r="BI73" s="237"/>
      <c r="BJ73" s="344">
        <f t="shared" si="16"/>
        <v>0</v>
      </c>
      <c r="BK73" s="237">
        <f t="shared" si="14"/>
        <v>0</v>
      </c>
      <c r="BL73" s="435" t="e">
        <f t="shared" si="15"/>
        <v>#DIV/0!</v>
      </c>
      <c r="BM73" s="192"/>
      <c r="BN73" s="192"/>
      <c r="BO73" s="192"/>
      <c r="BP73" s="192"/>
      <c r="BQ73" s="192"/>
      <c r="BR73" s="192"/>
      <c r="BS73" s="192"/>
      <c r="BT73" s="192"/>
      <c r="BU73" s="192"/>
      <c r="BV73" s="192"/>
      <c r="BW73" s="192"/>
      <c r="BX73" s="192"/>
      <c r="BY73" s="192"/>
      <c r="BZ73" s="192"/>
      <c r="CA73" s="192"/>
      <c r="CB73" s="192"/>
      <c r="CC73" s="192"/>
      <c r="CD73" s="192"/>
    </row>
    <row r="74" spans="1:82" s="25" customFormat="1" x14ac:dyDescent="0.25">
      <c r="A74" s="64">
        <v>117</v>
      </c>
      <c r="B74" s="365" t="s">
        <v>128</v>
      </c>
      <c r="C74" s="64">
        <v>1161</v>
      </c>
      <c r="D74" s="65" t="s">
        <v>122</v>
      </c>
      <c r="E74" s="64">
        <v>1</v>
      </c>
      <c r="F74" s="585"/>
      <c r="G74" s="585"/>
      <c r="H74" s="585"/>
      <c r="I74" s="585"/>
      <c r="J74" s="620"/>
      <c r="K74" s="622"/>
      <c r="L74" s="164" t="s">
        <v>907</v>
      </c>
      <c r="M74" s="164" t="s">
        <v>1134</v>
      </c>
      <c r="N74" s="164" t="s">
        <v>908</v>
      </c>
      <c r="O74" s="259" t="s">
        <v>448</v>
      </c>
      <c r="P74" s="164" t="s">
        <v>320</v>
      </c>
      <c r="Q74" s="257" t="s">
        <v>881</v>
      </c>
      <c r="R74" s="165" t="s">
        <v>881</v>
      </c>
      <c r="S74" s="259" t="s">
        <v>395</v>
      </c>
      <c r="T74" s="164" t="s">
        <v>909</v>
      </c>
      <c r="U74" s="259" t="s">
        <v>418</v>
      </c>
      <c r="V74" s="164" t="s">
        <v>533</v>
      </c>
      <c r="W74" s="178">
        <v>52355756</v>
      </c>
      <c r="X74" s="164" t="s">
        <v>908</v>
      </c>
      <c r="Y74" s="259" t="s">
        <v>1386</v>
      </c>
      <c r="Z74" s="259"/>
      <c r="AA74" s="259">
        <v>523</v>
      </c>
      <c r="AB74" s="175"/>
      <c r="AC74" s="167">
        <v>539</v>
      </c>
      <c r="AD74" s="168">
        <v>2050000</v>
      </c>
      <c r="AE74" s="167">
        <v>0</v>
      </c>
      <c r="AF74" s="167">
        <v>0</v>
      </c>
      <c r="AG74" s="167">
        <v>0</v>
      </c>
      <c r="AH74" s="167">
        <v>0</v>
      </c>
      <c r="AI74" s="167">
        <v>0</v>
      </c>
      <c r="AJ74" s="167">
        <v>0</v>
      </c>
      <c r="AK74" s="167">
        <v>0</v>
      </c>
      <c r="AL74" s="167">
        <v>0</v>
      </c>
      <c r="AM74" s="167">
        <v>0</v>
      </c>
      <c r="AN74" s="167">
        <v>0</v>
      </c>
      <c r="AO74" s="167">
        <v>0</v>
      </c>
      <c r="AP74" s="167">
        <v>2050000</v>
      </c>
      <c r="AQ74" s="168">
        <f t="shared" si="11"/>
        <v>2050000</v>
      </c>
      <c r="AR74" s="168">
        <f t="shared" si="12"/>
        <v>0</v>
      </c>
      <c r="AS74" s="169">
        <f t="shared" si="13"/>
        <v>1</v>
      </c>
      <c r="AT74" s="236"/>
      <c r="AU74" s="346"/>
      <c r="AV74" s="346"/>
      <c r="AW74" s="345"/>
      <c r="AX74" s="345"/>
      <c r="AY74" s="345"/>
      <c r="AZ74" s="345"/>
      <c r="BA74" s="345"/>
      <c r="BB74" s="345"/>
      <c r="BC74" s="237"/>
      <c r="BD74" s="345"/>
      <c r="BE74" s="345"/>
      <c r="BF74" s="438"/>
      <c r="BG74" s="443"/>
      <c r="BH74" s="237"/>
      <c r="BI74" s="237"/>
      <c r="BJ74" s="344">
        <f t="shared" si="16"/>
        <v>0</v>
      </c>
      <c r="BK74" s="237">
        <f t="shared" si="14"/>
        <v>0</v>
      </c>
      <c r="BL74" s="435" t="e">
        <f t="shared" si="15"/>
        <v>#DIV/0!</v>
      </c>
      <c r="BM74" s="192"/>
      <c r="BN74" s="192"/>
      <c r="BO74" s="192"/>
      <c r="BP74" s="192"/>
      <c r="BQ74" s="192"/>
      <c r="BR74" s="192"/>
      <c r="BS74" s="192"/>
      <c r="BT74" s="192"/>
      <c r="BU74" s="192"/>
      <c r="BV74" s="192"/>
      <c r="BW74" s="192"/>
      <c r="BX74" s="192"/>
      <c r="BY74" s="192"/>
      <c r="BZ74" s="192"/>
      <c r="CA74" s="192"/>
      <c r="CB74" s="192"/>
      <c r="CC74" s="192"/>
      <c r="CD74" s="192"/>
    </row>
    <row r="75" spans="1:82" s="25" customFormat="1" x14ac:dyDescent="0.25">
      <c r="A75" s="64">
        <v>117</v>
      </c>
      <c r="B75" s="365" t="s">
        <v>128</v>
      </c>
      <c r="C75" s="64">
        <v>1161</v>
      </c>
      <c r="D75" s="65" t="s">
        <v>122</v>
      </c>
      <c r="E75" s="64">
        <v>1</v>
      </c>
      <c r="F75" s="585"/>
      <c r="G75" s="585"/>
      <c r="H75" s="585"/>
      <c r="I75" s="585"/>
      <c r="J75" s="620"/>
      <c r="K75" s="622"/>
      <c r="L75" s="164" t="s">
        <v>910</v>
      </c>
      <c r="M75" s="164" t="s">
        <v>1134</v>
      </c>
      <c r="N75" s="164" t="s">
        <v>493</v>
      </c>
      <c r="O75" s="164" t="s">
        <v>1305</v>
      </c>
      <c r="P75" s="194" t="s">
        <v>320</v>
      </c>
      <c r="Q75" s="257">
        <v>41726</v>
      </c>
      <c r="R75" s="258">
        <v>41726</v>
      </c>
      <c r="S75" s="258" t="s">
        <v>512</v>
      </c>
      <c r="T75" s="258" t="s">
        <v>543</v>
      </c>
      <c r="U75" s="258" t="s">
        <v>1387</v>
      </c>
      <c r="V75" s="194" t="s">
        <v>515</v>
      </c>
      <c r="W75" s="178">
        <v>80123303</v>
      </c>
      <c r="X75" s="164" t="s">
        <v>493</v>
      </c>
      <c r="Y75" s="259" t="s">
        <v>1386</v>
      </c>
      <c r="Z75" s="259"/>
      <c r="AA75" s="259">
        <v>457</v>
      </c>
      <c r="AB75" s="175"/>
      <c r="AC75" s="167">
        <v>451</v>
      </c>
      <c r="AD75" s="168">
        <v>1850000</v>
      </c>
      <c r="AE75" s="167">
        <v>0</v>
      </c>
      <c r="AF75" s="167">
        <v>0</v>
      </c>
      <c r="AG75" s="167">
        <v>0</v>
      </c>
      <c r="AH75" s="167">
        <v>0</v>
      </c>
      <c r="AI75" s="167">
        <v>0</v>
      </c>
      <c r="AJ75" s="167">
        <v>0</v>
      </c>
      <c r="AK75" s="167">
        <v>0</v>
      </c>
      <c r="AL75" s="167">
        <v>0</v>
      </c>
      <c r="AM75" s="167">
        <v>0</v>
      </c>
      <c r="AN75" s="167">
        <v>1850000</v>
      </c>
      <c r="AO75" s="167">
        <v>0</v>
      </c>
      <c r="AP75" s="167">
        <v>0</v>
      </c>
      <c r="AQ75" s="168">
        <f t="shared" si="11"/>
        <v>1850000</v>
      </c>
      <c r="AR75" s="168">
        <f t="shared" si="12"/>
        <v>0</v>
      </c>
      <c r="AS75" s="169">
        <f t="shared" si="13"/>
        <v>1</v>
      </c>
      <c r="AT75" s="236"/>
      <c r="AU75" s="346"/>
      <c r="AV75" s="346"/>
      <c r="AW75" s="345"/>
      <c r="AX75" s="345"/>
      <c r="AY75" s="345"/>
      <c r="AZ75" s="345"/>
      <c r="BA75" s="345"/>
      <c r="BB75" s="345"/>
      <c r="BC75" s="237"/>
      <c r="BD75" s="345"/>
      <c r="BE75" s="345"/>
      <c r="BF75" s="438"/>
      <c r="BG75" s="443"/>
      <c r="BH75" s="237"/>
      <c r="BI75" s="237"/>
      <c r="BJ75" s="344">
        <f t="shared" si="16"/>
        <v>0</v>
      </c>
      <c r="BK75" s="237">
        <f t="shared" si="14"/>
        <v>0</v>
      </c>
      <c r="BL75" s="435" t="e">
        <f t="shared" si="15"/>
        <v>#DIV/0!</v>
      </c>
      <c r="BM75" s="192"/>
      <c r="BN75" s="192"/>
      <c r="BO75" s="192"/>
      <c r="BP75" s="192"/>
      <c r="BQ75" s="192"/>
      <c r="BR75" s="192"/>
      <c r="BS75" s="192"/>
      <c r="BT75" s="192"/>
      <c r="BU75" s="192"/>
      <c r="BV75" s="192"/>
      <c r="BW75" s="192"/>
      <c r="BX75" s="192"/>
      <c r="BY75" s="192"/>
      <c r="BZ75" s="192"/>
      <c r="CA75" s="192"/>
      <c r="CB75" s="192"/>
      <c r="CC75" s="192"/>
      <c r="CD75" s="192"/>
    </row>
    <row r="76" spans="1:82" s="25" customFormat="1" x14ac:dyDescent="0.25">
      <c r="A76" s="64">
        <v>117</v>
      </c>
      <c r="B76" s="365" t="s">
        <v>128</v>
      </c>
      <c r="C76" s="64">
        <v>1161</v>
      </c>
      <c r="D76" s="65" t="s">
        <v>122</v>
      </c>
      <c r="E76" s="64">
        <v>1</v>
      </c>
      <c r="F76" s="585"/>
      <c r="G76" s="585"/>
      <c r="H76" s="585"/>
      <c r="I76" s="585"/>
      <c r="J76" s="620"/>
      <c r="K76" s="622"/>
      <c r="L76" s="164" t="s">
        <v>911</v>
      </c>
      <c r="M76" s="164" t="s">
        <v>1134</v>
      </c>
      <c r="N76" s="164" t="s">
        <v>493</v>
      </c>
      <c r="O76" s="258" t="s">
        <v>1381</v>
      </c>
      <c r="P76" s="188" t="s">
        <v>400</v>
      </c>
      <c r="Q76" s="258">
        <v>41855</v>
      </c>
      <c r="R76" s="258">
        <v>41855</v>
      </c>
      <c r="S76" s="258" t="s">
        <v>441</v>
      </c>
      <c r="T76" s="254">
        <v>81</v>
      </c>
      <c r="U76" s="258" t="s">
        <v>1392</v>
      </c>
      <c r="V76" s="254" t="s">
        <v>525</v>
      </c>
      <c r="W76" s="178">
        <v>900442595</v>
      </c>
      <c r="X76" s="164" t="s">
        <v>493</v>
      </c>
      <c r="Y76" s="259" t="s">
        <v>1386</v>
      </c>
      <c r="Z76" s="254"/>
      <c r="AA76" s="167">
        <v>597</v>
      </c>
      <c r="AB76" s="175"/>
      <c r="AC76" s="167">
        <v>743</v>
      </c>
      <c r="AD76" s="168">
        <v>45416941</v>
      </c>
      <c r="AE76" s="167"/>
      <c r="AF76" s="167"/>
      <c r="AG76" s="167"/>
      <c r="AH76" s="167"/>
      <c r="AI76" s="167">
        <v>0</v>
      </c>
      <c r="AJ76" s="167">
        <v>0</v>
      </c>
      <c r="AK76" s="167">
        <v>0</v>
      </c>
      <c r="AL76" s="167">
        <v>0</v>
      </c>
      <c r="AM76" s="167">
        <v>0</v>
      </c>
      <c r="AN76" s="167">
        <v>37435041</v>
      </c>
      <c r="AO76" s="167">
        <v>0</v>
      </c>
      <c r="AP76" s="167">
        <v>7981900</v>
      </c>
      <c r="AQ76" s="168">
        <f t="shared" si="11"/>
        <v>45416941</v>
      </c>
      <c r="AR76" s="168">
        <f t="shared" si="12"/>
        <v>0</v>
      </c>
      <c r="AS76" s="169">
        <f t="shared" si="13"/>
        <v>1</v>
      </c>
      <c r="AT76" s="236"/>
      <c r="AU76" s="346"/>
      <c r="AV76" s="346"/>
      <c r="AW76" s="345"/>
      <c r="AX76" s="345"/>
      <c r="AY76" s="345"/>
      <c r="AZ76" s="345"/>
      <c r="BA76" s="345"/>
      <c r="BB76" s="345"/>
      <c r="BC76" s="237"/>
      <c r="BD76" s="345"/>
      <c r="BE76" s="345"/>
      <c r="BF76" s="438"/>
      <c r="BG76" s="443"/>
      <c r="BH76" s="237"/>
      <c r="BI76" s="237"/>
      <c r="BJ76" s="344">
        <f t="shared" si="16"/>
        <v>0</v>
      </c>
      <c r="BK76" s="237">
        <f t="shared" si="14"/>
        <v>0</v>
      </c>
      <c r="BL76" s="435" t="e">
        <f t="shared" si="15"/>
        <v>#DIV/0!</v>
      </c>
      <c r="BM76" s="192"/>
      <c r="BN76" s="192"/>
      <c r="BO76" s="192"/>
      <c r="BP76" s="192"/>
      <c r="BQ76" s="192"/>
      <c r="BR76" s="192"/>
      <c r="BS76" s="192"/>
      <c r="BT76" s="192"/>
      <c r="BU76" s="192"/>
      <c r="BV76" s="192"/>
      <c r="BW76" s="192"/>
      <c r="BX76" s="192"/>
      <c r="BY76" s="192"/>
      <c r="BZ76" s="192"/>
      <c r="CA76" s="192"/>
      <c r="CB76" s="192"/>
      <c r="CC76" s="192"/>
      <c r="CD76" s="192"/>
    </row>
    <row r="77" spans="1:82" s="25" customFormat="1" x14ac:dyDescent="0.25">
      <c r="A77" s="64">
        <v>117</v>
      </c>
      <c r="B77" s="365" t="s">
        <v>128</v>
      </c>
      <c r="C77" s="64">
        <v>1161</v>
      </c>
      <c r="D77" s="65" t="s">
        <v>122</v>
      </c>
      <c r="E77" s="64">
        <v>1</v>
      </c>
      <c r="F77" s="585"/>
      <c r="G77" s="585"/>
      <c r="H77" s="585"/>
      <c r="I77" s="585"/>
      <c r="J77" s="620"/>
      <c r="K77" s="622"/>
      <c r="L77" s="164" t="s">
        <v>912</v>
      </c>
      <c r="M77" s="164" t="s">
        <v>1134</v>
      </c>
      <c r="N77" s="164" t="s">
        <v>493</v>
      </c>
      <c r="O77" s="259" t="s">
        <v>1391</v>
      </c>
      <c r="P77" s="188" t="s">
        <v>320</v>
      </c>
      <c r="Q77" s="257">
        <v>41855</v>
      </c>
      <c r="R77" s="258">
        <v>41855</v>
      </c>
      <c r="S77" s="258" t="s">
        <v>1390</v>
      </c>
      <c r="T77" s="189" t="s">
        <v>1389</v>
      </c>
      <c r="U77" s="258" t="s">
        <v>418</v>
      </c>
      <c r="V77" s="254" t="s">
        <v>846</v>
      </c>
      <c r="W77" s="178">
        <v>52931830</v>
      </c>
      <c r="X77" s="164" t="s">
        <v>493</v>
      </c>
      <c r="Y77" s="259" t="s">
        <v>1386</v>
      </c>
      <c r="Z77" s="259"/>
      <c r="AA77" s="259">
        <v>702</v>
      </c>
      <c r="AB77" s="175"/>
      <c r="AC77" s="167">
        <v>742</v>
      </c>
      <c r="AD77" s="168">
        <v>1450000</v>
      </c>
      <c r="AE77" s="167"/>
      <c r="AF77" s="167"/>
      <c r="AG77" s="167"/>
      <c r="AH77" s="167"/>
      <c r="AI77" s="167">
        <v>0</v>
      </c>
      <c r="AJ77" s="167">
        <v>0</v>
      </c>
      <c r="AK77" s="167">
        <v>0</v>
      </c>
      <c r="AL77" s="167">
        <v>0</v>
      </c>
      <c r="AM77" s="167">
        <v>0</v>
      </c>
      <c r="AN77" s="167">
        <v>0</v>
      </c>
      <c r="AO77" s="167">
        <v>0</v>
      </c>
      <c r="AP77" s="167">
        <v>1450000</v>
      </c>
      <c r="AQ77" s="168">
        <f t="shared" si="11"/>
        <v>1450000</v>
      </c>
      <c r="AR77" s="168">
        <f t="shared" si="12"/>
        <v>0</v>
      </c>
      <c r="AS77" s="169">
        <f t="shared" si="13"/>
        <v>1</v>
      </c>
      <c r="AT77" s="236"/>
      <c r="AU77" s="346"/>
      <c r="AV77" s="346"/>
      <c r="AW77" s="345"/>
      <c r="AX77" s="345"/>
      <c r="AY77" s="345"/>
      <c r="AZ77" s="345"/>
      <c r="BA77" s="345"/>
      <c r="BB77" s="345"/>
      <c r="BC77" s="237"/>
      <c r="BD77" s="345"/>
      <c r="BE77" s="345"/>
      <c r="BF77" s="438"/>
      <c r="BG77" s="443"/>
      <c r="BH77" s="237"/>
      <c r="BI77" s="237"/>
      <c r="BJ77" s="344">
        <f t="shared" si="16"/>
        <v>0</v>
      </c>
      <c r="BK77" s="237">
        <f t="shared" si="14"/>
        <v>0</v>
      </c>
      <c r="BL77" s="435" t="e">
        <f t="shared" si="15"/>
        <v>#DIV/0!</v>
      </c>
      <c r="BM77" s="192"/>
      <c r="BN77" s="192"/>
      <c r="BO77" s="192"/>
      <c r="BP77" s="192"/>
      <c r="BQ77" s="192"/>
      <c r="BR77" s="192"/>
      <c r="BS77" s="192"/>
      <c r="BT77" s="192"/>
      <c r="BU77" s="192"/>
      <c r="BV77" s="192"/>
      <c r="BW77" s="192"/>
      <c r="BX77" s="192"/>
      <c r="BY77" s="192"/>
      <c r="BZ77" s="192"/>
      <c r="CA77" s="192"/>
      <c r="CB77" s="192"/>
      <c r="CC77" s="192"/>
      <c r="CD77" s="192"/>
    </row>
    <row r="78" spans="1:82" s="25" customFormat="1" x14ac:dyDescent="0.25">
      <c r="A78" s="64">
        <v>117</v>
      </c>
      <c r="B78" s="365" t="s">
        <v>128</v>
      </c>
      <c r="C78" s="64">
        <v>1161</v>
      </c>
      <c r="D78" s="65" t="s">
        <v>122</v>
      </c>
      <c r="E78" s="64">
        <v>1</v>
      </c>
      <c r="F78" s="585"/>
      <c r="G78" s="585"/>
      <c r="H78" s="585"/>
      <c r="I78" s="585"/>
      <c r="J78" s="620"/>
      <c r="K78" s="622"/>
      <c r="L78" s="164" t="s">
        <v>913</v>
      </c>
      <c r="M78" s="164" t="s">
        <v>1134</v>
      </c>
      <c r="N78" s="166" t="s">
        <v>493</v>
      </c>
      <c r="O78" s="258" t="s">
        <v>1381</v>
      </c>
      <c r="P78" s="166" t="s">
        <v>320</v>
      </c>
      <c r="Q78" s="257" t="s">
        <v>914</v>
      </c>
      <c r="R78" s="257" t="s">
        <v>915</v>
      </c>
      <c r="S78" s="258" t="s">
        <v>724</v>
      </c>
      <c r="T78" s="189" t="s">
        <v>916</v>
      </c>
      <c r="U78" s="258" t="s">
        <v>418</v>
      </c>
      <c r="V78" s="189" t="s">
        <v>917</v>
      </c>
      <c r="W78" s="178">
        <v>52931830</v>
      </c>
      <c r="X78" s="166" t="s">
        <v>493</v>
      </c>
      <c r="Y78" s="259" t="s">
        <v>1386</v>
      </c>
      <c r="Z78" s="259"/>
      <c r="AA78" s="259">
        <v>236</v>
      </c>
      <c r="AB78" s="175"/>
      <c r="AC78" s="174">
        <v>526</v>
      </c>
      <c r="AD78" s="175">
        <v>5800000</v>
      </c>
      <c r="AE78" s="174">
        <v>0</v>
      </c>
      <c r="AF78" s="174">
        <v>0</v>
      </c>
      <c r="AG78" s="174">
        <v>0</v>
      </c>
      <c r="AH78" s="174">
        <v>0</v>
      </c>
      <c r="AI78" s="174">
        <v>1450000</v>
      </c>
      <c r="AJ78" s="174">
        <v>2900000</v>
      </c>
      <c r="AK78" s="174">
        <v>0</v>
      </c>
      <c r="AL78" s="174">
        <v>0</v>
      </c>
      <c r="AM78" s="174">
        <v>1450000</v>
      </c>
      <c r="AN78" s="167">
        <v>0</v>
      </c>
      <c r="AO78" s="167">
        <v>0</v>
      </c>
      <c r="AP78" s="167">
        <v>0</v>
      </c>
      <c r="AQ78" s="168">
        <f t="shared" si="11"/>
        <v>5800000</v>
      </c>
      <c r="AR78" s="168">
        <f t="shared" si="12"/>
        <v>0</v>
      </c>
      <c r="AS78" s="169">
        <f t="shared" si="13"/>
        <v>1</v>
      </c>
      <c r="AT78" s="236"/>
      <c r="AU78" s="346"/>
      <c r="AV78" s="346"/>
      <c r="AW78" s="345"/>
      <c r="AX78" s="345"/>
      <c r="AY78" s="345"/>
      <c r="AZ78" s="345"/>
      <c r="BA78" s="345"/>
      <c r="BB78" s="345"/>
      <c r="BC78" s="237"/>
      <c r="BD78" s="345"/>
      <c r="BE78" s="345"/>
      <c r="BF78" s="438"/>
      <c r="BG78" s="443"/>
      <c r="BH78" s="237"/>
      <c r="BI78" s="237"/>
      <c r="BJ78" s="344">
        <f t="shared" si="16"/>
        <v>0</v>
      </c>
      <c r="BK78" s="237">
        <f t="shared" si="14"/>
        <v>0</v>
      </c>
      <c r="BL78" s="435" t="e">
        <f t="shared" si="15"/>
        <v>#DIV/0!</v>
      </c>
      <c r="BM78" s="192"/>
      <c r="BN78" s="192"/>
      <c r="BO78" s="192"/>
      <c r="BP78" s="192"/>
      <c r="BQ78" s="192"/>
      <c r="BR78" s="192"/>
      <c r="BS78" s="192"/>
      <c r="BT78" s="192"/>
      <c r="BU78" s="192"/>
      <c r="BV78" s="192"/>
      <c r="BW78" s="192"/>
      <c r="BX78" s="192"/>
      <c r="BY78" s="192"/>
      <c r="BZ78" s="192"/>
      <c r="CA78" s="192"/>
      <c r="CB78" s="192"/>
      <c r="CC78" s="192"/>
      <c r="CD78" s="192"/>
    </row>
    <row r="79" spans="1:82" s="25" customFormat="1" x14ac:dyDescent="0.25">
      <c r="A79" s="64">
        <v>117</v>
      </c>
      <c r="B79" s="365" t="s">
        <v>128</v>
      </c>
      <c r="C79" s="64">
        <v>1161</v>
      </c>
      <c r="D79" s="65" t="s">
        <v>122</v>
      </c>
      <c r="E79" s="64">
        <v>1</v>
      </c>
      <c r="F79" s="585"/>
      <c r="G79" s="585"/>
      <c r="H79" s="585"/>
      <c r="I79" s="585"/>
      <c r="J79" s="620"/>
      <c r="K79" s="622"/>
      <c r="L79" s="164" t="s">
        <v>918</v>
      </c>
      <c r="M79" s="164" t="s">
        <v>1134</v>
      </c>
      <c r="N79" s="166" t="s">
        <v>493</v>
      </c>
      <c r="O79" s="258" t="s">
        <v>1318</v>
      </c>
      <c r="P79" s="188" t="s">
        <v>320</v>
      </c>
      <c r="Q79" s="258">
        <v>41850</v>
      </c>
      <c r="R79" s="258">
        <v>41850</v>
      </c>
      <c r="S79" s="258" t="s">
        <v>512</v>
      </c>
      <c r="T79" s="188" t="s">
        <v>919</v>
      </c>
      <c r="U79" s="258" t="s">
        <v>418</v>
      </c>
      <c r="V79" s="188" t="s">
        <v>537</v>
      </c>
      <c r="W79" s="178">
        <v>1030535004</v>
      </c>
      <c r="X79" s="164" t="s">
        <v>493</v>
      </c>
      <c r="Y79" s="259" t="s">
        <v>1386</v>
      </c>
      <c r="Z79" s="188"/>
      <c r="AA79" s="174">
        <v>701</v>
      </c>
      <c r="AB79" s="175"/>
      <c r="AC79" s="174">
        <v>721</v>
      </c>
      <c r="AD79" s="175">
        <v>2000000</v>
      </c>
      <c r="AE79" s="174"/>
      <c r="AF79" s="174"/>
      <c r="AG79" s="174"/>
      <c r="AH79" s="174"/>
      <c r="AI79" s="174">
        <v>0</v>
      </c>
      <c r="AJ79" s="174">
        <v>0</v>
      </c>
      <c r="AK79" s="174">
        <v>0</v>
      </c>
      <c r="AL79" s="174">
        <v>0</v>
      </c>
      <c r="AM79" s="174">
        <v>2000000</v>
      </c>
      <c r="AN79" s="167">
        <v>0</v>
      </c>
      <c r="AO79" s="167">
        <v>0</v>
      </c>
      <c r="AP79" s="167">
        <v>0</v>
      </c>
      <c r="AQ79" s="168">
        <f t="shared" si="11"/>
        <v>2000000</v>
      </c>
      <c r="AR79" s="168">
        <f t="shared" si="12"/>
        <v>0</v>
      </c>
      <c r="AS79" s="169">
        <f t="shared" si="13"/>
        <v>1</v>
      </c>
      <c r="AT79" s="236"/>
      <c r="AU79" s="346"/>
      <c r="AV79" s="346"/>
      <c r="AW79" s="345"/>
      <c r="AX79" s="345"/>
      <c r="AY79" s="349"/>
      <c r="AZ79" s="349"/>
      <c r="BA79" s="349"/>
      <c r="BB79" s="345"/>
      <c r="BC79" s="237"/>
      <c r="BD79" s="345"/>
      <c r="BE79" s="345"/>
      <c r="BF79" s="438"/>
      <c r="BG79" s="443"/>
      <c r="BH79" s="237"/>
      <c r="BI79" s="237"/>
      <c r="BJ79" s="344">
        <f t="shared" si="16"/>
        <v>0</v>
      </c>
      <c r="BK79" s="237">
        <f t="shared" si="14"/>
        <v>0</v>
      </c>
      <c r="BL79" s="435" t="e">
        <f t="shared" si="15"/>
        <v>#DIV/0!</v>
      </c>
      <c r="BM79" s="192"/>
      <c r="BN79" s="192"/>
      <c r="BO79" s="192"/>
      <c r="BP79" s="192"/>
      <c r="BQ79" s="192"/>
      <c r="BR79" s="192"/>
      <c r="BS79" s="192"/>
      <c r="BT79" s="192"/>
      <c r="BU79" s="192"/>
      <c r="BV79" s="192"/>
      <c r="BW79" s="192"/>
      <c r="BX79" s="192"/>
      <c r="BY79" s="192"/>
      <c r="BZ79" s="192"/>
      <c r="CA79" s="192"/>
      <c r="CB79" s="192"/>
      <c r="CC79" s="192"/>
      <c r="CD79" s="192"/>
    </row>
    <row r="80" spans="1:82" s="25" customFormat="1" x14ac:dyDescent="0.25">
      <c r="A80" s="64">
        <v>117</v>
      </c>
      <c r="B80" s="365" t="s">
        <v>128</v>
      </c>
      <c r="C80" s="64">
        <v>1161</v>
      </c>
      <c r="D80" s="65" t="s">
        <v>122</v>
      </c>
      <c r="E80" s="64">
        <v>1</v>
      </c>
      <c r="F80" s="585"/>
      <c r="G80" s="585"/>
      <c r="H80" s="585"/>
      <c r="I80" s="585"/>
      <c r="J80" s="620"/>
      <c r="K80" s="622"/>
      <c r="L80" s="164" t="s">
        <v>920</v>
      </c>
      <c r="M80" s="164" t="s">
        <v>1134</v>
      </c>
      <c r="N80" s="166" t="s">
        <v>493</v>
      </c>
      <c r="O80" s="258" t="s">
        <v>1301</v>
      </c>
      <c r="P80" s="188" t="s">
        <v>356</v>
      </c>
      <c r="Q80" s="257">
        <v>41905</v>
      </c>
      <c r="R80" s="257">
        <v>41913</v>
      </c>
      <c r="S80" s="258" t="s">
        <v>310</v>
      </c>
      <c r="T80" s="188" t="s">
        <v>921</v>
      </c>
      <c r="U80" s="258" t="s">
        <v>1287</v>
      </c>
      <c r="V80" s="188" t="s">
        <v>547</v>
      </c>
      <c r="W80" s="178">
        <v>830059289</v>
      </c>
      <c r="X80" s="68" t="s">
        <v>1302</v>
      </c>
      <c r="Y80" s="68" t="s">
        <v>483</v>
      </c>
      <c r="Z80" s="188"/>
      <c r="AA80" s="174">
        <v>723</v>
      </c>
      <c r="AB80" s="175"/>
      <c r="AC80" s="174">
        <v>812</v>
      </c>
      <c r="AD80" s="175">
        <v>32446034</v>
      </c>
      <c r="AE80" s="174"/>
      <c r="AF80" s="174"/>
      <c r="AG80" s="174"/>
      <c r="AH80" s="174"/>
      <c r="AI80" s="174"/>
      <c r="AJ80" s="174"/>
      <c r="AK80" s="174"/>
      <c r="AL80" s="174"/>
      <c r="AM80" s="174"/>
      <c r="AN80" s="167">
        <v>0</v>
      </c>
      <c r="AO80" s="167">
        <v>0</v>
      </c>
      <c r="AP80" s="167">
        <v>12955334</v>
      </c>
      <c r="AQ80" s="168">
        <f t="shared" si="11"/>
        <v>12955334</v>
      </c>
      <c r="AR80" s="168">
        <f t="shared" si="12"/>
        <v>19490700</v>
      </c>
      <c r="AS80" s="169">
        <f t="shared" si="13"/>
        <v>0.3992886773156929</v>
      </c>
      <c r="AT80" s="236"/>
      <c r="AU80" s="346">
        <v>259</v>
      </c>
      <c r="AV80" s="346">
        <v>220</v>
      </c>
      <c r="AW80" s="345">
        <v>19490700</v>
      </c>
      <c r="AX80" s="345">
        <v>0</v>
      </c>
      <c r="AY80" s="349">
        <v>0</v>
      </c>
      <c r="AZ80" s="349">
        <v>0</v>
      </c>
      <c r="BA80" s="349">
        <v>0</v>
      </c>
      <c r="BB80" s="345">
        <v>19365700</v>
      </c>
      <c r="BC80" s="237">
        <v>0</v>
      </c>
      <c r="BD80" s="345"/>
      <c r="BE80" s="345"/>
      <c r="BF80" s="438"/>
      <c r="BG80" s="443"/>
      <c r="BH80" s="237"/>
      <c r="BI80" s="237"/>
      <c r="BJ80" s="344">
        <f t="shared" si="16"/>
        <v>19365700</v>
      </c>
      <c r="BK80" s="237">
        <f t="shared" si="14"/>
        <v>125000</v>
      </c>
      <c r="BL80" s="435">
        <f t="shared" si="15"/>
        <v>0.99358668493178803</v>
      </c>
      <c r="BM80" s="192"/>
      <c r="BN80" s="192"/>
      <c r="BO80" s="192"/>
      <c r="BP80" s="192"/>
      <c r="BQ80" s="192"/>
      <c r="BR80" s="192"/>
      <c r="BS80" s="192"/>
      <c r="BT80" s="192"/>
      <c r="BU80" s="192"/>
      <c r="BV80" s="192"/>
      <c r="BW80" s="192"/>
      <c r="BX80" s="192"/>
      <c r="BY80" s="192"/>
      <c r="BZ80" s="192"/>
      <c r="CA80" s="192"/>
      <c r="CB80" s="192"/>
      <c r="CC80" s="192"/>
      <c r="CD80" s="192"/>
    </row>
    <row r="81" spans="1:82" s="25" customFormat="1" x14ac:dyDescent="0.25">
      <c r="A81" s="64">
        <v>117</v>
      </c>
      <c r="B81" s="365" t="s">
        <v>128</v>
      </c>
      <c r="C81" s="64">
        <v>1161</v>
      </c>
      <c r="D81" s="65" t="s">
        <v>122</v>
      </c>
      <c r="E81" s="64">
        <v>1</v>
      </c>
      <c r="F81" s="585"/>
      <c r="G81" s="585"/>
      <c r="H81" s="585"/>
      <c r="I81" s="585"/>
      <c r="J81" s="620"/>
      <c r="K81" s="622"/>
      <c r="L81" s="164" t="s">
        <v>922</v>
      </c>
      <c r="M81" s="164" t="s">
        <v>1134</v>
      </c>
      <c r="N81" s="166" t="s">
        <v>493</v>
      </c>
      <c r="O81" s="258" t="s">
        <v>1301</v>
      </c>
      <c r="P81" s="188" t="s">
        <v>356</v>
      </c>
      <c r="Q81" s="257">
        <v>41905</v>
      </c>
      <c r="R81" s="257">
        <v>41922</v>
      </c>
      <c r="S81" s="258" t="s">
        <v>378</v>
      </c>
      <c r="T81" s="188" t="s">
        <v>923</v>
      </c>
      <c r="U81" s="258" t="s">
        <v>1287</v>
      </c>
      <c r="V81" s="188" t="s">
        <v>547</v>
      </c>
      <c r="W81" s="178">
        <v>830059289</v>
      </c>
      <c r="X81" s="258" t="s">
        <v>1303</v>
      </c>
      <c r="Y81" s="259" t="s">
        <v>1304</v>
      </c>
      <c r="Z81" s="188"/>
      <c r="AA81" s="174">
        <v>596</v>
      </c>
      <c r="AB81" s="175"/>
      <c r="AC81" s="174">
        <v>813</v>
      </c>
      <c r="AD81" s="175">
        <v>53551000</v>
      </c>
      <c r="AE81" s="174"/>
      <c r="AF81" s="174"/>
      <c r="AG81" s="174"/>
      <c r="AH81" s="174"/>
      <c r="AI81" s="174"/>
      <c r="AJ81" s="174"/>
      <c r="AK81" s="174"/>
      <c r="AL81" s="174"/>
      <c r="AM81" s="174"/>
      <c r="AN81" s="167">
        <v>0</v>
      </c>
      <c r="AO81" s="167">
        <v>0</v>
      </c>
      <c r="AP81" s="167">
        <v>0</v>
      </c>
      <c r="AQ81" s="168">
        <f t="shared" si="11"/>
        <v>0</v>
      </c>
      <c r="AR81" s="168">
        <f t="shared" si="12"/>
        <v>53551000</v>
      </c>
      <c r="AS81" s="169">
        <f t="shared" si="13"/>
        <v>0</v>
      </c>
      <c r="AT81" s="236"/>
      <c r="AU81" s="346">
        <v>260</v>
      </c>
      <c r="AV81" s="346">
        <v>221</v>
      </c>
      <c r="AW81" s="345">
        <v>53551000</v>
      </c>
      <c r="AX81" s="345">
        <v>0</v>
      </c>
      <c r="AY81" s="349">
        <v>0</v>
      </c>
      <c r="AZ81" s="349">
        <v>53551000</v>
      </c>
      <c r="BA81" s="349">
        <v>0</v>
      </c>
      <c r="BB81" s="345">
        <v>0</v>
      </c>
      <c r="BC81" s="237">
        <v>0</v>
      </c>
      <c r="BD81" s="345"/>
      <c r="BE81" s="345"/>
      <c r="BF81" s="438"/>
      <c r="BG81" s="443"/>
      <c r="BH81" s="237"/>
      <c r="BI81" s="237"/>
      <c r="BJ81" s="344">
        <f t="shared" si="16"/>
        <v>53551000</v>
      </c>
      <c r="BK81" s="237">
        <f t="shared" si="14"/>
        <v>0</v>
      </c>
      <c r="BL81" s="435">
        <f t="shared" si="15"/>
        <v>1</v>
      </c>
      <c r="BM81" s="192"/>
      <c r="BN81" s="192"/>
      <c r="BO81" s="192"/>
      <c r="BP81" s="192"/>
      <c r="BQ81" s="192"/>
      <c r="BR81" s="192"/>
      <c r="BS81" s="192"/>
      <c r="BT81" s="192"/>
      <c r="BU81" s="192"/>
      <c r="BV81" s="192"/>
      <c r="BW81" s="192"/>
      <c r="BX81" s="192"/>
      <c r="BY81" s="192"/>
      <c r="BZ81" s="192"/>
      <c r="CA81" s="192"/>
      <c r="CB81" s="192"/>
      <c r="CC81" s="192"/>
      <c r="CD81" s="192"/>
    </row>
    <row r="82" spans="1:82" s="25" customFormat="1" x14ac:dyDescent="0.25">
      <c r="A82" s="64">
        <v>117</v>
      </c>
      <c r="B82" s="365" t="s">
        <v>128</v>
      </c>
      <c r="C82" s="64">
        <v>1161</v>
      </c>
      <c r="D82" s="65" t="s">
        <v>122</v>
      </c>
      <c r="E82" s="64">
        <v>1</v>
      </c>
      <c r="F82" s="585"/>
      <c r="G82" s="585"/>
      <c r="H82" s="585"/>
      <c r="I82" s="585"/>
      <c r="J82" s="620"/>
      <c r="K82" s="622"/>
      <c r="L82" s="164" t="s">
        <v>924</v>
      </c>
      <c r="M82" s="164" t="s">
        <v>1134</v>
      </c>
      <c r="N82" s="166" t="s">
        <v>493</v>
      </c>
      <c r="O82" s="258" t="s">
        <v>1301</v>
      </c>
      <c r="P82" s="188" t="s">
        <v>320</v>
      </c>
      <c r="Q82" s="257">
        <v>41921</v>
      </c>
      <c r="R82" s="257">
        <v>41922</v>
      </c>
      <c r="S82" s="258" t="s">
        <v>378</v>
      </c>
      <c r="T82" s="188" t="s">
        <v>925</v>
      </c>
      <c r="U82" s="258" t="s">
        <v>418</v>
      </c>
      <c r="V82" s="188" t="s">
        <v>515</v>
      </c>
      <c r="W82" s="178">
        <v>80123303</v>
      </c>
      <c r="X82" s="259" t="s">
        <v>361</v>
      </c>
      <c r="Y82" s="259" t="s">
        <v>1304</v>
      </c>
      <c r="Z82" s="188"/>
      <c r="AA82" s="174">
        <v>769</v>
      </c>
      <c r="AB82" s="175"/>
      <c r="AC82" s="174">
        <v>836</v>
      </c>
      <c r="AD82" s="175">
        <v>3000000</v>
      </c>
      <c r="AE82" s="174"/>
      <c r="AF82" s="174"/>
      <c r="AG82" s="174"/>
      <c r="AH82" s="174"/>
      <c r="AI82" s="174"/>
      <c r="AJ82" s="174"/>
      <c r="AK82" s="174"/>
      <c r="AL82" s="174"/>
      <c r="AM82" s="174"/>
      <c r="AN82" s="167">
        <v>0</v>
      </c>
      <c r="AO82" s="167">
        <v>0</v>
      </c>
      <c r="AP82" s="167">
        <v>1500000</v>
      </c>
      <c r="AQ82" s="168">
        <f t="shared" si="11"/>
        <v>1500000</v>
      </c>
      <c r="AR82" s="168">
        <f t="shared" si="12"/>
        <v>1500000</v>
      </c>
      <c r="AS82" s="169">
        <f t="shared" si="13"/>
        <v>0.5</v>
      </c>
      <c r="AT82" s="236"/>
      <c r="AU82" s="346">
        <v>266</v>
      </c>
      <c r="AV82" s="346">
        <v>227</v>
      </c>
      <c r="AW82" s="345">
        <v>1500000</v>
      </c>
      <c r="AX82" s="345">
        <v>0</v>
      </c>
      <c r="AY82" s="349">
        <v>0</v>
      </c>
      <c r="AZ82" s="349">
        <v>1500000</v>
      </c>
      <c r="BA82" s="349">
        <v>0</v>
      </c>
      <c r="BB82" s="345">
        <v>0</v>
      </c>
      <c r="BC82" s="237">
        <v>0</v>
      </c>
      <c r="BD82" s="345"/>
      <c r="BE82" s="345"/>
      <c r="BF82" s="438"/>
      <c r="BG82" s="443"/>
      <c r="BH82" s="237"/>
      <c r="BI82" s="237"/>
      <c r="BJ82" s="344">
        <f t="shared" si="16"/>
        <v>1500000</v>
      </c>
      <c r="BK82" s="237">
        <f t="shared" si="14"/>
        <v>0</v>
      </c>
      <c r="BL82" s="435">
        <f t="shared" si="15"/>
        <v>1</v>
      </c>
      <c r="BM82" s="192"/>
      <c r="BN82" s="192"/>
      <c r="BO82" s="192"/>
      <c r="BP82" s="192"/>
      <c r="BQ82" s="192"/>
      <c r="BR82" s="192"/>
      <c r="BS82" s="192"/>
      <c r="BT82" s="192"/>
      <c r="BU82" s="192"/>
      <c r="BV82" s="192"/>
      <c r="BW82" s="192"/>
      <c r="BX82" s="192"/>
      <c r="BY82" s="192"/>
      <c r="BZ82" s="192"/>
      <c r="CA82" s="192"/>
      <c r="CB82" s="192"/>
      <c r="CC82" s="192"/>
      <c r="CD82" s="192"/>
    </row>
    <row r="83" spans="1:82" s="25" customFormat="1" x14ac:dyDescent="0.25">
      <c r="A83" s="64">
        <v>117</v>
      </c>
      <c r="B83" s="365" t="s">
        <v>128</v>
      </c>
      <c r="C83" s="64">
        <v>1161</v>
      </c>
      <c r="D83" s="65" t="s">
        <v>122</v>
      </c>
      <c r="E83" s="64">
        <v>1</v>
      </c>
      <c r="F83" s="585"/>
      <c r="G83" s="585"/>
      <c r="H83" s="585"/>
      <c r="I83" s="585"/>
      <c r="J83" s="620"/>
      <c r="K83" s="622"/>
      <c r="L83" s="164" t="s">
        <v>926</v>
      </c>
      <c r="M83" s="164" t="s">
        <v>1134</v>
      </c>
      <c r="N83" s="166" t="s">
        <v>493</v>
      </c>
      <c r="O83" s="258" t="s">
        <v>1305</v>
      </c>
      <c r="P83" s="188" t="s">
        <v>400</v>
      </c>
      <c r="Q83" s="257">
        <v>41963</v>
      </c>
      <c r="R83" s="257">
        <v>41978</v>
      </c>
      <c r="S83" s="258" t="s">
        <v>378</v>
      </c>
      <c r="T83" s="188" t="s">
        <v>927</v>
      </c>
      <c r="U83" s="258" t="s">
        <v>506</v>
      </c>
      <c r="V83" s="188" t="s">
        <v>507</v>
      </c>
      <c r="W83" s="178">
        <v>900093799</v>
      </c>
      <c r="X83" s="258" t="s">
        <v>1306</v>
      </c>
      <c r="Y83" s="258" t="s">
        <v>1307</v>
      </c>
      <c r="Z83" s="188"/>
      <c r="AA83" s="174">
        <v>813</v>
      </c>
      <c r="AB83" s="175"/>
      <c r="AC83" s="174">
        <v>886</v>
      </c>
      <c r="AD83" s="175">
        <v>31940000</v>
      </c>
      <c r="AE83" s="174"/>
      <c r="AF83" s="174"/>
      <c r="AG83" s="174"/>
      <c r="AH83" s="174"/>
      <c r="AI83" s="174"/>
      <c r="AJ83" s="174"/>
      <c r="AK83" s="174"/>
      <c r="AL83" s="174"/>
      <c r="AM83" s="174"/>
      <c r="AN83" s="167">
        <v>0</v>
      </c>
      <c r="AO83" s="167">
        <v>0</v>
      </c>
      <c r="AP83" s="167">
        <v>0</v>
      </c>
      <c r="AQ83" s="168">
        <f t="shared" si="11"/>
        <v>0</v>
      </c>
      <c r="AR83" s="168">
        <f t="shared" si="12"/>
        <v>31940000</v>
      </c>
      <c r="AS83" s="169">
        <f t="shared" si="13"/>
        <v>0</v>
      </c>
      <c r="AT83" s="236"/>
      <c r="AU83" s="346">
        <v>288</v>
      </c>
      <c r="AV83" s="346">
        <v>370</v>
      </c>
      <c r="AW83" s="345">
        <v>31940000</v>
      </c>
      <c r="AX83" s="345">
        <v>0</v>
      </c>
      <c r="AY83" s="349">
        <v>0</v>
      </c>
      <c r="AZ83" s="349">
        <v>31104000</v>
      </c>
      <c r="BA83" s="349">
        <v>0</v>
      </c>
      <c r="BB83" s="345">
        <v>0</v>
      </c>
      <c r="BC83" s="237">
        <v>836000</v>
      </c>
      <c r="BD83" s="345"/>
      <c r="BE83" s="345"/>
      <c r="BF83" s="438"/>
      <c r="BG83" s="443"/>
      <c r="BH83" s="237"/>
      <c r="BI83" s="237"/>
      <c r="BJ83" s="344">
        <f t="shared" si="16"/>
        <v>31940000</v>
      </c>
      <c r="BK83" s="237">
        <f t="shared" si="14"/>
        <v>0</v>
      </c>
      <c r="BL83" s="435">
        <f t="shared" si="15"/>
        <v>1</v>
      </c>
      <c r="BM83" s="192"/>
      <c r="BN83" s="192"/>
      <c r="BO83" s="192"/>
      <c r="BP83" s="192"/>
      <c r="BQ83" s="192"/>
      <c r="BR83" s="192"/>
      <c r="BS83" s="192"/>
      <c r="BT83" s="192"/>
      <c r="BU83" s="192"/>
      <c r="BV83" s="192"/>
      <c r="BW83" s="192"/>
      <c r="BX83" s="192"/>
      <c r="BY83" s="192"/>
      <c r="BZ83" s="192"/>
      <c r="CA83" s="192"/>
      <c r="CB83" s="192"/>
      <c r="CC83" s="192"/>
      <c r="CD83" s="192"/>
    </row>
    <row r="84" spans="1:82" s="25" customFormat="1" x14ac:dyDescent="0.25">
      <c r="A84" s="64">
        <v>117</v>
      </c>
      <c r="B84" s="365" t="s">
        <v>128</v>
      </c>
      <c r="C84" s="64">
        <v>1161</v>
      </c>
      <c r="D84" s="65" t="s">
        <v>122</v>
      </c>
      <c r="E84" s="64">
        <v>1</v>
      </c>
      <c r="F84" s="585"/>
      <c r="G84" s="585"/>
      <c r="H84" s="585"/>
      <c r="I84" s="585"/>
      <c r="J84" s="620"/>
      <c r="K84" s="622"/>
      <c r="L84" s="164" t="s">
        <v>928</v>
      </c>
      <c r="M84" s="164" t="s">
        <v>1134</v>
      </c>
      <c r="N84" s="166" t="s">
        <v>493</v>
      </c>
      <c r="O84" s="258" t="s">
        <v>1305</v>
      </c>
      <c r="P84" s="188" t="s">
        <v>320</v>
      </c>
      <c r="Q84" s="257">
        <v>41963</v>
      </c>
      <c r="R84" s="258">
        <v>41978</v>
      </c>
      <c r="S84" s="258" t="s">
        <v>1308</v>
      </c>
      <c r="T84" s="188" t="s">
        <v>929</v>
      </c>
      <c r="U84" s="258" t="s">
        <v>1300</v>
      </c>
      <c r="V84" s="188" t="s">
        <v>515</v>
      </c>
      <c r="W84" s="178">
        <v>80123303</v>
      </c>
      <c r="X84" s="259" t="s">
        <v>361</v>
      </c>
      <c r="Y84" s="258" t="s">
        <v>1299</v>
      </c>
      <c r="Z84" s="188"/>
      <c r="AA84" s="174">
        <v>819</v>
      </c>
      <c r="AB84" s="175"/>
      <c r="AC84" s="174">
        <v>921</v>
      </c>
      <c r="AD84" s="175">
        <v>3060000</v>
      </c>
      <c r="AE84" s="174"/>
      <c r="AF84" s="174"/>
      <c r="AG84" s="174"/>
      <c r="AH84" s="174"/>
      <c r="AI84" s="174"/>
      <c r="AJ84" s="174"/>
      <c r="AK84" s="174"/>
      <c r="AL84" s="174"/>
      <c r="AM84" s="174"/>
      <c r="AN84" s="167">
        <v>0</v>
      </c>
      <c r="AO84" s="167">
        <v>0</v>
      </c>
      <c r="AP84" s="167">
        <v>0</v>
      </c>
      <c r="AQ84" s="168">
        <f t="shared" si="11"/>
        <v>0</v>
      </c>
      <c r="AR84" s="168">
        <f t="shared" si="12"/>
        <v>3060000</v>
      </c>
      <c r="AS84" s="169">
        <f t="shared" si="13"/>
        <v>0</v>
      </c>
      <c r="AT84" s="236"/>
      <c r="AU84" s="346">
        <v>304</v>
      </c>
      <c r="AV84" s="346">
        <v>260</v>
      </c>
      <c r="AW84" s="345">
        <v>3060000</v>
      </c>
      <c r="AX84" s="345">
        <v>0</v>
      </c>
      <c r="AY84" s="349">
        <v>1530000</v>
      </c>
      <c r="AZ84" s="349">
        <v>1530000</v>
      </c>
      <c r="BA84" s="349">
        <v>0</v>
      </c>
      <c r="BB84" s="345">
        <v>0</v>
      </c>
      <c r="BC84" s="237">
        <v>0</v>
      </c>
      <c r="BD84" s="345"/>
      <c r="BE84" s="345"/>
      <c r="BF84" s="438"/>
      <c r="BG84" s="443"/>
      <c r="BH84" s="237"/>
      <c r="BI84" s="237"/>
      <c r="BJ84" s="344">
        <f t="shared" si="16"/>
        <v>3060000</v>
      </c>
      <c r="BK84" s="237">
        <f t="shared" si="14"/>
        <v>0</v>
      </c>
      <c r="BL84" s="435">
        <f t="shared" si="15"/>
        <v>1</v>
      </c>
      <c r="BM84" s="192"/>
      <c r="BN84" s="192"/>
      <c r="BO84" s="192"/>
      <c r="BP84" s="192"/>
      <c r="BQ84" s="192"/>
      <c r="BR84" s="192"/>
      <c r="BS84" s="192"/>
      <c r="BT84" s="192"/>
      <c r="BU84" s="192"/>
      <c r="BV84" s="192"/>
      <c r="BW84" s="192"/>
      <c r="BX84" s="192"/>
      <c r="BY84" s="192"/>
      <c r="BZ84" s="192"/>
      <c r="CA84" s="192"/>
      <c r="CB84" s="192"/>
      <c r="CC84" s="192"/>
      <c r="CD84" s="192"/>
    </row>
    <row r="85" spans="1:82" s="25" customFormat="1" x14ac:dyDescent="0.25">
      <c r="A85" s="64">
        <v>117</v>
      </c>
      <c r="B85" s="365" t="s">
        <v>128</v>
      </c>
      <c r="C85" s="64">
        <v>1161</v>
      </c>
      <c r="D85" s="65" t="s">
        <v>122</v>
      </c>
      <c r="E85" s="64">
        <v>1</v>
      </c>
      <c r="F85" s="585"/>
      <c r="G85" s="585"/>
      <c r="H85" s="585"/>
      <c r="I85" s="585"/>
      <c r="J85" s="620"/>
      <c r="K85" s="622"/>
      <c r="L85" s="164" t="s">
        <v>930</v>
      </c>
      <c r="M85" s="164" t="s">
        <v>1134</v>
      </c>
      <c r="N85" s="166" t="s">
        <v>493</v>
      </c>
      <c r="O85" s="258" t="s">
        <v>1305</v>
      </c>
      <c r="P85" s="188" t="s">
        <v>400</v>
      </c>
      <c r="Q85" s="257">
        <v>41976</v>
      </c>
      <c r="R85" s="258">
        <v>41987</v>
      </c>
      <c r="S85" s="258" t="s">
        <v>512</v>
      </c>
      <c r="T85" s="188" t="s">
        <v>931</v>
      </c>
      <c r="U85" s="258" t="s">
        <v>1287</v>
      </c>
      <c r="V85" s="188" t="s">
        <v>932</v>
      </c>
      <c r="W85" s="178">
        <v>900140515</v>
      </c>
      <c r="X85" s="258" t="s">
        <v>1309</v>
      </c>
      <c r="Y85" s="258" t="s">
        <v>483</v>
      </c>
      <c r="Z85" s="188"/>
      <c r="AA85" s="174">
        <v>832</v>
      </c>
      <c r="AB85" s="175"/>
      <c r="AC85" s="174">
        <v>923</v>
      </c>
      <c r="AD85" s="175">
        <v>70000000</v>
      </c>
      <c r="AE85" s="174"/>
      <c r="AF85" s="174"/>
      <c r="AG85" s="174"/>
      <c r="AH85" s="174"/>
      <c r="AI85" s="174"/>
      <c r="AJ85" s="174"/>
      <c r="AK85" s="174"/>
      <c r="AL85" s="174"/>
      <c r="AM85" s="174"/>
      <c r="AN85" s="167">
        <v>0</v>
      </c>
      <c r="AO85" s="167">
        <v>0</v>
      </c>
      <c r="AP85" s="167">
        <v>0</v>
      </c>
      <c r="AQ85" s="168">
        <f t="shared" si="11"/>
        <v>0</v>
      </c>
      <c r="AR85" s="168">
        <f t="shared" si="12"/>
        <v>70000000</v>
      </c>
      <c r="AS85" s="169">
        <f t="shared" si="13"/>
        <v>0</v>
      </c>
      <c r="AT85" s="236"/>
      <c r="AU85" s="346">
        <v>305</v>
      </c>
      <c r="AV85" s="346">
        <v>328</v>
      </c>
      <c r="AW85" s="345">
        <v>70000000</v>
      </c>
      <c r="AX85" s="345">
        <v>0</v>
      </c>
      <c r="AY85" s="349">
        <v>70000000</v>
      </c>
      <c r="AZ85" s="349">
        <v>0</v>
      </c>
      <c r="BA85" s="349">
        <v>0</v>
      </c>
      <c r="BB85" s="345">
        <v>0</v>
      </c>
      <c r="BC85" s="237">
        <v>0</v>
      </c>
      <c r="BD85" s="345"/>
      <c r="BE85" s="345"/>
      <c r="BF85" s="438"/>
      <c r="BG85" s="443"/>
      <c r="BH85" s="237"/>
      <c r="BI85" s="237"/>
      <c r="BJ85" s="344">
        <f t="shared" si="16"/>
        <v>70000000</v>
      </c>
      <c r="BK85" s="237">
        <f t="shared" si="14"/>
        <v>0</v>
      </c>
      <c r="BL85" s="435">
        <f t="shared" si="15"/>
        <v>1</v>
      </c>
      <c r="BM85" s="192"/>
      <c r="BN85" s="192"/>
      <c r="BO85" s="192"/>
      <c r="BP85" s="192"/>
      <c r="BQ85" s="192"/>
      <c r="BR85" s="192"/>
      <c r="BS85" s="192"/>
      <c r="BT85" s="192"/>
      <c r="BU85" s="192"/>
      <c r="BV85" s="192"/>
      <c r="BW85" s="192"/>
      <c r="BX85" s="192"/>
      <c r="BY85" s="192"/>
      <c r="BZ85" s="192"/>
      <c r="CA85" s="192"/>
      <c r="CB85" s="192"/>
      <c r="CC85" s="192"/>
      <c r="CD85" s="192"/>
    </row>
    <row r="86" spans="1:82" s="25" customFormat="1" x14ac:dyDescent="0.25">
      <c r="A86" s="64">
        <v>117</v>
      </c>
      <c r="B86" s="365" t="s">
        <v>128</v>
      </c>
      <c r="C86" s="64">
        <v>1161</v>
      </c>
      <c r="D86" s="65" t="s">
        <v>122</v>
      </c>
      <c r="E86" s="64">
        <v>1</v>
      </c>
      <c r="F86" s="585"/>
      <c r="G86" s="585"/>
      <c r="H86" s="585"/>
      <c r="I86" s="585"/>
      <c r="J86" s="620"/>
      <c r="K86" s="622"/>
      <c r="L86" s="164" t="s">
        <v>933</v>
      </c>
      <c r="M86" s="164" t="s">
        <v>1134</v>
      </c>
      <c r="N86" s="166" t="s">
        <v>493</v>
      </c>
      <c r="O86" s="258" t="s">
        <v>1305</v>
      </c>
      <c r="P86" s="188" t="s">
        <v>400</v>
      </c>
      <c r="Q86" s="257">
        <v>41983</v>
      </c>
      <c r="R86" s="258">
        <v>41988</v>
      </c>
      <c r="S86" s="258" t="s">
        <v>310</v>
      </c>
      <c r="T86" s="188" t="s">
        <v>934</v>
      </c>
      <c r="U86" s="258" t="s">
        <v>1291</v>
      </c>
      <c r="V86" s="188" t="s">
        <v>529</v>
      </c>
      <c r="W86" s="178">
        <v>900164390</v>
      </c>
      <c r="X86" s="258" t="s">
        <v>1310</v>
      </c>
      <c r="Y86" s="258" t="s">
        <v>1307</v>
      </c>
      <c r="Z86" s="188"/>
      <c r="AA86" s="174">
        <v>858</v>
      </c>
      <c r="AB86" s="175"/>
      <c r="AC86" s="174">
        <v>934</v>
      </c>
      <c r="AD86" s="175">
        <v>153998000</v>
      </c>
      <c r="AE86" s="174"/>
      <c r="AF86" s="174"/>
      <c r="AG86" s="174"/>
      <c r="AH86" s="174"/>
      <c r="AI86" s="174"/>
      <c r="AJ86" s="174"/>
      <c r="AK86" s="174"/>
      <c r="AL86" s="174"/>
      <c r="AM86" s="174"/>
      <c r="AN86" s="167">
        <v>0</v>
      </c>
      <c r="AO86" s="167">
        <v>0</v>
      </c>
      <c r="AP86" s="167">
        <v>0</v>
      </c>
      <c r="AQ86" s="168">
        <f t="shared" si="11"/>
        <v>0</v>
      </c>
      <c r="AR86" s="168">
        <f t="shared" si="12"/>
        <v>153998000</v>
      </c>
      <c r="AS86" s="169">
        <f t="shared" si="13"/>
        <v>0</v>
      </c>
      <c r="AT86" s="236"/>
      <c r="AU86" s="346">
        <v>311</v>
      </c>
      <c r="AV86" s="346">
        <v>363</v>
      </c>
      <c r="AW86" s="345">
        <v>153998000</v>
      </c>
      <c r="AX86" s="345">
        <v>0</v>
      </c>
      <c r="AY86" s="349">
        <v>0</v>
      </c>
      <c r="AZ86" s="349">
        <v>153786000</v>
      </c>
      <c r="BA86" s="349">
        <v>0</v>
      </c>
      <c r="BB86" s="345">
        <v>0</v>
      </c>
      <c r="BC86" s="237">
        <v>0</v>
      </c>
      <c r="BD86" s="345"/>
      <c r="BE86" s="345"/>
      <c r="BF86" s="438"/>
      <c r="BG86" s="443"/>
      <c r="BH86" s="237"/>
      <c r="BI86" s="237"/>
      <c r="BJ86" s="344">
        <f t="shared" si="16"/>
        <v>153786000</v>
      </c>
      <c r="BK86" s="237">
        <f t="shared" si="14"/>
        <v>212000</v>
      </c>
      <c r="BL86" s="435">
        <f t="shared" si="15"/>
        <v>0.99862335874491881</v>
      </c>
      <c r="BM86" s="192"/>
      <c r="BN86" s="192"/>
      <c r="BO86" s="192"/>
      <c r="BP86" s="192"/>
      <c r="BQ86" s="192"/>
      <c r="BR86" s="192"/>
      <c r="BS86" s="192"/>
      <c r="BT86" s="192"/>
      <c r="BU86" s="192"/>
      <c r="BV86" s="192"/>
      <c r="BW86" s="192"/>
      <c r="BX86" s="192"/>
      <c r="BY86" s="192"/>
      <c r="BZ86" s="192"/>
      <c r="CA86" s="192"/>
      <c r="CB86" s="192"/>
      <c r="CC86" s="192"/>
      <c r="CD86" s="192"/>
    </row>
    <row r="87" spans="1:82" s="25" customFormat="1" x14ac:dyDescent="0.25">
      <c r="A87" s="64">
        <v>117</v>
      </c>
      <c r="B87" s="365" t="s">
        <v>128</v>
      </c>
      <c r="C87" s="64">
        <v>1161</v>
      </c>
      <c r="D87" s="65" t="s">
        <v>122</v>
      </c>
      <c r="E87" s="64">
        <v>1</v>
      </c>
      <c r="F87" s="585"/>
      <c r="G87" s="585"/>
      <c r="H87" s="585"/>
      <c r="I87" s="585"/>
      <c r="J87" s="620"/>
      <c r="K87" s="622"/>
      <c r="L87" s="164" t="s">
        <v>935</v>
      </c>
      <c r="M87" s="164" t="s">
        <v>1134</v>
      </c>
      <c r="N87" s="166" t="s">
        <v>493</v>
      </c>
      <c r="O87" s="258" t="s">
        <v>1301</v>
      </c>
      <c r="P87" s="188" t="s">
        <v>356</v>
      </c>
      <c r="Q87" s="257">
        <v>41989</v>
      </c>
      <c r="R87" s="258">
        <v>42023</v>
      </c>
      <c r="S87" s="258" t="s">
        <v>724</v>
      </c>
      <c r="T87" s="188" t="s">
        <v>936</v>
      </c>
      <c r="U87" s="258" t="s">
        <v>1287</v>
      </c>
      <c r="V87" s="188" t="s">
        <v>937</v>
      </c>
      <c r="W87" s="178">
        <v>830508178</v>
      </c>
      <c r="X87" s="258" t="s">
        <v>1311</v>
      </c>
      <c r="Y87" s="258" t="s">
        <v>1307</v>
      </c>
      <c r="Z87" s="188"/>
      <c r="AA87" s="174">
        <v>815</v>
      </c>
      <c r="AB87" s="175"/>
      <c r="AC87" s="174">
        <v>949</v>
      </c>
      <c r="AD87" s="175">
        <v>87452000</v>
      </c>
      <c r="AE87" s="174"/>
      <c r="AF87" s="174"/>
      <c r="AG87" s="174"/>
      <c r="AH87" s="174"/>
      <c r="AI87" s="174"/>
      <c r="AJ87" s="174"/>
      <c r="AK87" s="174"/>
      <c r="AL87" s="174"/>
      <c r="AM87" s="174"/>
      <c r="AN87" s="167">
        <v>0</v>
      </c>
      <c r="AO87" s="167">
        <v>0</v>
      </c>
      <c r="AP87" s="167">
        <v>0</v>
      </c>
      <c r="AQ87" s="168">
        <f t="shared" si="11"/>
        <v>0</v>
      </c>
      <c r="AR87" s="168">
        <f t="shared" si="12"/>
        <v>87452000</v>
      </c>
      <c r="AS87" s="169">
        <f t="shared" si="13"/>
        <v>0</v>
      </c>
      <c r="AT87" s="236"/>
      <c r="AU87" s="346">
        <v>319</v>
      </c>
      <c r="AV87" s="346">
        <v>273</v>
      </c>
      <c r="AW87" s="345">
        <v>87452000</v>
      </c>
      <c r="AX87" s="345">
        <v>0</v>
      </c>
      <c r="AY87" s="349">
        <v>0</v>
      </c>
      <c r="AZ87" s="349">
        <v>34980800</v>
      </c>
      <c r="BA87" s="349">
        <v>0</v>
      </c>
      <c r="BB87" s="345">
        <v>4530217</v>
      </c>
      <c r="BC87" s="345">
        <v>47460983</v>
      </c>
      <c r="BD87" s="345"/>
      <c r="BE87" s="345"/>
      <c r="BF87" s="438"/>
      <c r="BG87" s="443"/>
      <c r="BH87" s="237"/>
      <c r="BI87" s="237"/>
      <c r="BJ87" s="344">
        <f t="shared" si="16"/>
        <v>86972000</v>
      </c>
      <c r="BK87" s="237">
        <f t="shared" si="14"/>
        <v>480000</v>
      </c>
      <c r="BL87" s="435">
        <f t="shared" si="15"/>
        <v>0.99451127475643786</v>
      </c>
      <c r="BM87" s="192"/>
      <c r="BN87" s="192"/>
      <c r="BO87" s="192"/>
      <c r="BP87" s="192"/>
      <c r="BQ87" s="192"/>
      <c r="BR87" s="192"/>
      <c r="BS87" s="192"/>
      <c r="BT87" s="192"/>
      <c r="BU87" s="192"/>
      <c r="BV87" s="192"/>
      <c r="BW87" s="192"/>
      <c r="BX87" s="192"/>
      <c r="BY87" s="192"/>
      <c r="BZ87" s="192"/>
      <c r="CA87" s="192"/>
      <c r="CB87" s="192"/>
      <c r="CC87" s="192"/>
      <c r="CD87" s="192"/>
    </row>
    <row r="88" spans="1:82" s="25" customFormat="1" x14ac:dyDescent="0.25">
      <c r="A88" s="64">
        <v>117</v>
      </c>
      <c r="B88" s="365" t="s">
        <v>128</v>
      </c>
      <c r="C88" s="64">
        <v>1161</v>
      </c>
      <c r="D88" s="65" t="s">
        <v>122</v>
      </c>
      <c r="E88" s="64">
        <v>1</v>
      </c>
      <c r="F88" s="585"/>
      <c r="G88" s="585"/>
      <c r="H88" s="585"/>
      <c r="I88" s="585"/>
      <c r="J88" s="620"/>
      <c r="K88" s="622"/>
      <c r="L88" s="164" t="s">
        <v>938</v>
      </c>
      <c r="M88" s="164" t="s">
        <v>1134</v>
      </c>
      <c r="N88" s="166" t="s">
        <v>493</v>
      </c>
      <c r="O88" s="258" t="s">
        <v>1305</v>
      </c>
      <c r="P88" s="188" t="s">
        <v>400</v>
      </c>
      <c r="Q88" s="257">
        <v>41990</v>
      </c>
      <c r="R88" s="258">
        <v>42061</v>
      </c>
      <c r="S88" s="258" t="s">
        <v>378</v>
      </c>
      <c r="T88" s="188" t="s">
        <v>939</v>
      </c>
      <c r="U88" s="258" t="s">
        <v>1287</v>
      </c>
      <c r="V88" s="188" t="s">
        <v>415</v>
      </c>
      <c r="W88" s="178">
        <v>900320309</v>
      </c>
      <c r="X88" s="258" t="s">
        <v>1312</v>
      </c>
      <c r="Y88" s="258" t="s">
        <v>1307</v>
      </c>
      <c r="Z88" s="188"/>
      <c r="AA88" s="174">
        <v>770</v>
      </c>
      <c r="AB88" s="175"/>
      <c r="AC88" s="174">
        <v>950</v>
      </c>
      <c r="AD88" s="175">
        <v>46037750</v>
      </c>
      <c r="AE88" s="174"/>
      <c r="AF88" s="174"/>
      <c r="AG88" s="174"/>
      <c r="AH88" s="174"/>
      <c r="AI88" s="174"/>
      <c r="AJ88" s="174"/>
      <c r="AK88" s="174"/>
      <c r="AL88" s="174"/>
      <c r="AM88" s="174"/>
      <c r="AN88" s="167">
        <v>0</v>
      </c>
      <c r="AO88" s="167">
        <v>0</v>
      </c>
      <c r="AP88" s="167">
        <v>0</v>
      </c>
      <c r="AQ88" s="168">
        <f t="shared" si="11"/>
        <v>0</v>
      </c>
      <c r="AR88" s="168">
        <f t="shared" si="12"/>
        <v>46037750</v>
      </c>
      <c r="AS88" s="169">
        <f t="shared" si="13"/>
        <v>0</v>
      </c>
      <c r="AT88" s="236"/>
      <c r="AU88" s="346">
        <v>320</v>
      </c>
      <c r="AV88" s="346">
        <v>375</v>
      </c>
      <c r="AW88" s="345">
        <v>46037750</v>
      </c>
      <c r="AX88" s="345">
        <v>0</v>
      </c>
      <c r="AY88" s="349">
        <v>0</v>
      </c>
      <c r="AZ88" s="349">
        <v>0</v>
      </c>
      <c r="BA88" s="349">
        <v>0</v>
      </c>
      <c r="BB88" s="345">
        <v>0</v>
      </c>
      <c r="BC88" s="237">
        <v>0</v>
      </c>
      <c r="BD88" s="345"/>
      <c r="BE88" s="345">
        <v>3500000</v>
      </c>
      <c r="BF88" s="438"/>
      <c r="BG88" s="447">
        <v>42537750</v>
      </c>
      <c r="BH88" s="237"/>
      <c r="BI88" s="237"/>
      <c r="BJ88" s="344">
        <f t="shared" si="16"/>
        <v>46037750</v>
      </c>
      <c r="BK88" s="237">
        <f t="shared" si="14"/>
        <v>0</v>
      </c>
      <c r="BL88" s="435">
        <f t="shared" si="15"/>
        <v>1</v>
      </c>
      <c r="BM88" s="192"/>
      <c r="BN88" s="192"/>
      <c r="BO88" s="192"/>
      <c r="BP88" s="192"/>
      <c r="BQ88" s="192"/>
      <c r="BR88" s="192"/>
      <c r="BS88" s="192"/>
      <c r="BT88" s="192"/>
      <c r="BU88" s="192"/>
      <c r="BV88" s="192"/>
      <c r="BW88" s="192"/>
      <c r="BX88" s="192"/>
      <c r="BY88" s="192"/>
      <c r="BZ88" s="192"/>
      <c r="CA88" s="192"/>
      <c r="CB88" s="192"/>
      <c r="CC88" s="192"/>
      <c r="CD88" s="192"/>
    </row>
    <row r="89" spans="1:82" s="25" customFormat="1" x14ac:dyDescent="0.25">
      <c r="A89" s="64">
        <v>117</v>
      </c>
      <c r="B89" s="365" t="s">
        <v>128</v>
      </c>
      <c r="C89" s="64">
        <v>1161</v>
      </c>
      <c r="D89" s="65" t="s">
        <v>122</v>
      </c>
      <c r="E89" s="64">
        <v>1</v>
      </c>
      <c r="F89" s="585"/>
      <c r="G89" s="585"/>
      <c r="H89" s="585"/>
      <c r="I89" s="585"/>
      <c r="J89" s="620"/>
      <c r="K89" s="622"/>
      <c r="L89" s="164" t="s">
        <v>940</v>
      </c>
      <c r="M89" s="164" t="s">
        <v>1134</v>
      </c>
      <c r="N89" s="166" t="s">
        <v>493</v>
      </c>
      <c r="O89" s="258" t="s">
        <v>1305</v>
      </c>
      <c r="P89" s="188" t="s">
        <v>400</v>
      </c>
      <c r="Q89" s="257">
        <v>41989</v>
      </c>
      <c r="R89" s="258">
        <v>42047</v>
      </c>
      <c r="S89" s="258" t="s">
        <v>724</v>
      </c>
      <c r="T89" s="188" t="s">
        <v>941</v>
      </c>
      <c r="U89" s="258" t="s">
        <v>1287</v>
      </c>
      <c r="V89" s="188" t="s">
        <v>689</v>
      </c>
      <c r="W89" s="178">
        <v>900175862</v>
      </c>
      <c r="X89" s="258" t="s">
        <v>1313</v>
      </c>
      <c r="Y89" s="258" t="s">
        <v>1307</v>
      </c>
      <c r="Z89" s="188"/>
      <c r="AA89" s="174">
        <v>818</v>
      </c>
      <c r="AB89" s="175"/>
      <c r="AC89" s="174">
        <v>957</v>
      </c>
      <c r="AD89" s="175">
        <v>53440000</v>
      </c>
      <c r="AE89" s="174"/>
      <c r="AF89" s="174"/>
      <c r="AG89" s="174"/>
      <c r="AH89" s="174"/>
      <c r="AI89" s="174"/>
      <c r="AJ89" s="174"/>
      <c r="AK89" s="174"/>
      <c r="AL89" s="174"/>
      <c r="AM89" s="174"/>
      <c r="AN89" s="167">
        <v>0</v>
      </c>
      <c r="AO89" s="167">
        <v>0</v>
      </c>
      <c r="AP89" s="167">
        <v>0</v>
      </c>
      <c r="AQ89" s="168">
        <f t="shared" si="11"/>
        <v>0</v>
      </c>
      <c r="AR89" s="168">
        <f t="shared" si="12"/>
        <v>53440000</v>
      </c>
      <c r="AS89" s="169">
        <f t="shared" si="13"/>
        <v>0</v>
      </c>
      <c r="AT89" s="236"/>
      <c r="AU89" s="346">
        <v>324</v>
      </c>
      <c r="AV89" s="346">
        <v>379</v>
      </c>
      <c r="AW89" s="345">
        <v>53440000</v>
      </c>
      <c r="AX89" s="345">
        <v>0</v>
      </c>
      <c r="AY89" s="349">
        <v>0</v>
      </c>
      <c r="AZ89" s="349">
        <v>0</v>
      </c>
      <c r="BA89" s="349">
        <v>10688000</v>
      </c>
      <c r="BB89" s="345">
        <v>0</v>
      </c>
      <c r="BC89" s="237">
        <v>0</v>
      </c>
      <c r="BD89" s="345"/>
      <c r="BE89" s="345">
        <v>42752000</v>
      </c>
      <c r="BF89" s="438"/>
      <c r="BG89" s="443"/>
      <c r="BH89" s="237"/>
      <c r="BI89" s="237"/>
      <c r="BJ89" s="344">
        <f t="shared" si="16"/>
        <v>53440000</v>
      </c>
      <c r="BK89" s="237">
        <f t="shared" si="14"/>
        <v>0</v>
      </c>
      <c r="BL89" s="435">
        <f t="shared" si="15"/>
        <v>1</v>
      </c>
      <c r="BM89" s="192"/>
      <c r="BN89" s="192"/>
      <c r="BO89" s="192"/>
      <c r="BP89" s="192"/>
      <c r="BQ89" s="192"/>
      <c r="BR89" s="192"/>
      <c r="BS89" s="192"/>
      <c r="BT89" s="192"/>
      <c r="BU89" s="192"/>
      <c r="BV89" s="192"/>
      <c r="BW89" s="192"/>
      <c r="BX89" s="192"/>
      <c r="BY89" s="192"/>
      <c r="BZ89" s="192"/>
      <c r="CA89" s="192"/>
      <c r="CB89" s="192"/>
      <c r="CC89" s="192"/>
      <c r="CD89" s="192"/>
    </row>
    <row r="90" spans="1:82" s="68" customFormat="1" x14ac:dyDescent="0.25">
      <c r="A90" s="64">
        <v>117</v>
      </c>
      <c r="B90" s="365" t="s">
        <v>128</v>
      </c>
      <c r="C90" s="64">
        <v>1161</v>
      </c>
      <c r="D90" s="65" t="s">
        <v>122</v>
      </c>
      <c r="E90" s="64">
        <v>1</v>
      </c>
      <c r="F90" s="585"/>
      <c r="G90" s="585"/>
      <c r="H90" s="585"/>
      <c r="I90" s="585"/>
      <c r="J90" s="620"/>
      <c r="K90" s="622"/>
      <c r="L90" s="164" t="s">
        <v>942</v>
      </c>
      <c r="M90" s="164" t="s">
        <v>1134</v>
      </c>
      <c r="N90" s="166" t="s">
        <v>493</v>
      </c>
      <c r="O90" s="258" t="s">
        <v>1301</v>
      </c>
      <c r="P90" s="188" t="s">
        <v>320</v>
      </c>
      <c r="Q90" s="257">
        <v>41997</v>
      </c>
      <c r="R90" s="258">
        <v>42023</v>
      </c>
      <c r="S90" s="258" t="s">
        <v>724</v>
      </c>
      <c r="T90" s="188" t="s">
        <v>943</v>
      </c>
      <c r="U90" s="260" t="s">
        <v>418</v>
      </c>
      <c r="V90" s="188" t="s">
        <v>537</v>
      </c>
      <c r="W90" s="178">
        <v>1030535004</v>
      </c>
      <c r="X90" s="259" t="s">
        <v>361</v>
      </c>
      <c r="Y90" s="258" t="s">
        <v>1299</v>
      </c>
      <c r="Z90" s="188"/>
      <c r="AA90" s="174">
        <v>870</v>
      </c>
      <c r="AB90" s="175"/>
      <c r="AC90" s="174">
        <v>1013</v>
      </c>
      <c r="AD90" s="175">
        <v>4500000</v>
      </c>
      <c r="AE90" s="174"/>
      <c r="AF90" s="174"/>
      <c r="AG90" s="174"/>
      <c r="AH90" s="174"/>
      <c r="AI90" s="174"/>
      <c r="AJ90" s="174"/>
      <c r="AK90" s="174"/>
      <c r="AL90" s="174"/>
      <c r="AM90" s="174"/>
      <c r="AN90" s="167">
        <v>0</v>
      </c>
      <c r="AO90" s="167">
        <v>0</v>
      </c>
      <c r="AP90" s="167">
        <v>0</v>
      </c>
      <c r="AQ90" s="168">
        <f t="shared" si="11"/>
        <v>0</v>
      </c>
      <c r="AR90" s="168">
        <f t="shared" si="12"/>
        <v>4500000</v>
      </c>
      <c r="AS90" s="169">
        <f t="shared" si="13"/>
        <v>0</v>
      </c>
      <c r="AT90" s="261"/>
      <c r="AU90" s="346">
        <v>350</v>
      </c>
      <c r="AV90" s="346">
        <v>298</v>
      </c>
      <c r="AW90" s="345">
        <v>4500000</v>
      </c>
      <c r="AX90" s="345">
        <v>0</v>
      </c>
      <c r="AY90" s="349">
        <v>0</v>
      </c>
      <c r="AZ90" s="349">
        <v>0</v>
      </c>
      <c r="BA90" s="349">
        <v>1500000</v>
      </c>
      <c r="BB90" s="345">
        <v>1500000</v>
      </c>
      <c r="BC90" s="345">
        <v>1500000</v>
      </c>
      <c r="BD90" s="345"/>
      <c r="BE90" s="345"/>
      <c r="BF90" s="440"/>
      <c r="BG90" s="445"/>
      <c r="BH90" s="192"/>
      <c r="BI90" s="192"/>
      <c r="BJ90" s="344">
        <f t="shared" si="16"/>
        <v>4500000</v>
      </c>
      <c r="BK90" s="237">
        <f t="shared" si="14"/>
        <v>0</v>
      </c>
      <c r="BL90" s="435">
        <f t="shared" si="15"/>
        <v>1</v>
      </c>
      <c r="BM90" s="192"/>
      <c r="BN90" s="192"/>
      <c r="BO90" s="192"/>
      <c r="BP90" s="192"/>
      <c r="BQ90" s="192"/>
      <c r="BR90" s="192"/>
      <c r="BS90" s="192"/>
      <c r="BT90" s="192"/>
      <c r="BU90" s="192"/>
      <c r="BV90" s="192"/>
      <c r="BW90" s="192"/>
      <c r="BX90" s="192"/>
      <c r="BY90" s="192"/>
      <c r="BZ90" s="192"/>
      <c r="CA90" s="192"/>
      <c r="CB90" s="192"/>
      <c r="CC90" s="192"/>
      <c r="CD90" s="192"/>
    </row>
    <row r="91" spans="1:82" s="68" customFormat="1" x14ac:dyDescent="0.25">
      <c r="A91" s="64">
        <v>117</v>
      </c>
      <c r="B91" s="365" t="s">
        <v>128</v>
      </c>
      <c r="C91" s="64">
        <v>1161</v>
      </c>
      <c r="D91" s="65" t="s">
        <v>122</v>
      </c>
      <c r="E91" s="64">
        <v>1</v>
      </c>
      <c r="F91" s="585"/>
      <c r="G91" s="585"/>
      <c r="H91" s="585"/>
      <c r="I91" s="585"/>
      <c r="J91" s="620"/>
      <c r="K91" s="622"/>
      <c r="L91" s="164" t="s">
        <v>944</v>
      </c>
      <c r="M91" s="164" t="s">
        <v>1134</v>
      </c>
      <c r="N91" s="166" t="s">
        <v>493</v>
      </c>
      <c r="O91" s="260" t="s">
        <v>1381</v>
      </c>
      <c r="P91" s="188" t="s">
        <v>320</v>
      </c>
      <c r="Q91" s="356">
        <v>42002</v>
      </c>
      <c r="R91" s="378">
        <v>42047</v>
      </c>
      <c r="S91" s="260" t="s">
        <v>395</v>
      </c>
      <c r="T91" s="188" t="s">
        <v>1388</v>
      </c>
      <c r="U91" s="260" t="s">
        <v>1387</v>
      </c>
      <c r="V91" s="188" t="s">
        <v>628</v>
      </c>
      <c r="W91" s="178">
        <v>52956996</v>
      </c>
      <c r="X91" s="259" t="s">
        <v>361</v>
      </c>
      <c r="Y91" s="258" t="s">
        <v>1299</v>
      </c>
      <c r="Z91" s="188"/>
      <c r="AA91" s="174">
        <v>817</v>
      </c>
      <c r="AB91" s="175"/>
      <c r="AC91" s="174">
        <v>1024</v>
      </c>
      <c r="AD91" s="175">
        <v>2950000</v>
      </c>
      <c r="AE91" s="174"/>
      <c r="AF91" s="174"/>
      <c r="AG91" s="174"/>
      <c r="AH91" s="174"/>
      <c r="AI91" s="174"/>
      <c r="AJ91" s="174"/>
      <c r="AK91" s="174"/>
      <c r="AL91" s="174"/>
      <c r="AM91" s="174"/>
      <c r="AN91" s="167">
        <v>0</v>
      </c>
      <c r="AO91" s="167">
        <v>0</v>
      </c>
      <c r="AP91" s="167">
        <v>0</v>
      </c>
      <c r="AQ91" s="168">
        <f t="shared" ref="AQ91:AQ113" si="17">SUM(AE91:AP91)</f>
        <v>0</v>
      </c>
      <c r="AR91" s="168">
        <f t="shared" ref="AR91:AR113" si="18">+AD91-AQ91</f>
        <v>2950000</v>
      </c>
      <c r="AS91" s="169">
        <f t="shared" ref="AS91:AS113" si="19">+AQ91/AD91</f>
        <v>0</v>
      </c>
      <c r="AT91" s="261"/>
      <c r="AU91" s="346">
        <v>359</v>
      </c>
      <c r="AV91" s="346">
        <v>307</v>
      </c>
      <c r="AW91" s="345">
        <v>2950000</v>
      </c>
      <c r="AX91" s="345">
        <v>0</v>
      </c>
      <c r="AY91" s="349">
        <v>0</v>
      </c>
      <c r="AZ91" s="349">
        <v>0</v>
      </c>
      <c r="BA91" s="349">
        <v>983333</v>
      </c>
      <c r="BB91" s="345">
        <v>983333</v>
      </c>
      <c r="BC91" s="192">
        <v>0</v>
      </c>
      <c r="BD91" s="345"/>
      <c r="BE91" s="345">
        <v>983333</v>
      </c>
      <c r="BF91" s="440"/>
      <c r="BG91" s="445"/>
      <c r="BH91" s="192"/>
      <c r="BI91" s="192"/>
      <c r="BJ91" s="344">
        <f t="shared" si="16"/>
        <v>2949999</v>
      </c>
      <c r="BK91" s="237">
        <f t="shared" si="14"/>
        <v>1</v>
      </c>
      <c r="BL91" s="435">
        <f t="shared" si="15"/>
        <v>0.99999966101694915</v>
      </c>
      <c r="BM91" s="192"/>
      <c r="BN91" s="192"/>
      <c r="BO91" s="192"/>
      <c r="BP91" s="192"/>
      <c r="BQ91" s="192"/>
      <c r="BR91" s="192"/>
      <c r="BS91" s="192"/>
      <c r="BT91" s="192"/>
      <c r="BU91" s="192"/>
      <c r="BV91" s="192"/>
      <c r="BW91" s="192"/>
      <c r="BX91" s="192"/>
      <c r="BY91" s="192"/>
      <c r="BZ91" s="192"/>
      <c r="CA91" s="192"/>
      <c r="CB91" s="192"/>
      <c r="CC91" s="192"/>
      <c r="CD91" s="192"/>
    </row>
    <row r="92" spans="1:82" s="68" customFormat="1" x14ac:dyDescent="0.25">
      <c r="A92" s="64">
        <v>117</v>
      </c>
      <c r="B92" s="365" t="s">
        <v>128</v>
      </c>
      <c r="C92" s="64">
        <v>1161</v>
      </c>
      <c r="D92" s="65" t="s">
        <v>122</v>
      </c>
      <c r="E92" s="64">
        <v>1</v>
      </c>
      <c r="F92" s="585"/>
      <c r="G92" s="585"/>
      <c r="H92" s="585"/>
      <c r="I92" s="585"/>
      <c r="J92" s="620"/>
      <c r="K92" s="622"/>
      <c r="L92" s="164" t="s">
        <v>946</v>
      </c>
      <c r="M92" s="164" t="s">
        <v>1134</v>
      </c>
      <c r="N92" s="166" t="s">
        <v>493</v>
      </c>
      <c r="O92" s="260" t="s">
        <v>1381</v>
      </c>
      <c r="P92" s="188" t="s">
        <v>320</v>
      </c>
      <c r="Q92" s="356">
        <v>42002</v>
      </c>
      <c r="R92" s="355">
        <v>42061</v>
      </c>
      <c r="S92" s="260" t="s">
        <v>724</v>
      </c>
      <c r="T92" s="188" t="s">
        <v>947</v>
      </c>
      <c r="U92" s="260" t="s">
        <v>798</v>
      </c>
      <c r="V92" s="188" t="s">
        <v>537</v>
      </c>
      <c r="W92" s="178">
        <v>1030535004</v>
      </c>
      <c r="X92" s="259" t="s">
        <v>361</v>
      </c>
      <c r="Y92" s="258" t="s">
        <v>1299</v>
      </c>
      <c r="Z92" s="188"/>
      <c r="AA92" s="174">
        <v>881</v>
      </c>
      <c r="AB92" s="175"/>
      <c r="AC92" s="174">
        <v>1025</v>
      </c>
      <c r="AD92" s="175">
        <v>4000000</v>
      </c>
      <c r="AE92" s="174"/>
      <c r="AF92" s="174"/>
      <c r="AG92" s="174"/>
      <c r="AH92" s="174"/>
      <c r="AI92" s="174"/>
      <c r="AJ92" s="174"/>
      <c r="AK92" s="174"/>
      <c r="AL92" s="174"/>
      <c r="AM92" s="174"/>
      <c r="AN92" s="167">
        <v>0</v>
      </c>
      <c r="AO92" s="167">
        <v>0</v>
      </c>
      <c r="AP92" s="167">
        <v>0</v>
      </c>
      <c r="AQ92" s="168">
        <f t="shared" si="17"/>
        <v>0</v>
      </c>
      <c r="AR92" s="168">
        <f t="shared" si="18"/>
        <v>4000000</v>
      </c>
      <c r="AS92" s="169">
        <f t="shared" si="19"/>
        <v>0</v>
      </c>
      <c r="AT92" s="261"/>
      <c r="AU92" s="346">
        <v>360</v>
      </c>
      <c r="AV92" s="346">
        <v>308</v>
      </c>
      <c r="AW92" s="345">
        <v>4000000</v>
      </c>
      <c r="AX92" s="345">
        <v>0</v>
      </c>
      <c r="AY92" s="349">
        <v>0</v>
      </c>
      <c r="AZ92" s="349">
        <v>0</v>
      </c>
      <c r="BA92" s="349">
        <v>0</v>
      </c>
      <c r="BB92" s="345">
        <v>0</v>
      </c>
      <c r="BC92" s="192">
        <v>0</v>
      </c>
      <c r="BD92" s="345"/>
      <c r="BE92" s="345"/>
      <c r="BF92" s="440"/>
      <c r="BG92" s="445">
        <v>4000000</v>
      </c>
      <c r="BH92" s="192"/>
      <c r="BI92" s="192"/>
      <c r="BJ92" s="344">
        <f t="shared" si="16"/>
        <v>4000000</v>
      </c>
      <c r="BK92" s="237">
        <f t="shared" si="14"/>
        <v>0</v>
      </c>
      <c r="BL92" s="435">
        <f t="shared" si="15"/>
        <v>1</v>
      </c>
      <c r="BM92" s="192"/>
      <c r="BN92" s="192"/>
      <c r="BO92" s="192"/>
      <c r="BP92" s="192"/>
      <c r="BQ92" s="192"/>
      <c r="BR92" s="192"/>
      <c r="BS92" s="192"/>
      <c r="BT92" s="192"/>
      <c r="BU92" s="192"/>
      <c r="BV92" s="192"/>
      <c r="BW92" s="192"/>
      <c r="BX92" s="192"/>
      <c r="BY92" s="192"/>
      <c r="BZ92" s="192"/>
      <c r="CA92" s="192"/>
      <c r="CB92" s="192"/>
      <c r="CC92" s="192"/>
      <c r="CD92" s="192"/>
    </row>
    <row r="93" spans="1:82" s="68" customFormat="1" x14ac:dyDescent="0.25">
      <c r="A93" s="64">
        <v>117</v>
      </c>
      <c r="B93" s="365" t="s">
        <v>128</v>
      </c>
      <c r="C93" s="64">
        <v>1161</v>
      </c>
      <c r="D93" s="65" t="s">
        <v>122</v>
      </c>
      <c r="E93" s="64">
        <v>1</v>
      </c>
      <c r="F93" s="585"/>
      <c r="G93" s="585"/>
      <c r="H93" s="585"/>
      <c r="I93" s="585"/>
      <c r="J93" s="620"/>
      <c r="K93" s="622"/>
      <c r="L93" s="164" t="s">
        <v>948</v>
      </c>
      <c r="M93" s="164" t="s">
        <v>1134</v>
      </c>
      <c r="N93" s="166" t="s">
        <v>493</v>
      </c>
      <c r="O93" s="166" t="s">
        <v>793</v>
      </c>
      <c r="P93" s="188" t="s">
        <v>320</v>
      </c>
      <c r="Q93" s="257">
        <v>41963</v>
      </c>
      <c r="R93" s="258">
        <v>41978</v>
      </c>
      <c r="S93" s="258" t="s">
        <v>1308</v>
      </c>
      <c r="T93" s="188" t="s">
        <v>929</v>
      </c>
      <c r="U93" s="260" t="s">
        <v>418</v>
      </c>
      <c r="V93" s="188" t="s">
        <v>515</v>
      </c>
      <c r="W93" s="178">
        <v>80123303</v>
      </c>
      <c r="X93" s="259" t="s">
        <v>361</v>
      </c>
      <c r="Y93" s="258" t="s">
        <v>1299</v>
      </c>
      <c r="Z93" s="188"/>
      <c r="AA93" s="174">
        <v>909</v>
      </c>
      <c r="AB93" s="175"/>
      <c r="AC93" s="174">
        <v>1029</v>
      </c>
      <c r="AD93" s="175">
        <v>1530000</v>
      </c>
      <c r="AE93" s="174"/>
      <c r="AF93" s="174"/>
      <c r="AG93" s="174"/>
      <c r="AH93" s="174"/>
      <c r="AI93" s="174"/>
      <c r="AJ93" s="174"/>
      <c r="AK93" s="174"/>
      <c r="AL93" s="174"/>
      <c r="AM93" s="174"/>
      <c r="AN93" s="167">
        <v>0</v>
      </c>
      <c r="AO93" s="167">
        <v>0</v>
      </c>
      <c r="AP93" s="167">
        <v>0</v>
      </c>
      <c r="AQ93" s="168">
        <f t="shared" si="17"/>
        <v>0</v>
      </c>
      <c r="AR93" s="168">
        <f t="shared" si="18"/>
        <v>1530000</v>
      </c>
      <c r="AS93" s="169">
        <f t="shared" si="19"/>
        <v>0</v>
      </c>
      <c r="AT93" s="261"/>
      <c r="AU93" s="346">
        <v>468</v>
      </c>
      <c r="AV93" s="346">
        <v>520</v>
      </c>
      <c r="AW93" s="345">
        <v>1530000</v>
      </c>
      <c r="AX93" s="345">
        <v>0</v>
      </c>
      <c r="AY93" s="349">
        <v>0</v>
      </c>
      <c r="AZ93" s="349">
        <v>0</v>
      </c>
      <c r="BA93" s="349">
        <v>0</v>
      </c>
      <c r="BB93" s="345">
        <v>0</v>
      </c>
      <c r="BC93" s="345">
        <v>1530000</v>
      </c>
      <c r="BD93" s="345"/>
      <c r="BE93" s="345"/>
      <c r="BF93" s="440"/>
      <c r="BG93" s="445"/>
      <c r="BH93" s="192"/>
      <c r="BI93" s="192"/>
      <c r="BJ93" s="344">
        <f t="shared" si="16"/>
        <v>1530000</v>
      </c>
      <c r="BK93" s="237">
        <f t="shared" si="14"/>
        <v>0</v>
      </c>
      <c r="BL93" s="435">
        <f t="shared" si="15"/>
        <v>1</v>
      </c>
      <c r="BM93" s="192"/>
      <c r="BN93" s="192"/>
      <c r="BO93" s="192"/>
      <c r="BP93" s="192"/>
      <c r="BQ93" s="192"/>
      <c r="BR93" s="192"/>
      <c r="BS93" s="192"/>
      <c r="BT93" s="192"/>
      <c r="BU93" s="192"/>
      <c r="BV93" s="192"/>
      <c r="BW93" s="192"/>
      <c r="BX93" s="192"/>
      <c r="BY93" s="192"/>
      <c r="BZ93" s="192"/>
      <c r="CA93" s="192"/>
      <c r="CB93" s="192"/>
      <c r="CC93" s="192"/>
      <c r="CD93" s="192"/>
    </row>
    <row r="94" spans="1:82" s="68" customFormat="1" x14ac:dyDescent="0.25">
      <c r="A94" s="64">
        <v>117</v>
      </c>
      <c r="B94" s="365" t="s">
        <v>128</v>
      </c>
      <c r="C94" s="64">
        <v>1161</v>
      </c>
      <c r="D94" s="65" t="s">
        <v>122</v>
      </c>
      <c r="E94" s="64">
        <v>1</v>
      </c>
      <c r="F94" s="585"/>
      <c r="G94" s="585"/>
      <c r="H94" s="585"/>
      <c r="I94" s="585"/>
      <c r="J94" s="620"/>
      <c r="K94" s="622"/>
      <c r="L94" s="377" t="s">
        <v>949</v>
      </c>
      <c r="M94" s="377" t="s">
        <v>1134</v>
      </c>
      <c r="N94" s="376" t="s">
        <v>493</v>
      </c>
      <c r="O94" s="376" t="s">
        <v>793</v>
      </c>
      <c r="P94" s="371" t="s">
        <v>400</v>
      </c>
      <c r="Q94" s="375">
        <v>41963</v>
      </c>
      <c r="R94" s="375">
        <v>41978</v>
      </c>
      <c r="S94" s="372" t="s">
        <v>378</v>
      </c>
      <c r="T94" s="371" t="s">
        <v>927</v>
      </c>
      <c r="U94" s="372" t="s">
        <v>506</v>
      </c>
      <c r="V94" s="371" t="s">
        <v>507</v>
      </c>
      <c r="W94" s="374">
        <v>900093799</v>
      </c>
      <c r="X94" s="373" t="s">
        <v>361</v>
      </c>
      <c r="Y94" s="372" t="s">
        <v>1307</v>
      </c>
      <c r="Z94" s="371"/>
      <c r="AA94" s="369">
        <v>911</v>
      </c>
      <c r="AB94" s="370"/>
      <c r="AC94" s="369">
        <v>1030</v>
      </c>
      <c r="AD94" s="175">
        <v>7588000</v>
      </c>
      <c r="AE94" s="174"/>
      <c r="AF94" s="174"/>
      <c r="AG94" s="174"/>
      <c r="AH94" s="174"/>
      <c r="AI94" s="174"/>
      <c r="AJ94" s="174"/>
      <c r="AK94" s="174"/>
      <c r="AL94" s="174"/>
      <c r="AM94" s="174"/>
      <c r="AN94" s="167">
        <v>0</v>
      </c>
      <c r="AO94" s="167">
        <v>0</v>
      </c>
      <c r="AP94" s="167">
        <v>0</v>
      </c>
      <c r="AQ94" s="168">
        <f t="shared" si="17"/>
        <v>0</v>
      </c>
      <c r="AR94" s="168">
        <f t="shared" si="18"/>
        <v>7588000</v>
      </c>
      <c r="AS94" s="169">
        <f t="shared" si="19"/>
        <v>0</v>
      </c>
      <c r="AT94" s="261"/>
      <c r="AU94" s="346">
        <v>469</v>
      </c>
      <c r="AV94" s="346">
        <v>521</v>
      </c>
      <c r="AW94" s="345">
        <v>7588000</v>
      </c>
      <c r="AX94" s="345">
        <v>0</v>
      </c>
      <c r="AY94" s="349">
        <v>0</v>
      </c>
      <c r="AZ94" s="349">
        <v>0</v>
      </c>
      <c r="BA94" s="349">
        <v>0</v>
      </c>
      <c r="BB94" s="345">
        <v>0</v>
      </c>
      <c r="BC94" s="345">
        <v>6214000</v>
      </c>
      <c r="BD94" s="345"/>
      <c r="BE94" s="345"/>
      <c r="BF94" s="440"/>
      <c r="BG94" s="445"/>
      <c r="BH94" s="192"/>
      <c r="BI94" s="192"/>
      <c r="BJ94" s="344">
        <f t="shared" si="16"/>
        <v>6214000</v>
      </c>
      <c r="BK94" s="237">
        <f t="shared" si="14"/>
        <v>1374000</v>
      </c>
      <c r="BL94" s="435">
        <f t="shared" si="15"/>
        <v>0.81892461781760673</v>
      </c>
      <c r="BM94" s="192"/>
      <c r="BN94" s="192"/>
      <c r="BO94" s="192"/>
      <c r="BP94" s="192"/>
      <c r="BQ94" s="192"/>
      <c r="BR94" s="192"/>
      <c r="BS94" s="192"/>
      <c r="BT94" s="192"/>
      <c r="BU94" s="192"/>
      <c r="BV94" s="192"/>
      <c r="BW94" s="192"/>
      <c r="BX94" s="192"/>
      <c r="BY94" s="192"/>
      <c r="BZ94" s="192"/>
      <c r="CA94" s="192"/>
      <c r="CB94" s="192"/>
      <c r="CC94" s="192"/>
      <c r="CD94" s="192"/>
    </row>
    <row r="95" spans="1:82" s="25" customFormat="1" ht="13.5" customHeight="1" x14ac:dyDescent="0.25">
      <c r="A95" s="364">
        <v>118</v>
      </c>
      <c r="B95" s="365" t="s">
        <v>134</v>
      </c>
      <c r="C95" s="364">
        <v>1163</v>
      </c>
      <c r="D95" s="365" t="s">
        <v>136</v>
      </c>
      <c r="E95" s="364">
        <v>1</v>
      </c>
      <c r="F95" s="607" t="s">
        <v>53</v>
      </c>
      <c r="G95" s="607">
        <v>4500</v>
      </c>
      <c r="H95" s="607" t="s">
        <v>61</v>
      </c>
      <c r="I95" s="607" t="s">
        <v>137</v>
      </c>
      <c r="J95" s="627">
        <v>0</v>
      </c>
      <c r="K95" s="627">
        <v>0</v>
      </c>
      <c r="L95" s="164" t="s">
        <v>950</v>
      </c>
      <c r="M95" s="164" t="s">
        <v>1134</v>
      </c>
      <c r="N95" s="164" t="s">
        <v>493</v>
      </c>
      <c r="O95" s="258" t="s">
        <v>1286</v>
      </c>
      <c r="P95" s="258" t="s">
        <v>1315</v>
      </c>
      <c r="Q95" s="257" t="s">
        <v>951</v>
      </c>
      <c r="R95" s="165" t="s">
        <v>951</v>
      </c>
      <c r="S95" s="258" t="s">
        <v>867</v>
      </c>
      <c r="T95" s="164">
        <v>12</v>
      </c>
      <c r="U95" s="258" t="s">
        <v>1291</v>
      </c>
      <c r="V95" s="254" t="s">
        <v>444</v>
      </c>
      <c r="W95" s="187">
        <v>900116219</v>
      </c>
      <c r="X95" s="164">
        <v>640</v>
      </c>
      <c r="Y95" s="258" t="s">
        <v>1386</v>
      </c>
      <c r="Z95" s="262"/>
      <c r="AA95" s="174">
        <v>456</v>
      </c>
      <c r="AB95" s="175"/>
      <c r="AC95" s="167">
        <v>513</v>
      </c>
      <c r="AD95" s="168">
        <v>164035000</v>
      </c>
      <c r="AE95" s="167">
        <v>0</v>
      </c>
      <c r="AF95" s="167">
        <v>0</v>
      </c>
      <c r="AG95" s="167">
        <v>0</v>
      </c>
      <c r="AH95" s="167">
        <v>0</v>
      </c>
      <c r="AI95" s="167">
        <v>0</v>
      </c>
      <c r="AJ95" s="167">
        <v>0</v>
      </c>
      <c r="AK95" s="167">
        <v>0</v>
      </c>
      <c r="AL95" s="167">
        <v>5800000</v>
      </c>
      <c r="AM95" s="167">
        <v>15355000</v>
      </c>
      <c r="AN95" s="167">
        <v>23490000</v>
      </c>
      <c r="AO95" s="167">
        <v>29226000</v>
      </c>
      <c r="AP95" s="167">
        <v>90164000</v>
      </c>
      <c r="AQ95" s="168">
        <f t="shared" si="17"/>
        <v>164035000</v>
      </c>
      <c r="AR95" s="168">
        <f t="shared" si="18"/>
        <v>0</v>
      </c>
      <c r="AS95" s="169">
        <f t="shared" si="19"/>
        <v>1</v>
      </c>
      <c r="AT95" s="236"/>
      <c r="AU95" s="346"/>
      <c r="AV95" s="346"/>
      <c r="AW95" s="345"/>
      <c r="AX95" s="345"/>
      <c r="AY95" s="345"/>
      <c r="AZ95" s="345"/>
      <c r="BA95" s="345"/>
      <c r="BB95" s="345"/>
      <c r="BC95" s="237"/>
      <c r="BD95" s="345"/>
      <c r="BE95" s="345"/>
      <c r="BF95" s="438"/>
      <c r="BG95" s="443"/>
      <c r="BH95" s="237"/>
      <c r="BI95" s="237"/>
      <c r="BJ95" s="344">
        <f t="shared" si="16"/>
        <v>0</v>
      </c>
      <c r="BK95" s="237">
        <f t="shared" si="14"/>
        <v>0</v>
      </c>
      <c r="BL95" s="435" t="e">
        <f t="shared" si="15"/>
        <v>#DIV/0!</v>
      </c>
      <c r="BM95" s="192"/>
      <c r="BN95" s="192"/>
      <c r="BO95" s="192"/>
      <c r="BP95" s="192"/>
      <c r="BQ95" s="192"/>
      <c r="BR95" s="192"/>
      <c r="BS95" s="192"/>
      <c r="BT95" s="192"/>
      <c r="BU95" s="192"/>
      <c r="BV95" s="192"/>
      <c r="BW95" s="192"/>
      <c r="BX95" s="192"/>
      <c r="BY95" s="192"/>
      <c r="BZ95" s="192"/>
      <c r="CA95" s="192"/>
      <c r="CB95" s="192"/>
      <c r="CC95" s="192"/>
      <c r="CD95" s="192"/>
    </row>
    <row r="96" spans="1:82" s="25" customFormat="1" x14ac:dyDescent="0.25">
      <c r="A96" s="364">
        <v>118</v>
      </c>
      <c r="B96" s="365" t="s">
        <v>134</v>
      </c>
      <c r="C96" s="364">
        <v>1163</v>
      </c>
      <c r="D96" s="365" t="s">
        <v>136</v>
      </c>
      <c r="E96" s="364">
        <v>1</v>
      </c>
      <c r="F96" s="607"/>
      <c r="G96" s="607"/>
      <c r="H96" s="607"/>
      <c r="I96" s="607"/>
      <c r="J96" s="627"/>
      <c r="K96" s="627"/>
      <c r="L96" s="164" t="s">
        <v>952</v>
      </c>
      <c r="M96" s="164" t="s">
        <v>1134</v>
      </c>
      <c r="N96" s="164" t="s">
        <v>493</v>
      </c>
      <c r="O96" s="258" t="s">
        <v>1314</v>
      </c>
      <c r="P96" s="258" t="s">
        <v>1315</v>
      </c>
      <c r="Q96" s="257" t="s">
        <v>953</v>
      </c>
      <c r="R96" s="165" t="s">
        <v>953</v>
      </c>
      <c r="S96" s="258" t="s">
        <v>867</v>
      </c>
      <c r="T96" s="254">
        <v>20</v>
      </c>
      <c r="U96" s="258" t="s">
        <v>798</v>
      </c>
      <c r="V96" s="254" t="s">
        <v>954</v>
      </c>
      <c r="W96" s="164">
        <v>79468854</v>
      </c>
      <c r="X96" s="258" t="s">
        <v>90</v>
      </c>
      <c r="Y96" s="258" t="s">
        <v>483</v>
      </c>
      <c r="Z96" s="254"/>
      <c r="AA96" s="167">
        <v>555</v>
      </c>
      <c r="AB96" s="175"/>
      <c r="AC96" s="167">
        <v>575</v>
      </c>
      <c r="AD96" s="168">
        <v>9999996</v>
      </c>
      <c r="AE96" s="167">
        <v>0</v>
      </c>
      <c r="AF96" s="167">
        <v>0</v>
      </c>
      <c r="AG96" s="167">
        <v>0</v>
      </c>
      <c r="AH96" s="167">
        <v>0</v>
      </c>
      <c r="AI96" s="167">
        <v>0</v>
      </c>
      <c r="AJ96" s="167">
        <v>0</v>
      </c>
      <c r="AK96" s="167">
        <v>0</v>
      </c>
      <c r="AL96" s="167">
        <v>0</v>
      </c>
      <c r="AM96" s="167">
        <v>0</v>
      </c>
      <c r="AN96" s="167">
        <v>0</v>
      </c>
      <c r="AO96" s="167">
        <v>0</v>
      </c>
      <c r="AP96" s="167">
        <v>0</v>
      </c>
      <c r="AQ96" s="168">
        <f t="shared" si="17"/>
        <v>0</v>
      </c>
      <c r="AR96" s="168">
        <f t="shared" si="18"/>
        <v>9999996</v>
      </c>
      <c r="AS96" s="169">
        <f t="shared" si="19"/>
        <v>0</v>
      </c>
      <c r="AT96" s="236"/>
      <c r="AU96" s="346">
        <v>173</v>
      </c>
      <c r="AV96" s="346">
        <v>140</v>
      </c>
      <c r="AW96" s="345">
        <v>9999996</v>
      </c>
      <c r="AX96" s="345">
        <v>0</v>
      </c>
      <c r="AY96" s="345">
        <v>0</v>
      </c>
      <c r="AZ96" s="345">
        <v>0</v>
      </c>
      <c r="BA96" s="345">
        <v>0</v>
      </c>
      <c r="BB96" s="345">
        <v>0</v>
      </c>
      <c r="BC96" s="237"/>
      <c r="BD96" s="345"/>
      <c r="BE96" s="345"/>
      <c r="BF96" s="441">
        <v>9999996</v>
      </c>
      <c r="BG96" s="443"/>
      <c r="BH96" s="237"/>
      <c r="BI96" s="237"/>
      <c r="BJ96" s="344">
        <f t="shared" si="16"/>
        <v>9999996</v>
      </c>
      <c r="BK96" s="237">
        <f t="shared" ref="BK96:BK127" si="20">+AW96-BJ96</f>
        <v>0</v>
      </c>
      <c r="BL96" s="435">
        <f t="shared" ref="BL96:BL127" si="21">+BJ96/AW96</f>
        <v>1</v>
      </c>
      <c r="BM96" s="192"/>
      <c r="BN96" s="192"/>
      <c r="BO96" s="192"/>
      <c r="BP96" s="192"/>
      <c r="BQ96" s="192"/>
      <c r="BR96" s="192"/>
      <c r="BS96" s="192"/>
      <c r="BT96" s="192"/>
      <c r="BU96" s="192"/>
      <c r="BV96" s="192"/>
      <c r="BW96" s="192"/>
      <c r="BX96" s="192"/>
      <c r="BY96" s="192"/>
      <c r="BZ96" s="192"/>
      <c r="CA96" s="192"/>
      <c r="CB96" s="192"/>
      <c r="CC96" s="192"/>
      <c r="CD96" s="192"/>
    </row>
    <row r="97" spans="1:82" s="25" customFormat="1" x14ac:dyDescent="0.25">
      <c r="A97" s="364">
        <v>118</v>
      </c>
      <c r="B97" s="365" t="s">
        <v>134</v>
      </c>
      <c r="C97" s="364">
        <v>1163</v>
      </c>
      <c r="D97" s="365" t="s">
        <v>136</v>
      </c>
      <c r="E97" s="364">
        <v>1</v>
      </c>
      <c r="F97" s="607"/>
      <c r="G97" s="607"/>
      <c r="H97" s="607"/>
      <c r="I97" s="607"/>
      <c r="J97" s="627"/>
      <c r="K97" s="627"/>
      <c r="L97" s="164" t="s">
        <v>955</v>
      </c>
      <c r="M97" s="164" t="s">
        <v>1134</v>
      </c>
      <c r="N97" s="164" t="s">
        <v>493</v>
      </c>
      <c r="O97" s="258" t="s">
        <v>1385</v>
      </c>
      <c r="P97" s="254" t="s">
        <v>356</v>
      </c>
      <c r="Q97" s="258">
        <v>41764</v>
      </c>
      <c r="R97" s="258">
        <v>41764</v>
      </c>
      <c r="S97" s="258" t="s">
        <v>512</v>
      </c>
      <c r="T97" s="254" t="s">
        <v>1384</v>
      </c>
      <c r="U97" s="258" t="s">
        <v>798</v>
      </c>
      <c r="V97" s="254" t="s">
        <v>444</v>
      </c>
      <c r="W97" s="164">
        <v>830106121</v>
      </c>
      <c r="X97" s="258" t="s">
        <v>90</v>
      </c>
      <c r="Y97" s="258" t="s">
        <v>483</v>
      </c>
      <c r="Z97" s="254"/>
      <c r="AA97" s="167">
        <v>764</v>
      </c>
      <c r="AB97" s="175"/>
      <c r="AC97" s="167">
        <v>830</v>
      </c>
      <c r="AD97" s="168">
        <v>77433000</v>
      </c>
      <c r="AE97" s="167"/>
      <c r="AF97" s="167"/>
      <c r="AG97" s="167"/>
      <c r="AH97" s="167"/>
      <c r="AI97" s="167"/>
      <c r="AJ97" s="167"/>
      <c r="AK97" s="167"/>
      <c r="AL97" s="167"/>
      <c r="AM97" s="167"/>
      <c r="AN97" s="167">
        <v>0</v>
      </c>
      <c r="AO97" s="167">
        <v>0</v>
      </c>
      <c r="AP97" s="167">
        <v>77433000</v>
      </c>
      <c r="AQ97" s="168">
        <f t="shared" si="17"/>
        <v>77433000</v>
      </c>
      <c r="AR97" s="168">
        <f t="shared" si="18"/>
        <v>0</v>
      </c>
      <c r="AS97" s="169">
        <f t="shared" si="19"/>
        <v>1</v>
      </c>
      <c r="AT97" s="236"/>
      <c r="AU97" s="346"/>
      <c r="AV97" s="346"/>
      <c r="AW97" s="345"/>
      <c r="AX97" s="345"/>
      <c r="AY97" s="345"/>
      <c r="AZ97" s="345"/>
      <c r="BA97" s="345"/>
      <c r="BB97" s="345"/>
      <c r="BC97" s="237"/>
      <c r="BD97" s="345"/>
      <c r="BE97" s="345"/>
      <c r="BF97" s="438"/>
      <c r="BG97" s="443"/>
      <c r="BH97" s="237"/>
      <c r="BI97" s="237"/>
      <c r="BJ97" s="344">
        <f t="shared" si="16"/>
        <v>0</v>
      </c>
      <c r="BK97" s="237">
        <f t="shared" si="20"/>
        <v>0</v>
      </c>
      <c r="BL97" s="435" t="e">
        <f t="shared" si="21"/>
        <v>#DIV/0!</v>
      </c>
      <c r="BM97" s="192"/>
      <c r="BN97" s="192"/>
      <c r="BO97" s="192"/>
      <c r="BP97" s="192"/>
      <c r="BQ97" s="192"/>
      <c r="BR97" s="192"/>
      <c r="BS97" s="192"/>
      <c r="BT97" s="192"/>
      <c r="BU97" s="192"/>
      <c r="BV97" s="192"/>
      <c r="BW97" s="192"/>
      <c r="BX97" s="192"/>
      <c r="BY97" s="192"/>
      <c r="BZ97" s="192"/>
      <c r="CA97" s="192"/>
      <c r="CB97" s="192"/>
      <c r="CC97" s="192"/>
      <c r="CD97" s="192"/>
    </row>
    <row r="98" spans="1:82" s="25" customFormat="1" x14ac:dyDescent="0.25">
      <c r="A98" s="364">
        <v>118</v>
      </c>
      <c r="B98" s="365" t="s">
        <v>134</v>
      </c>
      <c r="C98" s="364">
        <v>1163</v>
      </c>
      <c r="D98" s="365" t="s">
        <v>136</v>
      </c>
      <c r="E98" s="364">
        <v>1</v>
      </c>
      <c r="F98" s="607"/>
      <c r="G98" s="607"/>
      <c r="H98" s="607"/>
      <c r="I98" s="607"/>
      <c r="J98" s="627"/>
      <c r="K98" s="627"/>
      <c r="L98" s="164" t="s">
        <v>956</v>
      </c>
      <c r="M98" s="164" t="s">
        <v>1134</v>
      </c>
      <c r="N98" s="164" t="s">
        <v>493</v>
      </c>
      <c r="O98" s="258" t="s">
        <v>793</v>
      </c>
      <c r="P98" s="254" t="s">
        <v>400</v>
      </c>
      <c r="Q98" s="257">
        <v>41939</v>
      </c>
      <c r="R98" s="258">
        <v>42045</v>
      </c>
      <c r="S98" s="258" t="s">
        <v>1054</v>
      </c>
      <c r="T98" s="254">
        <v>127</v>
      </c>
      <c r="U98" s="258" t="s">
        <v>1291</v>
      </c>
      <c r="V98" s="254" t="s">
        <v>487</v>
      </c>
      <c r="W98" s="187">
        <v>822004163</v>
      </c>
      <c r="X98" s="262">
        <v>500</v>
      </c>
      <c r="Y98" s="258" t="s">
        <v>1316</v>
      </c>
      <c r="Z98" s="254"/>
      <c r="AA98" s="167">
        <v>767</v>
      </c>
      <c r="AB98" s="175"/>
      <c r="AC98" s="167">
        <v>852</v>
      </c>
      <c r="AD98" s="168">
        <v>115022500</v>
      </c>
      <c r="AE98" s="167"/>
      <c r="AF98" s="167"/>
      <c r="AG98" s="167"/>
      <c r="AH98" s="167"/>
      <c r="AI98" s="167"/>
      <c r="AJ98" s="167"/>
      <c r="AK98" s="167"/>
      <c r="AL98" s="167"/>
      <c r="AM98" s="167"/>
      <c r="AN98" s="167">
        <v>0</v>
      </c>
      <c r="AO98" s="167">
        <v>0</v>
      </c>
      <c r="AP98" s="167">
        <v>0</v>
      </c>
      <c r="AQ98" s="168">
        <f t="shared" si="17"/>
        <v>0</v>
      </c>
      <c r="AR98" s="168">
        <f t="shared" si="18"/>
        <v>115022500</v>
      </c>
      <c r="AS98" s="169">
        <f t="shared" si="19"/>
        <v>0</v>
      </c>
      <c r="AT98" s="236"/>
      <c r="AU98" s="346">
        <v>0</v>
      </c>
      <c r="AV98" s="346">
        <v>522</v>
      </c>
      <c r="AW98" s="345">
        <v>115022500</v>
      </c>
      <c r="AX98" s="345">
        <v>0</v>
      </c>
      <c r="AY98" s="345">
        <v>0</v>
      </c>
      <c r="AZ98" s="345">
        <v>0</v>
      </c>
      <c r="BA98" s="345"/>
      <c r="BB98" s="345"/>
      <c r="BC98" s="237"/>
      <c r="BD98" s="345"/>
      <c r="BE98" s="345"/>
      <c r="BF98" s="438"/>
      <c r="BG98" s="443"/>
      <c r="BH98" s="237">
        <v>66626167</v>
      </c>
      <c r="BI98" s="237"/>
      <c r="BJ98" s="344">
        <f t="shared" si="16"/>
        <v>66626167</v>
      </c>
      <c r="BK98" s="237">
        <f t="shared" si="20"/>
        <v>48396333</v>
      </c>
      <c r="BL98" s="435">
        <f t="shared" si="21"/>
        <v>0.57924464343932713</v>
      </c>
      <c r="BM98" s="192"/>
      <c r="BN98" s="192"/>
      <c r="BO98" s="192"/>
      <c r="BP98" s="192"/>
      <c r="BQ98" s="192"/>
      <c r="BR98" s="192"/>
      <c r="BS98" s="192"/>
      <c r="BT98" s="192"/>
      <c r="BU98" s="192"/>
      <c r="BV98" s="192"/>
      <c r="BW98" s="192"/>
      <c r="BX98" s="192"/>
      <c r="BY98" s="192"/>
      <c r="BZ98" s="192"/>
      <c r="CA98" s="192"/>
      <c r="CB98" s="192"/>
      <c r="CC98" s="192"/>
      <c r="CD98" s="192"/>
    </row>
    <row r="99" spans="1:82" s="25" customFormat="1" x14ac:dyDescent="0.25">
      <c r="A99" s="364">
        <v>118</v>
      </c>
      <c r="B99" s="365" t="s">
        <v>134</v>
      </c>
      <c r="C99" s="364">
        <v>1163</v>
      </c>
      <c r="D99" s="365" t="s">
        <v>136</v>
      </c>
      <c r="E99" s="364">
        <v>1</v>
      </c>
      <c r="F99" s="607"/>
      <c r="G99" s="607"/>
      <c r="H99" s="607"/>
      <c r="I99" s="607"/>
      <c r="J99" s="627"/>
      <c r="K99" s="627"/>
      <c r="L99" s="164" t="s">
        <v>957</v>
      </c>
      <c r="M99" s="164" t="s">
        <v>1134</v>
      </c>
      <c r="N99" s="164" t="s">
        <v>493</v>
      </c>
      <c r="O99" s="258" t="s">
        <v>793</v>
      </c>
      <c r="P99" s="254" t="s">
        <v>320</v>
      </c>
      <c r="Q99" s="257">
        <v>41947</v>
      </c>
      <c r="R99" s="258">
        <v>41970</v>
      </c>
      <c r="S99" s="258" t="s">
        <v>807</v>
      </c>
      <c r="T99" s="254">
        <v>132</v>
      </c>
      <c r="U99" s="258" t="s">
        <v>798</v>
      </c>
      <c r="V99" s="254" t="s">
        <v>515</v>
      </c>
      <c r="W99" s="263">
        <v>80123303</v>
      </c>
      <c r="X99" s="258" t="s">
        <v>90</v>
      </c>
      <c r="Y99" s="258" t="s">
        <v>483</v>
      </c>
      <c r="Z99" s="254"/>
      <c r="AA99" s="167">
        <v>768</v>
      </c>
      <c r="AB99" s="175"/>
      <c r="AC99" s="167">
        <v>870</v>
      </c>
      <c r="AD99" s="168">
        <v>10200000</v>
      </c>
      <c r="AE99" s="167"/>
      <c r="AF99" s="167"/>
      <c r="AG99" s="167"/>
      <c r="AH99" s="167"/>
      <c r="AI99" s="167"/>
      <c r="AJ99" s="167"/>
      <c r="AK99" s="167"/>
      <c r="AL99" s="167"/>
      <c r="AM99" s="167"/>
      <c r="AN99" s="167">
        <v>0</v>
      </c>
      <c r="AO99" s="167">
        <v>0</v>
      </c>
      <c r="AP99" s="167">
        <v>0</v>
      </c>
      <c r="AQ99" s="168">
        <f t="shared" si="17"/>
        <v>0</v>
      </c>
      <c r="AR99" s="168">
        <f t="shared" si="18"/>
        <v>10200000</v>
      </c>
      <c r="AS99" s="169">
        <f t="shared" si="19"/>
        <v>0</v>
      </c>
      <c r="AT99" s="236"/>
      <c r="AU99" s="346">
        <v>281</v>
      </c>
      <c r="AV99" s="346">
        <v>241</v>
      </c>
      <c r="AW99" s="345">
        <v>10200000</v>
      </c>
      <c r="AX99" s="345">
        <v>0</v>
      </c>
      <c r="AY99" s="345">
        <v>0</v>
      </c>
      <c r="AZ99" s="345">
        <v>1700000</v>
      </c>
      <c r="BA99" s="345">
        <v>1700000</v>
      </c>
      <c r="BB99" s="345">
        <v>1700000</v>
      </c>
      <c r="BC99" s="345">
        <v>1700000</v>
      </c>
      <c r="BD99" s="345"/>
      <c r="BE99" s="345"/>
      <c r="BF99" s="438"/>
      <c r="BG99" s="443"/>
      <c r="BH99" s="237"/>
      <c r="BI99" s="237"/>
      <c r="BJ99" s="344">
        <f t="shared" si="16"/>
        <v>6800000</v>
      </c>
      <c r="BK99" s="237">
        <f t="shared" si="20"/>
        <v>3400000</v>
      </c>
      <c r="BL99" s="435">
        <f t="shared" si="21"/>
        <v>0.66666666666666663</v>
      </c>
      <c r="BM99" s="192"/>
      <c r="BN99" s="192"/>
      <c r="BO99" s="192"/>
      <c r="BP99" s="192"/>
      <c r="BQ99" s="192"/>
      <c r="BR99" s="192"/>
      <c r="BS99" s="192"/>
      <c r="BT99" s="192"/>
      <c r="BU99" s="192"/>
      <c r="BV99" s="192"/>
      <c r="BW99" s="192"/>
      <c r="BX99" s="192"/>
      <c r="BY99" s="192"/>
      <c r="BZ99" s="192"/>
      <c r="CA99" s="192"/>
      <c r="CB99" s="192"/>
      <c r="CC99" s="192"/>
      <c r="CD99" s="192"/>
    </row>
    <row r="100" spans="1:82" s="25" customFormat="1" x14ac:dyDescent="0.25">
      <c r="A100" s="364">
        <v>118</v>
      </c>
      <c r="B100" s="365" t="s">
        <v>134</v>
      </c>
      <c r="C100" s="364">
        <v>1163</v>
      </c>
      <c r="D100" s="365" t="s">
        <v>136</v>
      </c>
      <c r="E100" s="364">
        <v>1</v>
      </c>
      <c r="F100" s="607"/>
      <c r="G100" s="607"/>
      <c r="H100" s="607"/>
      <c r="I100" s="607"/>
      <c r="J100" s="627"/>
      <c r="K100" s="627"/>
      <c r="L100" s="164" t="s">
        <v>958</v>
      </c>
      <c r="M100" s="164" t="s">
        <v>1134</v>
      </c>
      <c r="N100" s="164" t="s">
        <v>493</v>
      </c>
      <c r="O100" s="258" t="s">
        <v>793</v>
      </c>
      <c r="P100" s="254" t="s">
        <v>400</v>
      </c>
      <c r="Q100" s="257">
        <v>41950</v>
      </c>
      <c r="R100" s="258">
        <v>41970</v>
      </c>
      <c r="S100" s="258" t="s">
        <v>1054</v>
      </c>
      <c r="T100" s="254">
        <v>128</v>
      </c>
      <c r="U100" s="258" t="s">
        <v>1287</v>
      </c>
      <c r="V100" s="254" t="s">
        <v>558</v>
      </c>
      <c r="W100" s="263">
        <v>900270576</v>
      </c>
      <c r="X100" s="262">
        <v>250</v>
      </c>
      <c r="Y100" s="258" t="s">
        <v>884</v>
      </c>
      <c r="Z100" s="254"/>
      <c r="AA100" s="167">
        <v>782</v>
      </c>
      <c r="AB100" s="175"/>
      <c r="AC100" s="167">
        <v>871</v>
      </c>
      <c r="AD100" s="168">
        <v>167238167</v>
      </c>
      <c r="AE100" s="167"/>
      <c r="AF100" s="167"/>
      <c r="AG100" s="167"/>
      <c r="AH100" s="167"/>
      <c r="AI100" s="167"/>
      <c r="AJ100" s="167"/>
      <c r="AK100" s="167"/>
      <c r="AL100" s="167"/>
      <c r="AM100" s="167"/>
      <c r="AN100" s="167">
        <v>0</v>
      </c>
      <c r="AO100" s="167">
        <v>0</v>
      </c>
      <c r="AP100" s="167">
        <v>0</v>
      </c>
      <c r="AQ100" s="168">
        <f t="shared" si="17"/>
        <v>0</v>
      </c>
      <c r="AR100" s="168">
        <f t="shared" si="18"/>
        <v>167238167</v>
      </c>
      <c r="AS100" s="169">
        <f t="shared" si="19"/>
        <v>0</v>
      </c>
      <c r="AT100" s="236"/>
      <c r="AU100" s="346">
        <v>471</v>
      </c>
      <c r="AV100" s="346">
        <v>523</v>
      </c>
      <c r="AW100" s="345">
        <v>167238167</v>
      </c>
      <c r="AX100" s="345">
        <v>0</v>
      </c>
      <c r="AY100" s="345">
        <v>0</v>
      </c>
      <c r="AZ100" s="345">
        <v>0</v>
      </c>
      <c r="BA100" s="345">
        <v>0</v>
      </c>
      <c r="BB100" s="345">
        <v>5693667</v>
      </c>
      <c r="BC100" s="237">
        <v>0</v>
      </c>
      <c r="BD100" s="345"/>
      <c r="BE100" s="345">
        <v>18624166</v>
      </c>
      <c r="BF100" s="438"/>
      <c r="BG100" s="443"/>
      <c r="BH100" s="237">
        <v>41087001</v>
      </c>
      <c r="BI100" s="237">
        <f>101383333+450000</f>
        <v>101833333</v>
      </c>
      <c r="BJ100" s="344">
        <f t="shared" si="16"/>
        <v>167238167</v>
      </c>
      <c r="BK100" s="237">
        <f t="shared" si="20"/>
        <v>0</v>
      </c>
      <c r="BL100" s="435">
        <f t="shared" si="21"/>
        <v>1</v>
      </c>
      <c r="BM100" s="192"/>
      <c r="BN100" s="192"/>
      <c r="BO100" s="192"/>
      <c r="BP100" s="192"/>
      <c r="BQ100" s="192"/>
      <c r="BR100" s="192"/>
      <c r="BS100" s="192"/>
      <c r="BT100" s="192"/>
      <c r="BU100" s="192"/>
      <c r="BV100" s="192"/>
      <c r="BW100" s="192"/>
      <c r="BX100" s="192"/>
      <c r="BY100" s="192"/>
      <c r="BZ100" s="192"/>
      <c r="CA100" s="192"/>
      <c r="CB100" s="192"/>
      <c r="CC100" s="192"/>
      <c r="CD100" s="192"/>
    </row>
    <row r="101" spans="1:82" s="25" customFormat="1" x14ac:dyDescent="0.25">
      <c r="A101" s="364">
        <v>118</v>
      </c>
      <c r="B101" s="365" t="s">
        <v>134</v>
      </c>
      <c r="C101" s="364">
        <v>1163</v>
      </c>
      <c r="D101" s="365" t="s">
        <v>136</v>
      </c>
      <c r="E101" s="364">
        <v>1</v>
      </c>
      <c r="F101" s="607"/>
      <c r="G101" s="607"/>
      <c r="H101" s="607"/>
      <c r="I101" s="607"/>
      <c r="J101" s="627"/>
      <c r="K101" s="627"/>
      <c r="L101" s="164" t="s">
        <v>959</v>
      </c>
      <c r="M101" s="164" t="s">
        <v>1134</v>
      </c>
      <c r="N101" s="164" t="s">
        <v>493</v>
      </c>
      <c r="O101" s="258" t="s">
        <v>793</v>
      </c>
      <c r="P101" s="254" t="s">
        <v>320</v>
      </c>
      <c r="Q101" s="257">
        <v>41970</v>
      </c>
      <c r="R101" s="258">
        <v>42045</v>
      </c>
      <c r="S101" s="258" t="s">
        <v>500</v>
      </c>
      <c r="T101" s="254">
        <v>147</v>
      </c>
      <c r="U101" s="258" t="s">
        <v>798</v>
      </c>
      <c r="V101" s="254" t="s">
        <v>960</v>
      </c>
      <c r="W101" s="263">
        <v>54254827</v>
      </c>
      <c r="X101" s="258" t="s">
        <v>90</v>
      </c>
      <c r="Y101" s="258" t="s">
        <v>884</v>
      </c>
      <c r="Z101" s="254"/>
      <c r="AA101" s="167">
        <v>820</v>
      </c>
      <c r="AB101" s="175"/>
      <c r="AC101" s="167">
        <v>915</v>
      </c>
      <c r="AD101" s="168">
        <v>6400000</v>
      </c>
      <c r="AE101" s="167"/>
      <c r="AF101" s="167"/>
      <c r="AG101" s="167"/>
      <c r="AH101" s="167"/>
      <c r="AI101" s="167"/>
      <c r="AJ101" s="167"/>
      <c r="AK101" s="167"/>
      <c r="AL101" s="167"/>
      <c r="AM101" s="167"/>
      <c r="AN101" s="167">
        <v>0</v>
      </c>
      <c r="AO101" s="167">
        <v>0</v>
      </c>
      <c r="AP101" s="167">
        <v>0</v>
      </c>
      <c r="AQ101" s="168">
        <f t="shared" si="17"/>
        <v>0</v>
      </c>
      <c r="AR101" s="168">
        <f t="shared" si="18"/>
        <v>6400000</v>
      </c>
      <c r="AS101" s="169">
        <f t="shared" si="19"/>
        <v>0</v>
      </c>
      <c r="AT101" s="236"/>
      <c r="AU101" s="346">
        <v>299</v>
      </c>
      <c r="AV101" s="346">
        <v>256</v>
      </c>
      <c r="AW101" s="345">
        <v>6400000</v>
      </c>
      <c r="AX101" s="345">
        <v>0</v>
      </c>
      <c r="AY101" s="345">
        <v>0</v>
      </c>
      <c r="AZ101" s="345">
        <v>0</v>
      </c>
      <c r="BA101" s="345">
        <v>0</v>
      </c>
      <c r="BB101" s="345">
        <v>1600000</v>
      </c>
      <c r="BC101" s="237">
        <v>0</v>
      </c>
      <c r="BD101" s="345"/>
      <c r="BE101" s="345"/>
      <c r="BF101" s="438"/>
      <c r="BG101" s="443"/>
      <c r="BH101" s="237">
        <v>3200000</v>
      </c>
      <c r="BI101" s="237"/>
      <c r="BJ101" s="344">
        <f t="shared" si="16"/>
        <v>4800000</v>
      </c>
      <c r="BK101" s="237">
        <f t="shared" si="20"/>
        <v>1600000</v>
      </c>
      <c r="BL101" s="435">
        <f t="shared" si="21"/>
        <v>0.75</v>
      </c>
      <c r="BM101" s="192"/>
      <c r="BN101" s="192"/>
      <c r="BO101" s="192"/>
      <c r="BP101" s="192"/>
      <c r="BQ101" s="192"/>
      <c r="BR101" s="192"/>
      <c r="BS101" s="192"/>
      <c r="BT101" s="192"/>
      <c r="BU101" s="192"/>
      <c r="BV101" s="192"/>
      <c r="BW101" s="192"/>
      <c r="BX101" s="192"/>
      <c r="BY101" s="192"/>
      <c r="BZ101" s="192"/>
      <c r="CA101" s="192"/>
      <c r="CB101" s="192"/>
      <c r="CC101" s="192"/>
      <c r="CD101" s="192"/>
    </row>
    <row r="102" spans="1:82" s="25" customFormat="1" x14ac:dyDescent="0.25">
      <c r="A102" s="364">
        <v>118</v>
      </c>
      <c r="B102" s="365" t="s">
        <v>134</v>
      </c>
      <c r="C102" s="364">
        <v>1163</v>
      </c>
      <c r="D102" s="365" t="s">
        <v>136</v>
      </c>
      <c r="E102" s="364">
        <v>1</v>
      </c>
      <c r="F102" s="607"/>
      <c r="G102" s="607"/>
      <c r="H102" s="607"/>
      <c r="I102" s="607"/>
      <c r="J102" s="627"/>
      <c r="K102" s="627"/>
      <c r="L102" s="164" t="s">
        <v>961</v>
      </c>
      <c r="M102" s="164" t="s">
        <v>1134</v>
      </c>
      <c r="N102" s="164" t="s">
        <v>493</v>
      </c>
      <c r="O102" s="258" t="s">
        <v>1381</v>
      </c>
      <c r="P102" s="254" t="s">
        <v>400</v>
      </c>
      <c r="Q102" s="368">
        <v>41978</v>
      </c>
      <c r="R102" s="367">
        <v>41989</v>
      </c>
      <c r="S102" s="367" t="s">
        <v>378</v>
      </c>
      <c r="T102" s="254">
        <v>151</v>
      </c>
      <c r="U102" s="258" t="s">
        <v>798</v>
      </c>
      <c r="V102" s="254" t="s">
        <v>558</v>
      </c>
      <c r="W102" s="263">
        <v>900270576</v>
      </c>
      <c r="X102" s="366">
        <v>480</v>
      </c>
      <c r="Y102" s="177" t="s">
        <v>971</v>
      </c>
      <c r="Z102" s="254"/>
      <c r="AA102" s="167">
        <v>842</v>
      </c>
      <c r="AB102" s="175"/>
      <c r="AC102" s="167">
        <v>926</v>
      </c>
      <c r="AD102" s="168">
        <v>136374630</v>
      </c>
      <c r="AE102" s="167"/>
      <c r="AF102" s="167"/>
      <c r="AG102" s="167"/>
      <c r="AH102" s="167"/>
      <c r="AI102" s="167"/>
      <c r="AJ102" s="167"/>
      <c r="AK102" s="167"/>
      <c r="AL102" s="167"/>
      <c r="AM102" s="167"/>
      <c r="AN102" s="167">
        <v>0</v>
      </c>
      <c r="AO102" s="167">
        <v>0</v>
      </c>
      <c r="AP102" s="167">
        <v>0</v>
      </c>
      <c r="AQ102" s="168">
        <f t="shared" si="17"/>
        <v>0</v>
      </c>
      <c r="AR102" s="168">
        <f t="shared" si="18"/>
        <v>136374630</v>
      </c>
      <c r="AS102" s="169">
        <f t="shared" si="19"/>
        <v>0</v>
      </c>
      <c r="AT102" s="236"/>
      <c r="AU102" s="346">
        <v>441</v>
      </c>
      <c r="AV102" s="346">
        <v>475</v>
      </c>
      <c r="AW102" s="345">
        <v>136374630</v>
      </c>
      <c r="AX102" s="345">
        <v>0</v>
      </c>
      <c r="AY102" s="345">
        <v>0</v>
      </c>
      <c r="AZ102" s="345">
        <v>44983503</v>
      </c>
      <c r="BA102" s="345">
        <v>0</v>
      </c>
      <c r="BB102" s="345">
        <v>91391127</v>
      </c>
      <c r="BC102" s="237">
        <v>0</v>
      </c>
      <c r="BD102" s="345"/>
      <c r="BE102" s="345"/>
      <c r="BF102" s="438"/>
      <c r="BG102" s="443"/>
      <c r="BH102" s="237"/>
      <c r="BI102" s="237"/>
      <c r="BJ102" s="344">
        <f t="shared" si="16"/>
        <v>136374630</v>
      </c>
      <c r="BK102" s="237">
        <f t="shared" si="20"/>
        <v>0</v>
      </c>
      <c r="BL102" s="435">
        <f t="shared" si="21"/>
        <v>1</v>
      </c>
      <c r="BM102" s="192"/>
      <c r="BN102" s="192"/>
      <c r="BO102" s="192"/>
      <c r="BP102" s="192"/>
      <c r="BQ102" s="192"/>
      <c r="BR102" s="192"/>
      <c r="BS102" s="192"/>
      <c r="BT102" s="192"/>
      <c r="BU102" s="192"/>
      <c r="BV102" s="192"/>
      <c r="BW102" s="192"/>
      <c r="BX102" s="192"/>
      <c r="BY102" s="192"/>
      <c r="BZ102" s="192"/>
      <c r="CA102" s="192"/>
      <c r="CB102" s="192"/>
      <c r="CC102" s="192"/>
      <c r="CD102" s="192"/>
    </row>
    <row r="103" spans="1:82" s="25" customFormat="1" x14ac:dyDescent="0.25">
      <c r="A103" s="364">
        <v>118</v>
      </c>
      <c r="B103" s="365" t="s">
        <v>134</v>
      </c>
      <c r="C103" s="364">
        <v>1163</v>
      </c>
      <c r="D103" s="365" t="s">
        <v>136</v>
      </c>
      <c r="E103" s="364">
        <v>1</v>
      </c>
      <c r="F103" s="607"/>
      <c r="G103" s="607"/>
      <c r="H103" s="607"/>
      <c r="I103" s="607"/>
      <c r="J103" s="627"/>
      <c r="K103" s="627"/>
      <c r="L103" s="164" t="s">
        <v>962</v>
      </c>
      <c r="M103" s="164" t="s">
        <v>1134</v>
      </c>
      <c r="N103" s="164" t="s">
        <v>493</v>
      </c>
      <c r="O103" s="258" t="s">
        <v>793</v>
      </c>
      <c r="P103" s="254" t="s">
        <v>320</v>
      </c>
      <c r="Q103" s="257">
        <v>41988</v>
      </c>
      <c r="R103" s="258">
        <v>41989</v>
      </c>
      <c r="S103" s="258" t="s">
        <v>378</v>
      </c>
      <c r="T103" s="254">
        <v>157</v>
      </c>
      <c r="U103" s="258" t="s">
        <v>798</v>
      </c>
      <c r="V103" s="254" t="s">
        <v>963</v>
      </c>
      <c r="W103" s="263">
        <v>53013605</v>
      </c>
      <c r="X103" s="258" t="s">
        <v>90</v>
      </c>
      <c r="Y103" s="258" t="s">
        <v>483</v>
      </c>
      <c r="Z103" s="254"/>
      <c r="AA103" s="167">
        <v>866</v>
      </c>
      <c r="AB103" s="175"/>
      <c r="AC103" s="167">
        <v>946</v>
      </c>
      <c r="AD103" s="168">
        <v>4000000</v>
      </c>
      <c r="AE103" s="167"/>
      <c r="AF103" s="167"/>
      <c r="AG103" s="167"/>
      <c r="AH103" s="167"/>
      <c r="AI103" s="167"/>
      <c r="AJ103" s="167"/>
      <c r="AK103" s="167"/>
      <c r="AL103" s="167"/>
      <c r="AM103" s="167"/>
      <c r="AN103" s="167">
        <v>0</v>
      </c>
      <c r="AO103" s="167">
        <v>0</v>
      </c>
      <c r="AP103" s="167">
        <v>0</v>
      </c>
      <c r="AQ103" s="168">
        <f t="shared" si="17"/>
        <v>0</v>
      </c>
      <c r="AR103" s="168">
        <f t="shared" si="18"/>
        <v>4000000</v>
      </c>
      <c r="AS103" s="169">
        <f t="shared" si="19"/>
        <v>0</v>
      </c>
      <c r="AT103" s="236"/>
      <c r="AU103" s="346">
        <v>316</v>
      </c>
      <c r="AV103" s="346">
        <v>270</v>
      </c>
      <c r="AW103" s="345">
        <v>4000000</v>
      </c>
      <c r="AX103" s="345">
        <v>0</v>
      </c>
      <c r="AY103" s="345">
        <v>0</v>
      </c>
      <c r="AZ103" s="345">
        <v>0</v>
      </c>
      <c r="BA103" s="345">
        <v>2000000</v>
      </c>
      <c r="BB103" s="345">
        <v>0</v>
      </c>
      <c r="BC103" s="345">
        <v>2000000</v>
      </c>
      <c r="BD103" s="345"/>
      <c r="BE103" s="345"/>
      <c r="BF103" s="438"/>
      <c r="BG103" s="443"/>
      <c r="BH103" s="237"/>
      <c r="BI103" s="237"/>
      <c r="BJ103" s="344">
        <f t="shared" si="16"/>
        <v>4000000</v>
      </c>
      <c r="BK103" s="237">
        <f t="shared" si="20"/>
        <v>0</v>
      </c>
      <c r="BL103" s="435">
        <f t="shared" si="21"/>
        <v>1</v>
      </c>
      <c r="BM103" s="192"/>
      <c r="BN103" s="192"/>
      <c r="BO103" s="192"/>
      <c r="BP103" s="192"/>
      <c r="BQ103" s="192"/>
      <c r="BR103" s="192"/>
      <c r="BS103" s="192"/>
      <c r="BT103" s="192"/>
      <c r="BU103" s="192"/>
      <c r="BV103" s="192"/>
      <c r="BW103" s="192"/>
      <c r="BX103" s="192"/>
      <c r="BY103" s="192"/>
      <c r="BZ103" s="192"/>
      <c r="CA103" s="192"/>
      <c r="CB103" s="192"/>
      <c r="CC103" s="192"/>
      <c r="CD103" s="192"/>
    </row>
    <row r="104" spans="1:82" s="25" customFormat="1" ht="13.5" customHeight="1" x14ac:dyDescent="0.25">
      <c r="A104" s="362">
        <v>119</v>
      </c>
      <c r="B104" s="365" t="s">
        <v>139</v>
      </c>
      <c r="C104" s="362">
        <v>1161</v>
      </c>
      <c r="D104" s="363" t="s">
        <v>122</v>
      </c>
      <c r="E104" s="362">
        <v>2</v>
      </c>
      <c r="F104" s="585" t="s">
        <v>53</v>
      </c>
      <c r="G104" s="585">
        <v>350</v>
      </c>
      <c r="H104" s="585" t="s">
        <v>141</v>
      </c>
      <c r="I104" s="585" t="s">
        <v>142</v>
      </c>
      <c r="J104" s="628">
        <v>0</v>
      </c>
      <c r="K104" s="629">
        <v>0</v>
      </c>
      <c r="L104" s="359" t="s">
        <v>964</v>
      </c>
      <c r="M104" s="359" t="s">
        <v>1134</v>
      </c>
      <c r="N104" s="360" t="s">
        <v>493</v>
      </c>
      <c r="O104" s="360" t="s">
        <v>793</v>
      </c>
      <c r="P104" s="360" t="s">
        <v>320</v>
      </c>
      <c r="Q104" s="361">
        <v>41579</v>
      </c>
      <c r="R104" s="361">
        <v>41586</v>
      </c>
      <c r="S104" s="360" t="s">
        <v>512</v>
      </c>
      <c r="T104" s="360" t="s">
        <v>592</v>
      </c>
      <c r="U104" s="360" t="s">
        <v>965</v>
      </c>
      <c r="V104" s="360" t="s">
        <v>594</v>
      </c>
      <c r="W104" s="360">
        <v>79781116</v>
      </c>
      <c r="X104" s="360" t="s">
        <v>361</v>
      </c>
      <c r="Y104" s="360" t="s">
        <v>966</v>
      </c>
      <c r="Z104" s="359"/>
      <c r="AA104" s="357">
        <v>482</v>
      </c>
      <c r="AB104" s="358"/>
      <c r="AC104" s="357">
        <v>503</v>
      </c>
      <c r="AD104" s="168">
        <v>1000000</v>
      </c>
      <c r="AE104" s="167">
        <v>0</v>
      </c>
      <c r="AF104" s="167">
        <v>0</v>
      </c>
      <c r="AG104" s="167">
        <v>0</v>
      </c>
      <c r="AH104" s="167">
        <v>0</v>
      </c>
      <c r="AI104" s="167">
        <v>0</v>
      </c>
      <c r="AJ104" s="167">
        <v>0</v>
      </c>
      <c r="AK104" s="167">
        <v>0</v>
      </c>
      <c r="AL104" s="167">
        <v>1000000</v>
      </c>
      <c r="AM104" s="167">
        <v>0</v>
      </c>
      <c r="AN104" s="167">
        <v>0</v>
      </c>
      <c r="AO104" s="167">
        <v>0</v>
      </c>
      <c r="AP104" s="167">
        <v>0</v>
      </c>
      <c r="AQ104" s="168">
        <f t="shared" si="17"/>
        <v>1000000</v>
      </c>
      <c r="AR104" s="168">
        <f t="shared" si="18"/>
        <v>0</v>
      </c>
      <c r="AS104" s="169">
        <f t="shared" si="19"/>
        <v>1</v>
      </c>
      <c r="AT104" s="236"/>
      <c r="AU104" s="346"/>
      <c r="AV104" s="346"/>
      <c r="AW104" s="345"/>
      <c r="AX104" s="345"/>
      <c r="AY104" s="349"/>
      <c r="AZ104" s="349"/>
      <c r="BA104" s="349"/>
      <c r="BB104" s="345"/>
      <c r="BC104" s="237"/>
      <c r="BD104" s="345"/>
      <c r="BE104" s="345"/>
      <c r="BF104" s="438"/>
      <c r="BG104" s="443"/>
      <c r="BH104" s="237"/>
      <c r="BI104" s="237"/>
      <c r="BJ104" s="344">
        <f t="shared" si="16"/>
        <v>0</v>
      </c>
      <c r="BK104" s="237">
        <f t="shared" si="20"/>
        <v>0</v>
      </c>
      <c r="BL104" s="435" t="e">
        <f t="shared" si="21"/>
        <v>#DIV/0!</v>
      </c>
      <c r="BM104" s="192"/>
      <c r="BN104" s="192"/>
      <c r="BO104" s="192"/>
      <c r="BP104" s="192"/>
      <c r="BQ104" s="192"/>
      <c r="BR104" s="192"/>
      <c r="BS104" s="192"/>
      <c r="BT104" s="192"/>
      <c r="BU104" s="192"/>
      <c r="BV104" s="192"/>
      <c r="BW104" s="192"/>
      <c r="BX104" s="192"/>
      <c r="BY104" s="192"/>
      <c r="BZ104" s="192"/>
      <c r="CA104" s="192"/>
      <c r="CB104" s="192"/>
      <c r="CC104" s="192"/>
      <c r="CD104" s="192"/>
    </row>
    <row r="105" spans="1:82" s="25" customFormat="1" x14ac:dyDescent="0.25">
      <c r="A105" s="64">
        <v>119</v>
      </c>
      <c r="B105" s="365" t="s">
        <v>139</v>
      </c>
      <c r="C105" s="64">
        <v>1161</v>
      </c>
      <c r="D105" s="65" t="s">
        <v>122</v>
      </c>
      <c r="E105" s="64">
        <v>2</v>
      </c>
      <c r="F105" s="585"/>
      <c r="G105" s="585"/>
      <c r="H105" s="585"/>
      <c r="I105" s="585"/>
      <c r="J105" s="628"/>
      <c r="K105" s="629"/>
      <c r="L105" s="164" t="s">
        <v>967</v>
      </c>
      <c r="M105" s="164" t="s">
        <v>1134</v>
      </c>
      <c r="N105" s="166" t="s">
        <v>493</v>
      </c>
      <c r="O105" s="166" t="s">
        <v>793</v>
      </c>
      <c r="P105" s="166" t="s">
        <v>320</v>
      </c>
      <c r="Q105" s="180">
        <v>41944</v>
      </c>
      <c r="R105" s="180">
        <v>41586</v>
      </c>
      <c r="S105" s="166" t="s">
        <v>512</v>
      </c>
      <c r="T105" s="166" t="s">
        <v>592</v>
      </c>
      <c r="U105" s="166" t="s">
        <v>965</v>
      </c>
      <c r="V105" s="166" t="s">
        <v>594</v>
      </c>
      <c r="W105" s="166">
        <v>79781116</v>
      </c>
      <c r="X105" s="166" t="s">
        <v>361</v>
      </c>
      <c r="Y105" s="166" t="s">
        <v>966</v>
      </c>
      <c r="Z105" s="164"/>
      <c r="AA105" s="167">
        <v>450</v>
      </c>
      <c r="AB105" s="175"/>
      <c r="AC105" s="167">
        <v>446</v>
      </c>
      <c r="AD105" s="168">
        <v>2000000</v>
      </c>
      <c r="AE105" s="167">
        <v>0</v>
      </c>
      <c r="AF105" s="167">
        <v>0</v>
      </c>
      <c r="AG105" s="167">
        <v>0</v>
      </c>
      <c r="AH105" s="167">
        <v>0</v>
      </c>
      <c r="AI105" s="167">
        <v>0</v>
      </c>
      <c r="AJ105" s="167">
        <v>2000000</v>
      </c>
      <c r="AK105" s="167">
        <v>0</v>
      </c>
      <c r="AL105" s="167">
        <v>0</v>
      </c>
      <c r="AM105" s="167">
        <v>0</v>
      </c>
      <c r="AN105" s="167">
        <v>0</v>
      </c>
      <c r="AO105" s="167">
        <v>0</v>
      </c>
      <c r="AP105" s="167">
        <v>0</v>
      </c>
      <c r="AQ105" s="168">
        <f t="shared" si="17"/>
        <v>2000000</v>
      </c>
      <c r="AR105" s="168">
        <f t="shared" si="18"/>
        <v>0</v>
      </c>
      <c r="AS105" s="169">
        <f t="shared" si="19"/>
        <v>1</v>
      </c>
      <c r="AT105" s="236"/>
      <c r="AU105" s="346"/>
      <c r="AV105" s="346"/>
      <c r="AW105" s="345"/>
      <c r="AX105" s="345"/>
      <c r="AY105" s="349"/>
      <c r="AZ105" s="349"/>
      <c r="BA105" s="349"/>
      <c r="BB105" s="345"/>
      <c r="BC105" s="237"/>
      <c r="BD105" s="345"/>
      <c r="BE105" s="345"/>
      <c r="BF105" s="438"/>
      <c r="BG105" s="443"/>
      <c r="BH105" s="237"/>
      <c r="BI105" s="237"/>
      <c r="BJ105" s="344">
        <f t="shared" si="16"/>
        <v>0</v>
      </c>
      <c r="BK105" s="237">
        <f t="shared" si="20"/>
        <v>0</v>
      </c>
      <c r="BL105" s="435" t="e">
        <f t="shared" si="21"/>
        <v>#DIV/0!</v>
      </c>
      <c r="BM105" s="192"/>
      <c r="BN105" s="192"/>
      <c r="BO105" s="192"/>
      <c r="BP105" s="192"/>
      <c r="BQ105" s="192"/>
      <c r="BR105" s="192"/>
      <c r="BS105" s="192"/>
      <c r="BT105" s="192"/>
      <c r="BU105" s="192"/>
      <c r="BV105" s="192"/>
      <c r="BW105" s="192"/>
      <c r="BX105" s="192"/>
      <c r="BY105" s="192"/>
      <c r="BZ105" s="192"/>
      <c r="CA105" s="192"/>
      <c r="CB105" s="192"/>
      <c r="CC105" s="192"/>
      <c r="CD105" s="192"/>
    </row>
    <row r="106" spans="1:82" s="25" customFormat="1" x14ac:dyDescent="0.25">
      <c r="A106" s="64">
        <v>119</v>
      </c>
      <c r="B106" s="365" t="s">
        <v>139</v>
      </c>
      <c r="C106" s="64">
        <v>1161</v>
      </c>
      <c r="D106" s="65" t="s">
        <v>122</v>
      </c>
      <c r="E106" s="64">
        <v>2</v>
      </c>
      <c r="F106" s="585"/>
      <c r="G106" s="585"/>
      <c r="H106" s="585"/>
      <c r="I106" s="585"/>
      <c r="J106" s="628"/>
      <c r="K106" s="629"/>
      <c r="L106" s="164" t="s">
        <v>968</v>
      </c>
      <c r="M106" s="164" t="s">
        <v>1134</v>
      </c>
      <c r="N106" s="166" t="s">
        <v>493</v>
      </c>
      <c r="O106" s="166" t="s">
        <v>793</v>
      </c>
      <c r="P106" s="177" t="s">
        <v>400</v>
      </c>
      <c r="Q106" s="190">
        <v>41751</v>
      </c>
      <c r="R106" s="190">
        <v>41751</v>
      </c>
      <c r="S106" s="177" t="s">
        <v>310</v>
      </c>
      <c r="T106" s="177" t="s">
        <v>601</v>
      </c>
      <c r="U106" s="177" t="s">
        <v>969</v>
      </c>
      <c r="V106" s="177" t="s">
        <v>582</v>
      </c>
      <c r="W106" s="177" t="s">
        <v>970</v>
      </c>
      <c r="X106" s="177">
        <v>255</v>
      </c>
      <c r="Y106" s="177" t="s">
        <v>971</v>
      </c>
      <c r="Z106" s="194"/>
      <c r="AA106" s="167">
        <v>476</v>
      </c>
      <c r="AB106" s="175"/>
      <c r="AC106" s="167">
        <v>477</v>
      </c>
      <c r="AD106" s="168">
        <v>46822500</v>
      </c>
      <c r="AE106" s="167">
        <v>0</v>
      </c>
      <c r="AF106" s="167">
        <v>0</v>
      </c>
      <c r="AG106" s="167">
        <v>0</v>
      </c>
      <c r="AH106" s="167">
        <v>0</v>
      </c>
      <c r="AI106" s="167">
        <v>0</v>
      </c>
      <c r="AJ106" s="167">
        <v>2748125</v>
      </c>
      <c r="AK106" s="167">
        <v>0</v>
      </c>
      <c r="AL106" s="167">
        <v>44074375</v>
      </c>
      <c r="AM106" s="167">
        <v>0</v>
      </c>
      <c r="AN106" s="167">
        <v>0</v>
      </c>
      <c r="AO106" s="167">
        <v>0</v>
      </c>
      <c r="AP106" s="167">
        <v>0</v>
      </c>
      <c r="AQ106" s="168">
        <f t="shared" si="17"/>
        <v>46822500</v>
      </c>
      <c r="AR106" s="168">
        <f t="shared" si="18"/>
        <v>0</v>
      </c>
      <c r="AS106" s="169">
        <f t="shared" si="19"/>
        <v>1</v>
      </c>
      <c r="AT106" s="236"/>
      <c r="AU106" s="346"/>
      <c r="AV106" s="346"/>
      <c r="AW106" s="345"/>
      <c r="AX106" s="345"/>
      <c r="AY106" s="349"/>
      <c r="AZ106" s="349"/>
      <c r="BA106" s="349"/>
      <c r="BB106" s="345"/>
      <c r="BC106" s="237"/>
      <c r="BD106" s="345"/>
      <c r="BE106" s="345"/>
      <c r="BF106" s="438"/>
      <c r="BG106" s="443"/>
      <c r="BH106" s="237"/>
      <c r="BI106" s="237"/>
      <c r="BJ106" s="344">
        <f t="shared" si="16"/>
        <v>0</v>
      </c>
      <c r="BK106" s="237">
        <f t="shared" si="20"/>
        <v>0</v>
      </c>
      <c r="BL106" s="435" t="e">
        <f t="shared" si="21"/>
        <v>#DIV/0!</v>
      </c>
      <c r="BM106" s="192"/>
      <c r="BN106" s="192"/>
      <c r="BO106" s="192"/>
      <c r="BP106" s="192"/>
      <c r="BQ106" s="192"/>
      <c r="BR106" s="192"/>
      <c r="BS106" s="192"/>
      <c r="BT106" s="192"/>
      <c r="BU106" s="192"/>
      <c r="BV106" s="192"/>
      <c r="BW106" s="192"/>
      <c r="BX106" s="192"/>
      <c r="BY106" s="192"/>
      <c r="BZ106" s="192"/>
      <c r="CA106" s="192"/>
      <c r="CB106" s="192"/>
      <c r="CC106" s="192"/>
      <c r="CD106" s="192"/>
    </row>
    <row r="107" spans="1:82" s="25" customFormat="1" x14ac:dyDescent="0.25">
      <c r="A107" s="64">
        <v>119</v>
      </c>
      <c r="B107" s="365" t="s">
        <v>139</v>
      </c>
      <c r="C107" s="64">
        <v>1161</v>
      </c>
      <c r="D107" s="65" t="s">
        <v>122</v>
      </c>
      <c r="E107" s="64">
        <v>2</v>
      </c>
      <c r="F107" s="585"/>
      <c r="G107" s="585"/>
      <c r="H107" s="585"/>
      <c r="I107" s="585"/>
      <c r="J107" s="628"/>
      <c r="K107" s="629"/>
      <c r="L107" s="164" t="s">
        <v>972</v>
      </c>
      <c r="M107" s="164" t="s">
        <v>1134</v>
      </c>
      <c r="N107" s="166" t="s">
        <v>493</v>
      </c>
      <c r="O107" s="166" t="s">
        <v>793</v>
      </c>
      <c r="P107" s="177" t="s">
        <v>400</v>
      </c>
      <c r="Q107" s="190">
        <v>41905</v>
      </c>
      <c r="R107" s="190">
        <v>41913</v>
      </c>
      <c r="S107" s="177" t="s">
        <v>973</v>
      </c>
      <c r="T107" s="177" t="s">
        <v>974</v>
      </c>
      <c r="U107" s="177" t="s">
        <v>1317</v>
      </c>
      <c r="V107" s="177" t="s">
        <v>582</v>
      </c>
      <c r="W107" s="177" t="s">
        <v>970</v>
      </c>
      <c r="X107" s="177">
        <v>255</v>
      </c>
      <c r="Y107" s="177" t="s">
        <v>971</v>
      </c>
      <c r="Z107" s="194"/>
      <c r="AA107" s="167">
        <v>621</v>
      </c>
      <c r="AB107" s="175"/>
      <c r="AC107" s="167">
        <v>801</v>
      </c>
      <c r="AD107" s="168">
        <v>332000000</v>
      </c>
      <c r="AE107" s="167"/>
      <c r="AF107" s="167"/>
      <c r="AG107" s="167"/>
      <c r="AH107" s="167"/>
      <c r="AI107" s="167">
        <v>0</v>
      </c>
      <c r="AJ107" s="167">
        <v>0</v>
      </c>
      <c r="AK107" s="167">
        <v>0</v>
      </c>
      <c r="AL107" s="167">
        <v>0</v>
      </c>
      <c r="AM107" s="167">
        <v>0</v>
      </c>
      <c r="AN107" s="167">
        <v>0</v>
      </c>
      <c r="AO107" s="167">
        <v>0</v>
      </c>
      <c r="AP107" s="167">
        <v>35657500</v>
      </c>
      <c r="AQ107" s="168">
        <f t="shared" si="17"/>
        <v>35657500</v>
      </c>
      <c r="AR107" s="168">
        <f t="shared" si="18"/>
        <v>296342500</v>
      </c>
      <c r="AS107" s="169">
        <f t="shared" si="19"/>
        <v>0.10740210843373493</v>
      </c>
      <c r="AT107" s="236"/>
      <c r="AU107" s="346">
        <v>252</v>
      </c>
      <c r="AV107" s="346">
        <v>325</v>
      </c>
      <c r="AW107" s="345">
        <v>296342500</v>
      </c>
      <c r="AX107" s="345">
        <v>0</v>
      </c>
      <c r="AY107" s="349">
        <v>105179500</v>
      </c>
      <c r="AZ107" s="349">
        <v>0</v>
      </c>
      <c r="BA107" s="349">
        <v>90761000</v>
      </c>
      <c r="BB107" s="345">
        <v>100402000</v>
      </c>
      <c r="BC107" s="237">
        <v>0</v>
      </c>
      <c r="BD107" s="345"/>
      <c r="BE107" s="345"/>
      <c r="BF107" s="438"/>
      <c r="BG107" s="443"/>
      <c r="BH107" s="237"/>
      <c r="BI107" s="237"/>
      <c r="BJ107" s="344">
        <f t="shared" si="16"/>
        <v>296342500</v>
      </c>
      <c r="BK107" s="237">
        <f t="shared" si="20"/>
        <v>0</v>
      </c>
      <c r="BL107" s="435">
        <f t="shared" si="21"/>
        <v>1</v>
      </c>
      <c r="BM107" s="192"/>
      <c r="BN107" s="192"/>
      <c r="BO107" s="192"/>
      <c r="BP107" s="192"/>
      <c r="BQ107" s="192"/>
      <c r="BR107" s="192"/>
      <c r="BS107" s="192"/>
      <c r="BT107" s="192"/>
      <c r="BU107" s="192"/>
      <c r="BV107" s="192"/>
      <c r="BW107" s="192"/>
      <c r="BX107" s="192"/>
      <c r="BY107" s="192"/>
      <c r="BZ107" s="192"/>
      <c r="CA107" s="192"/>
      <c r="CB107" s="192"/>
      <c r="CC107" s="192"/>
      <c r="CD107" s="192"/>
    </row>
    <row r="108" spans="1:82" s="25" customFormat="1" x14ac:dyDescent="0.25">
      <c r="A108" s="64">
        <v>119</v>
      </c>
      <c r="B108" s="365" t="s">
        <v>139</v>
      </c>
      <c r="C108" s="64">
        <v>1161</v>
      </c>
      <c r="D108" s="65" t="s">
        <v>122</v>
      </c>
      <c r="E108" s="64">
        <v>2</v>
      </c>
      <c r="F108" s="585"/>
      <c r="G108" s="585"/>
      <c r="H108" s="585"/>
      <c r="I108" s="585"/>
      <c r="J108" s="628"/>
      <c r="K108" s="629"/>
      <c r="L108" s="164" t="s">
        <v>975</v>
      </c>
      <c r="M108" s="164" t="s">
        <v>1134</v>
      </c>
      <c r="N108" s="166" t="s">
        <v>493</v>
      </c>
      <c r="O108" s="255" t="s">
        <v>1062</v>
      </c>
      <c r="P108" s="194" t="s">
        <v>320</v>
      </c>
      <c r="Q108" s="190">
        <v>41851</v>
      </c>
      <c r="R108" s="190">
        <v>41913</v>
      </c>
      <c r="S108" s="253" t="s">
        <v>357</v>
      </c>
      <c r="T108" s="177" t="s">
        <v>976</v>
      </c>
      <c r="U108" s="260" t="s">
        <v>418</v>
      </c>
      <c r="V108" s="194" t="s">
        <v>594</v>
      </c>
      <c r="W108" s="166">
        <v>79781116</v>
      </c>
      <c r="X108" s="164" t="s">
        <v>361</v>
      </c>
      <c r="Y108" s="166" t="s">
        <v>315</v>
      </c>
      <c r="Z108" s="194"/>
      <c r="AA108" s="167">
        <v>756</v>
      </c>
      <c r="AB108" s="175"/>
      <c r="AC108" s="167">
        <v>811</v>
      </c>
      <c r="AD108" s="168">
        <v>10000000</v>
      </c>
      <c r="AE108" s="167"/>
      <c r="AF108" s="167"/>
      <c r="AG108" s="167"/>
      <c r="AH108" s="167"/>
      <c r="AI108" s="167"/>
      <c r="AJ108" s="167"/>
      <c r="AK108" s="167"/>
      <c r="AL108" s="167"/>
      <c r="AM108" s="167"/>
      <c r="AN108" s="167">
        <v>0</v>
      </c>
      <c r="AO108" s="167">
        <v>0</v>
      </c>
      <c r="AP108" s="167">
        <v>0</v>
      </c>
      <c r="AQ108" s="168">
        <f t="shared" si="17"/>
        <v>0</v>
      </c>
      <c r="AR108" s="168">
        <f t="shared" si="18"/>
        <v>10000000</v>
      </c>
      <c r="AS108" s="169">
        <f t="shared" si="19"/>
        <v>0</v>
      </c>
      <c r="AT108" s="236"/>
      <c r="AU108" s="346">
        <v>258</v>
      </c>
      <c r="AV108" s="346">
        <v>219</v>
      </c>
      <c r="AW108" s="345">
        <v>10000000</v>
      </c>
      <c r="AX108" s="345">
        <v>0</v>
      </c>
      <c r="AY108" s="349">
        <v>4000000</v>
      </c>
      <c r="AZ108" s="349">
        <v>0</v>
      </c>
      <c r="BA108" s="349">
        <v>4000000</v>
      </c>
      <c r="BB108" s="345">
        <v>2000000</v>
      </c>
      <c r="BC108" s="237">
        <v>0</v>
      </c>
      <c r="BD108" s="345"/>
      <c r="BE108" s="345"/>
      <c r="BF108" s="438"/>
      <c r="BG108" s="443"/>
      <c r="BH108" s="237"/>
      <c r="BI108" s="237"/>
      <c r="BJ108" s="344">
        <f t="shared" si="16"/>
        <v>10000000</v>
      </c>
      <c r="BK108" s="237">
        <f t="shared" si="20"/>
        <v>0</v>
      </c>
      <c r="BL108" s="435">
        <f t="shared" si="21"/>
        <v>1</v>
      </c>
      <c r="BM108" s="192"/>
      <c r="BN108" s="192"/>
      <c r="BO108" s="192"/>
      <c r="BP108" s="192"/>
      <c r="BQ108" s="192"/>
      <c r="BR108" s="192"/>
      <c r="BS108" s="192"/>
      <c r="BT108" s="192"/>
      <c r="BU108" s="192"/>
      <c r="BV108" s="192"/>
      <c r="BW108" s="192"/>
      <c r="BX108" s="192"/>
      <c r="BY108" s="192"/>
      <c r="BZ108" s="192"/>
      <c r="CA108" s="192"/>
      <c r="CB108" s="192"/>
      <c r="CC108" s="192"/>
      <c r="CD108" s="192"/>
    </row>
    <row r="109" spans="1:82" s="25" customFormat="1" x14ac:dyDescent="0.25">
      <c r="A109" s="62">
        <v>120</v>
      </c>
      <c r="B109" s="365" t="s">
        <v>144</v>
      </c>
      <c r="C109" s="62">
        <v>1161</v>
      </c>
      <c r="D109" s="63" t="s">
        <v>122</v>
      </c>
      <c r="E109" s="62">
        <v>4</v>
      </c>
      <c r="F109" s="559" t="s">
        <v>45</v>
      </c>
      <c r="G109" s="559">
        <v>4</v>
      </c>
      <c r="H109" s="606" t="s">
        <v>146</v>
      </c>
      <c r="I109" s="607" t="s">
        <v>147</v>
      </c>
      <c r="J109" s="614">
        <v>0</v>
      </c>
      <c r="K109" s="614">
        <v>0</v>
      </c>
      <c r="L109" s="164"/>
      <c r="M109" s="164"/>
      <c r="N109" s="164"/>
      <c r="O109" s="164"/>
      <c r="P109" s="164"/>
      <c r="Q109" s="165"/>
      <c r="R109" s="165"/>
      <c r="S109" s="164"/>
      <c r="T109" s="164"/>
      <c r="U109" s="164"/>
      <c r="V109" s="164"/>
      <c r="W109" s="164"/>
      <c r="X109" s="164"/>
      <c r="Y109" s="164"/>
      <c r="Z109" s="164"/>
      <c r="AA109" s="167"/>
      <c r="AB109" s="175"/>
      <c r="AC109" s="167"/>
      <c r="AD109" s="168"/>
      <c r="AE109" s="167"/>
      <c r="AF109" s="167"/>
      <c r="AG109" s="167"/>
      <c r="AH109" s="167"/>
      <c r="AI109" s="167">
        <v>0</v>
      </c>
      <c r="AJ109" s="167">
        <v>0</v>
      </c>
      <c r="AK109" s="167">
        <v>0</v>
      </c>
      <c r="AL109" s="167">
        <v>0</v>
      </c>
      <c r="AM109" s="167">
        <v>0</v>
      </c>
      <c r="AN109" s="167">
        <v>0</v>
      </c>
      <c r="AO109" s="167">
        <v>0</v>
      </c>
      <c r="AP109" s="167">
        <v>0</v>
      </c>
      <c r="AQ109" s="168">
        <f t="shared" si="17"/>
        <v>0</v>
      </c>
      <c r="AR109" s="168">
        <f t="shared" si="18"/>
        <v>0</v>
      </c>
      <c r="AS109" s="169" t="e">
        <f t="shared" si="19"/>
        <v>#DIV/0!</v>
      </c>
      <c r="AT109" s="236"/>
      <c r="AU109" s="346"/>
      <c r="AV109" s="346"/>
      <c r="AW109" s="345"/>
      <c r="AX109" s="345"/>
      <c r="AY109" s="349"/>
      <c r="AZ109" s="349"/>
      <c r="BA109" s="349"/>
      <c r="BB109" s="345"/>
      <c r="BC109" s="237"/>
      <c r="BD109" s="345"/>
      <c r="BE109" s="345"/>
      <c r="BF109" s="438"/>
      <c r="BG109" s="443"/>
      <c r="BH109" s="237"/>
      <c r="BI109" s="237"/>
      <c r="BJ109" s="344">
        <f t="shared" si="16"/>
        <v>0</v>
      </c>
      <c r="BK109" s="237">
        <f t="shared" si="20"/>
        <v>0</v>
      </c>
      <c r="BL109" s="435" t="e">
        <f t="shared" si="21"/>
        <v>#DIV/0!</v>
      </c>
      <c r="BM109" s="192"/>
      <c r="BN109" s="192"/>
      <c r="BO109" s="192"/>
      <c r="BP109" s="192"/>
      <c r="BQ109" s="192"/>
      <c r="BR109" s="192"/>
      <c r="BS109" s="192"/>
      <c r="BT109" s="192"/>
      <c r="BU109" s="192"/>
      <c r="BV109" s="192"/>
      <c r="BW109" s="192"/>
      <c r="BX109" s="192"/>
      <c r="BY109" s="192"/>
      <c r="BZ109" s="192"/>
      <c r="CA109" s="192"/>
      <c r="CB109" s="192"/>
      <c r="CC109" s="192"/>
      <c r="CD109" s="192"/>
    </row>
    <row r="110" spans="1:82" s="25" customFormat="1" x14ac:dyDescent="0.25">
      <c r="A110" s="62">
        <v>120</v>
      </c>
      <c r="B110" s="365" t="s">
        <v>144</v>
      </c>
      <c r="C110" s="62">
        <v>1161</v>
      </c>
      <c r="D110" s="63" t="s">
        <v>122</v>
      </c>
      <c r="E110" s="62">
        <v>4</v>
      </c>
      <c r="F110" s="559"/>
      <c r="G110" s="559"/>
      <c r="H110" s="606"/>
      <c r="I110" s="607"/>
      <c r="J110" s="614"/>
      <c r="K110" s="614"/>
      <c r="L110" s="164"/>
      <c r="M110" s="164"/>
      <c r="N110" s="164"/>
      <c r="O110" s="164"/>
      <c r="P110" s="164"/>
      <c r="Q110" s="165"/>
      <c r="R110" s="165"/>
      <c r="S110" s="164"/>
      <c r="T110" s="164"/>
      <c r="U110" s="164"/>
      <c r="V110" s="164"/>
      <c r="W110" s="164"/>
      <c r="X110" s="164"/>
      <c r="Y110" s="164"/>
      <c r="Z110" s="164"/>
      <c r="AA110" s="167"/>
      <c r="AB110" s="175"/>
      <c r="AC110" s="167"/>
      <c r="AD110" s="168"/>
      <c r="AE110" s="167"/>
      <c r="AF110" s="167"/>
      <c r="AG110" s="167"/>
      <c r="AH110" s="167"/>
      <c r="AI110" s="167">
        <v>0</v>
      </c>
      <c r="AJ110" s="167">
        <v>0</v>
      </c>
      <c r="AK110" s="167">
        <v>0</v>
      </c>
      <c r="AL110" s="167">
        <v>0</v>
      </c>
      <c r="AM110" s="167">
        <v>0</v>
      </c>
      <c r="AN110" s="167">
        <v>0</v>
      </c>
      <c r="AO110" s="167">
        <v>0</v>
      </c>
      <c r="AP110" s="167">
        <v>0</v>
      </c>
      <c r="AQ110" s="168">
        <f t="shared" si="17"/>
        <v>0</v>
      </c>
      <c r="AR110" s="168">
        <f t="shared" si="18"/>
        <v>0</v>
      </c>
      <c r="AS110" s="169" t="e">
        <f t="shared" si="19"/>
        <v>#DIV/0!</v>
      </c>
      <c r="AT110" s="236"/>
      <c r="AU110" s="346"/>
      <c r="AV110" s="346"/>
      <c r="AW110" s="345"/>
      <c r="AX110" s="345"/>
      <c r="AY110" s="349"/>
      <c r="AZ110" s="349"/>
      <c r="BA110" s="349"/>
      <c r="BB110" s="345"/>
      <c r="BC110" s="237"/>
      <c r="BD110" s="345"/>
      <c r="BE110" s="345"/>
      <c r="BF110" s="438"/>
      <c r="BG110" s="443"/>
      <c r="BH110" s="237"/>
      <c r="BI110" s="237"/>
      <c r="BJ110" s="344">
        <f t="shared" si="16"/>
        <v>0</v>
      </c>
      <c r="BK110" s="237">
        <f t="shared" si="20"/>
        <v>0</v>
      </c>
      <c r="BL110" s="435" t="e">
        <f t="shared" si="21"/>
        <v>#DIV/0!</v>
      </c>
      <c r="BM110" s="192"/>
      <c r="BN110" s="192"/>
      <c r="BO110" s="192"/>
      <c r="BP110" s="192"/>
      <c r="BQ110" s="192"/>
      <c r="BR110" s="192"/>
      <c r="BS110" s="192"/>
      <c r="BT110" s="192"/>
      <c r="BU110" s="192"/>
      <c r="BV110" s="192"/>
      <c r="BW110" s="192"/>
      <c r="BX110" s="192"/>
      <c r="BY110" s="192"/>
      <c r="BZ110" s="192"/>
      <c r="CA110" s="192"/>
      <c r="CB110" s="192"/>
      <c r="CC110" s="192"/>
      <c r="CD110" s="192"/>
    </row>
    <row r="111" spans="1:82" s="25" customFormat="1" x14ac:dyDescent="0.25">
      <c r="A111" s="62">
        <v>120</v>
      </c>
      <c r="B111" s="365" t="s">
        <v>144</v>
      </c>
      <c r="C111" s="62">
        <v>1161</v>
      </c>
      <c r="D111" s="63" t="s">
        <v>122</v>
      </c>
      <c r="E111" s="62">
        <v>4</v>
      </c>
      <c r="F111" s="559"/>
      <c r="G111" s="559"/>
      <c r="H111" s="606"/>
      <c r="I111" s="607"/>
      <c r="J111" s="614"/>
      <c r="K111" s="614"/>
      <c r="L111" s="164"/>
      <c r="M111" s="164"/>
      <c r="N111" s="164"/>
      <c r="O111" s="164"/>
      <c r="P111" s="164"/>
      <c r="Q111" s="165"/>
      <c r="R111" s="165"/>
      <c r="S111" s="164"/>
      <c r="T111" s="164"/>
      <c r="U111" s="164"/>
      <c r="V111" s="164"/>
      <c r="W111" s="164"/>
      <c r="X111" s="164"/>
      <c r="Y111" s="164"/>
      <c r="Z111" s="164"/>
      <c r="AA111" s="167"/>
      <c r="AB111" s="175"/>
      <c r="AC111" s="167"/>
      <c r="AD111" s="168"/>
      <c r="AE111" s="167"/>
      <c r="AF111" s="167"/>
      <c r="AG111" s="167"/>
      <c r="AH111" s="167"/>
      <c r="AI111" s="167">
        <v>0</v>
      </c>
      <c r="AJ111" s="167">
        <v>0</v>
      </c>
      <c r="AK111" s="167">
        <v>0</v>
      </c>
      <c r="AL111" s="167">
        <v>0</v>
      </c>
      <c r="AM111" s="167">
        <v>0</v>
      </c>
      <c r="AN111" s="167">
        <v>0</v>
      </c>
      <c r="AO111" s="167">
        <v>0</v>
      </c>
      <c r="AP111" s="167">
        <v>0</v>
      </c>
      <c r="AQ111" s="168">
        <f t="shared" si="17"/>
        <v>0</v>
      </c>
      <c r="AR111" s="168">
        <f t="shared" si="18"/>
        <v>0</v>
      </c>
      <c r="AS111" s="169" t="e">
        <f t="shared" si="19"/>
        <v>#DIV/0!</v>
      </c>
      <c r="AT111" s="236"/>
      <c r="AU111" s="346"/>
      <c r="AV111" s="346"/>
      <c r="AW111" s="345"/>
      <c r="AX111" s="345"/>
      <c r="AY111" s="345"/>
      <c r="AZ111" s="345"/>
      <c r="BA111" s="237"/>
      <c r="BB111" s="237"/>
      <c r="BC111" s="237"/>
      <c r="BD111" s="237"/>
      <c r="BE111" s="237"/>
      <c r="BF111" s="438"/>
      <c r="BG111" s="443"/>
      <c r="BH111" s="237"/>
      <c r="BI111" s="237"/>
      <c r="BJ111" s="344">
        <f t="shared" si="16"/>
        <v>0</v>
      </c>
      <c r="BK111" s="237">
        <f t="shared" si="20"/>
        <v>0</v>
      </c>
      <c r="BL111" s="435" t="e">
        <f t="shared" si="21"/>
        <v>#DIV/0!</v>
      </c>
      <c r="BM111" s="192"/>
      <c r="BN111" s="192"/>
      <c r="BO111" s="192"/>
      <c r="BP111" s="192"/>
      <c r="BQ111" s="192"/>
      <c r="BR111" s="192"/>
      <c r="BS111" s="192"/>
      <c r="BT111" s="192"/>
      <c r="BU111" s="192"/>
      <c r="BV111" s="192"/>
      <c r="BW111" s="192"/>
      <c r="BX111" s="192"/>
      <c r="BY111" s="192"/>
      <c r="BZ111" s="192"/>
      <c r="CA111" s="192"/>
      <c r="CB111" s="192"/>
      <c r="CC111" s="192"/>
      <c r="CD111" s="192"/>
    </row>
    <row r="112" spans="1:82" s="25" customFormat="1" x14ac:dyDescent="0.25">
      <c r="A112" s="62">
        <v>121</v>
      </c>
      <c r="B112" s="365" t="s">
        <v>150</v>
      </c>
      <c r="C112" s="62">
        <v>1165</v>
      </c>
      <c r="D112" s="63" t="s">
        <v>152</v>
      </c>
      <c r="E112" s="62">
        <v>1</v>
      </c>
      <c r="F112" s="559" t="s">
        <v>153</v>
      </c>
      <c r="G112" s="559">
        <v>3</v>
      </c>
      <c r="H112" s="559" t="s">
        <v>154</v>
      </c>
      <c r="I112" s="590" t="s">
        <v>155</v>
      </c>
      <c r="J112" s="620">
        <v>0</v>
      </c>
      <c r="K112" s="622">
        <v>0</v>
      </c>
      <c r="L112" s="164" t="s">
        <v>977</v>
      </c>
      <c r="M112" s="164" t="s">
        <v>1128</v>
      </c>
      <c r="N112" s="164" t="s">
        <v>156</v>
      </c>
      <c r="O112" s="259" t="s">
        <v>1318</v>
      </c>
      <c r="P112" s="237" t="s">
        <v>356</v>
      </c>
      <c r="Q112" s="264">
        <v>41971</v>
      </c>
      <c r="R112" s="264">
        <v>41971</v>
      </c>
      <c r="S112" s="259" t="s">
        <v>1054</v>
      </c>
      <c r="T112" s="237" t="s">
        <v>945</v>
      </c>
      <c r="U112" s="259" t="s">
        <v>1287</v>
      </c>
      <c r="V112" s="237" t="s">
        <v>461</v>
      </c>
      <c r="W112" s="259">
        <v>900337047</v>
      </c>
      <c r="X112" s="259" t="s">
        <v>1319</v>
      </c>
      <c r="Y112" s="259" t="s">
        <v>884</v>
      </c>
      <c r="Z112" s="237"/>
      <c r="AA112" s="167">
        <v>834</v>
      </c>
      <c r="AB112" s="175"/>
      <c r="AC112" s="167">
        <v>917</v>
      </c>
      <c r="AD112" s="168">
        <v>137500000</v>
      </c>
      <c r="AE112" s="237"/>
      <c r="AF112" s="237"/>
      <c r="AG112" s="237"/>
      <c r="AH112" s="237"/>
      <c r="AI112" s="237"/>
      <c r="AJ112" s="237"/>
      <c r="AK112" s="237"/>
      <c r="AL112" s="237"/>
      <c r="AM112" s="237"/>
      <c r="AN112" s="167">
        <v>0</v>
      </c>
      <c r="AO112" s="167">
        <v>0</v>
      </c>
      <c r="AP112" s="167">
        <v>0</v>
      </c>
      <c r="AQ112" s="168">
        <f t="shared" si="17"/>
        <v>0</v>
      </c>
      <c r="AR112" s="168">
        <f t="shared" si="18"/>
        <v>137500000</v>
      </c>
      <c r="AS112" s="169">
        <f t="shared" si="19"/>
        <v>0</v>
      </c>
      <c r="AT112" s="236"/>
      <c r="AU112" s="346">
        <v>301</v>
      </c>
      <c r="AV112" s="346">
        <v>258</v>
      </c>
      <c r="AW112" s="345">
        <v>137500000</v>
      </c>
      <c r="AX112" s="345">
        <v>0</v>
      </c>
      <c r="AY112" s="345">
        <v>12603638</v>
      </c>
      <c r="AZ112" s="345">
        <v>18501178</v>
      </c>
      <c r="BA112" s="349">
        <v>38515308</v>
      </c>
      <c r="BB112" s="237">
        <v>34572524</v>
      </c>
      <c r="BD112" s="349">
        <v>33190676</v>
      </c>
      <c r="BE112" s="237"/>
      <c r="BF112" s="438"/>
      <c r="BG112" s="443"/>
      <c r="BH112" s="237"/>
      <c r="BI112" s="237"/>
      <c r="BJ112" s="344">
        <f t="shared" si="16"/>
        <v>137383324</v>
      </c>
      <c r="BK112" s="237">
        <f t="shared" si="20"/>
        <v>116676</v>
      </c>
      <c r="BL112" s="435">
        <f t="shared" si="21"/>
        <v>0.99915144727272731</v>
      </c>
      <c r="BM112" s="192"/>
      <c r="BN112" s="192"/>
      <c r="BO112" s="192"/>
      <c r="BP112" s="192"/>
      <c r="BQ112" s="192"/>
      <c r="BR112" s="192"/>
      <c r="BS112" s="192"/>
      <c r="BT112" s="192"/>
      <c r="BU112" s="192"/>
      <c r="BV112" s="192"/>
      <c r="BW112" s="192"/>
      <c r="BX112" s="192"/>
      <c r="BY112" s="192"/>
      <c r="BZ112" s="192"/>
      <c r="CA112" s="192"/>
      <c r="CB112" s="192"/>
      <c r="CC112" s="192"/>
      <c r="CD112" s="192"/>
    </row>
    <row r="113" spans="1:82" s="25" customFormat="1" x14ac:dyDescent="0.25">
      <c r="A113" s="62">
        <v>121</v>
      </c>
      <c r="B113" s="365" t="s">
        <v>150</v>
      </c>
      <c r="C113" s="62">
        <v>1165</v>
      </c>
      <c r="D113" s="63" t="s">
        <v>152</v>
      </c>
      <c r="E113" s="62">
        <v>1</v>
      </c>
      <c r="F113" s="559"/>
      <c r="G113" s="559"/>
      <c r="H113" s="559"/>
      <c r="I113" s="559"/>
      <c r="J113" s="620"/>
      <c r="K113" s="622"/>
      <c r="L113" s="166"/>
      <c r="M113" s="164"/>
      <c r="N113" s="166"/>
      <c r="O113" s="166"/>
      <c r="P113" s="166"/>
      <c r="Q113" s="180"/>
      <c r="R113" s="191"/>
      <c r="S113" s="166"/>
      <c r="T113" s="166"/>
      <c r="U113" s="166"/>
      <c r="V113" s="166"/>
      <c r="W113" s="166"/>
      <c r="X113" s="191"/>
      <c r="Y113" s="166"/>
      <c r="Z113" s="166"/>
      <c r="AA113" s="174"/>
      <c r="AB113" s="175"/>
      <c r="AC113" s="174"/>
      <c r="AD113" s="175"/>
      <c r="AE113" s="174"/>
      <c r="AF113" s="174"/>
      <c r="AG113" s="174"/>
      <c r="AH113" s="174"/>
      <c r="AI113" s="174"/>
      <c r="AJ113" s="174"/>
      <c r="AK113" s="174"/>
      <c r="AL113" s="174"/>
      <c r="AM113" s="174"/>
      <c r="AN113" s="174"/>
      <c r="AO113" s="174"/>
      <c r="AP113" s="174"/>
      <c r="AQ113" s="168">
        <f t="shared" si="17"/>
        <v>0</v>
      </c>
      <c r="AR113" s="168">
        <f t="shared" si="18"/>
        <v>0</v>
      </c>
      <c r="AS113" s="169" t="e">
        <f t="shared" si="19"/>
        <v>#DIV/0!</v>
      </c>
      <c r="AT113" s="236"/>
      <c r="AU113" s="346"/>
      <c r="AV113" s="346"/>
      <c r="AW113" s="345"/>
      <c r="AX113" s="345"/>
      <c r="AY113" s="345"/>
      <c r="AZ113" s="345"/>
      <c r="BA113" s="237"/>
      <c r="BB113" s="237"/>
      <c r="BC113" s="237"/>
      <c r="BD113" s="237"/>
      <c r="BE113" s="237"/>
      <c r="BF113" s="438"/>
      <c r="BG113" s="443"/>
      <c r="BH113" s="237"/>
      <c r="BI113" s="237"/>
      <c r="BJ113" s="344">
        <f t="shared" si="16"/>
        <v>0</v>
      </c>
      <c r="BK113" s="237">
        <f t="shared" si="20"/>
        <v>0</v>
      </c>
      <c r="BL113" s="435" t="e">
        <f t="shared" si="21"/>
        <v>#DIV/0!</v>
      </c>
      <c r="BM113" s="192"/>
      <c r="BN113" s="192"/>
      <c r="BO113" s="192"/>
      <c r="BP113" s="192"/>
      <c r="BQ113" s="192"/>
      <c r="BR113" s="192"/>
      <c r="BS113" s="192"/>
      <c r="BT113" s="192"/>
      <c r="BU113" s="192"/>
      <c r="BV113" s="192"/>
      <c r="BW113" s="192"/>
      <c r="BX113" s="192"/>
      <c r="BY113" s="192"/>
      <c r="BZ113" s="192"/>
      <c r="CA113" s="192"/>
      <c r="CB113" s="192"/>
      <c r="CC113" s="192"/>
      <c r="CD113" s="192"/>
    </row>
    <row r="114" spans="1:82" s="25" customFormat="1" x14ac:dyDescent="0.25">
      <c r="A114" s="62">
        <v>121</v>
      </c>
      <c r="B114" s="365" t="s">
        <v>150</v>
      </c>
      <c r="C114" s="62">
        <v>1165</v>
      </c>
      <c r="D114" s="63" t="s">
        <v>152</v>
      </c>
      <c r="E114" s="62">
        <v>1</v>
      </c>
      <c r="F114" s="559"/>
      <c r="G114" s="559"/>
      <c r="H114" s="559"/>
      <c r="I114" s="559"/>
      <c r="J114" s="620"/>
      <c r="K114" s="622"/>
      <c r="L114" s="237"/>
      <c r="M114" s="164"/>
      <c r="N114" s="237"/>
      <c r="O114" s="237"/>
      <c r="P114" s="237"/>
      <c r="Q114" s="237"/>
      <c r="R114" s="237"/>
      <c r="S114" s="237"/>
      <c r="T114" s="237"/>
      <c r="U114" s="237"/>
      <c r="V114" s="237"/>
      <c r="W114" s="237"/>
      <c r="X114" s="237"/>
      <c r="Y114" s="237"/>
      <c r="Z114" s="237"/>
      <c r="AA114" s="237"/>
      <c r="AB114" s="192"/>
      <c r="AC114" s="237"/>
      <c r="AD114" s="237"/>
      <c r="AE114" s="237"/>
      <c r="AF114" s="237"/>
      <c r="AG114" s="237"/>
      <c r="AH114" s="237"/>
      <c r="AI114" s="237"/>
      <c r="AJ114" s="237"/>
      <c r="AK114" s="237"/>
      <c r="AL114" s="237"/>
      <c r="AM114" s="237"/>
      <c r="AN114" s="237"/>
      <c r="AO114" s="237"/>
      <c r="AP114" s="237"/>
      <c r="AQ114" s="237"/>
      <c r="AR114" s="237"/>
      <c r="AS114" s="237"/>
      <c r="AT114" s="236"/>
      <c r="AU114" s="346"/>
      <c r="AV114" s="346"/>
      <c r="AW114" s="345"/>
      <c r="AX114" s="345"/>
      <c r="AY114" s="345"/>
      <c r="AZ114" s="345"/>
      <c r="BA114" s="237"/>
      <c r="BB114" s="237"/>
      <c r="BC114" s="237"/>
      <c r="BD114" s="237"/>
      <c r="BE114" s="237"/>
      <c r="BF114" s="438"/>
      <c r="BG114" s="443"/>
      <c r="BH114" s="237"/>
      <c r="BI114" s="237"/>
      <c r="BJ114" s="344">
        <f t="shared" si="16"/>
        <v>0</v>
      </c>
      <c r="BK114" s="237">
        <f t="shared" si="20"/>
        <v>0</v>
      </c>
      <c r="BL114" s="435" t="e">
        <f t="shared" si="21"/>
        <v>#DIV/0!</v>
      </c>
      <c r="BM114" s="192"/>
      <c r="BN114" s="192"/>
      <c r="BO114" s="192"/>
      <c r="BP114" s="192"/>
      <c r="BQ114" s="192"/>
      <c r="BR114" s="192"/>
      <c r="BS114" s="192"/>
      <c r="BT114" s="192"/>
      <c r="BU114" s="192"/>
      <c r="BV114" s="192"/>
      <c r="BW114" s="192"/>
      <c r="BX114" s="192"/>
      <c r="BY114" s="192"/>
      <c r="BZ114" s="192"/>
      <c r="CA114" s="192"/>
      <c r="CB114" s="192"/>
      <c r="CC114" s="192"/>
      <c r="CD114" s="192"/>
    </row>
    <row r="115" spans="1:82" s="25" customFormat="1" x14ac:dyDescent="0.25">
      <c r="A115" s="62">
        <v>122</v>
      </c>
      <c r="B115" s="365" t="s">
        <v>158</v>
      </c>
      <c r="C115" s="62">
        <v>1165</v>
      </c>
      <c r="D115" s="63" t="s">
        <v>152</v>
      </c>
      <c r="E115" s="62">
        <v>2</v>
      </c>
      <c r="F115" s="559" t="s">
        <v>153</v>
      </c>
      <c r="G115" s="559">
        <v>25</v>
      </c>
      <c r="H115" s="559" t="s">
        <v>159</v>
      </c>
      <c r="I115" s="559" t="s">
        <v>160</v>
      </c>
      <c r="J115" s="619">
        <v>0</v>
      </c>
      <c r="K115" s="621">
        <v>0</v>
      </c>
      <c r="L115" s="166"/>
      <c r="M115" s="164"/>
      <c r="N115" s="166"/>
      <c r="O115" s="166"/>
      <c r="P115" s="166"/>
      <c r="Q115" s="180"/>
      <c r="R115" s="191"/>
      <c r="S115" s="166"/>
      <c r="T115" s="189"/>
      <c r="U115" s="166"/>
      <c r="V115" s="166"/>
      <c r="W115" s="166"/>
      <c r="X115" s="191"/>
      <c r="Y115" s="191"/>
      <c r="Z115" s="166"/>
      <c r="AA115" s="174"/>
      <c r="AB115" s="175"/>
      <c r="AC115" s="174"/>
      <c r="AD115" s="175"/>
      <c r="AE115" s="174"/>
      <c r="AF115" s="174"/>
      <c r="AG115" s="174"/>
      <c r="AH115" s="174"/>
      <c r="AI115" s="174"/>
      <c r="AJ115" s="174"/>
      <c r="AK115" s="174"/>
      <c r="AL115" s="174"/>
      <c r="AM115" s="174"/>
      <c r="AN115" s="174"/>
      <c r="AO115" s="174"/>
      <c r="AP115" s="174"/>
      <c r="AQ115" s="168">
        <f t="shared" ref="AQ115:AQ121" si="22">SUM(AE115:AP115)</f>
        <v>0</v>
      </c>
      <c r="AR115" s="168">
        <f t="shared" ref="AR115:AR121" si="23">+AD115-AQ115</f>
        <v>0</v>
      </c>
      <c r="AS115" s="169" t="e">
        <f t="shared" ref="AS115:AS121" si="24">+AQ115/AD115</f>
        <v>#DIV/0!</v>
      </c>
      <c r="AT115" s="236"/>
      <c r="AU115" s="346"/>
      <c r="AV115" s="346"/>
      <c r="AW115" s="345"/>
      <c r="AX115" s="345"/>
      <c r="AY115" s="345"/>
      <c r="AZ115" s="345"/>
      <c r="BA115" s="237"/>
      <c r="BB115" s="237"/>
      <c r="BC115" s="237"/>
      <c r="BD115" s="237"/>
      <c r="BE115" s="237"/>
      <c r="BF115" s="438"/>
      <c r="BG115" s="443"/>
      <c r="BH115" s="237"/>
      <c r="BI115" s="237"/>
      <c r="BJ115" s="344">
        <f t="shared" si="16"/>
        <v>0</v>
      </c>
      <c r="BK115" s="237">
        <f t="shared" si="20"/>
        <v>0</v>
      </c>
      <c r="BL115" s="435" t="e">
        <f t="shared" si="21"/>
        <v>#DIV/0!</v>
      </c>
      <c r="BM115" s="192"/>
      <c r="BN115" s="192"/>
      <c r="BO115" s="192"/>
      <c r="BP115" s="192"/>
      <c r="BQ115" s="192"/>
      <c r="BR115" s="192"/>
      <c r="BS115" s="192"/>
      <c r="BT115" s="192"/>
      <c r="BU115" s="192"/>
      <c r="BV115" s="192"/>
      <c r="BW115" s="192"/>
      <c r="BX115" s="192"/>
      <c r="BY115" s="192"/>
      <c r="BZ115" s="192"/>
      <c r="CA115" s="192"/>
      <c r="CB115" s="192"/>
      <c r="CC115" s="192"/>
      <c r="CD115" s="192"/>
    </row>
    <row r="116" spans="1:82" s="25" customFormat="1" x14ac:dyDescent="0.25">
      <c r="A116" s="62">
        <v>122</v>
      </c>
      <c r="B116" s="365" t="s">
        <v>158</v>
      </c>
      <c r="C116" s="62">
        <v>1165</v>
      </c>
      <c r="D116" s="63" t="s">
        <v>152</v>
      </c>
      <c r="E116" s="62">
        <v>2</v>
      </c>
      <c r="F116" s="559"/>
      <c r="G116" s="559"/>
      <c r="H116" s="559"/>
      <c r="I116" s="559"/>
      <c r="J116" s="620"/>
      <c r="K116" s="622"/>
      <c r="L116" s="166"/>
      <c r="M116" s="164"/>
      <c r="N116" s="166"/>
      <c r="O116" s="166"/>
      <c r="P116" s="166"/>
      <c r="Q116" s="180"/>
      <c r="R116" s="191"/>
      <c r="S116" s="166"/>
      <c r="T116" s="166"/>
      <c r="U116" s="166"/>
      <c r="V116" s="166"/>
      <c r="W116" s="166"/>
      <c r="X116" s="191"/>
      <c r="Y116" s="166"/>
      <c r="Z116" s="166"/>
      <c r="AA116" s="174"/>
      <c r="AB116" s="175"/>
      <c r="AC116" s="174"/>
      <c r="AD116" s="175"/>
      <c r="AE116" s="174"/>
      <c r="AF116" s="174"/>
      <c r="AG116" s="174"/>
      <c r="AH116" s="174"/>
      <c r="AI116" s="174"/>
      <c r="AJ116" s="174"/>
      <c r="AK116" s="174"/>
      <c r="AL116" s="174"/>
      <c r="AM116" s="174"/>
      <c r="AN116" s="174"/>
      <c r="AO116" s="174"/>
      <c r="AP116" s="174"/>
      <c r="AQ116" s="168">
        <f t="shared" si="22"/>
        <v>0</v>
      </c>
      <c r="AR116" s="168">
        <f t="shared" si="23"/>
        <v>0</v>
      </c>
      <c r="AS116" s="169" t="e">
        <f t="shared" si="24"/>
        <v>#DIV/0!</v>
      </c>
      <c r="AT116" s="236"/>
      <c r="AU116" s="346"/>
      <c r="AV116" s="346"/>
      <c r="AW116" s="345"/>
      <c r="AX116" s="345"/>
      <c r="AY116" s="345"/>
      <c r="AZ116" s="345"/>
      <c r="BA116" s="237"/>
      <c r="BB116" s="237"/>
      <c r="BC116" s="237"/>
      <c r="BD116" s="237"/>
      <c r="BE116" s="237"/>
      <c r="BF116" s="438"/>
      <c r="BG116" s="443"/>
      <c r="BH116" s="237"/>
      <c r="BI116" s="237"/>
      <c r="BJ116" s="344">
        <f t="shared" si="16"/>
        <v>0</v>
      </c>
      <c r="BK116" s="237">
        <f t="shared" si="20"/>
        <v>0</v>
      </c>
      <c r="BL116" s="435" t="e">
        <f t="shared" si="21"/>
        <v>#DIV/0!</v>
      </c>
      <c r="BM116" s="192"/>
      <c r="BN116" s="192"/>
      <c r="BO116" s="192"/>
      <c r="BP116" s="192"/>
      <c r="BQ116" s="192"/>
      <c r="BR116" s="192"/>
      <c r="BS116" s="192"/>
      <c r="BT116" s="192"/>
      <c r="BU116" s="192"/>
      <c r="BV116" s="192"/>
      <c r="BW116" s="192"/>
      <c r="BX116" s="192"/>
      <c r="BY116" s="192"/>
      <c r="BZ116" s="192"/>
      <c r="CA116" s="192"/>
      <c r="CB116" s="192"/>
      <c r="CC116" s="192"/>
      <c r="CD116" s="192"/>
    </row>
    <row r="117" spans="1:82" s="25" customFormat="1" x14ac:dyDescent="0.25">
      <c r="A117" s="62">
        <v>122</v>
      </c>
      <c r="B117" s="365" t="s">
        <v>158</v>
      </c>
      <c r="C117" s="62">
        <v>1165</v>
      </c>
      <c r="D117" s="63" t="s">
        <v>152</v>
      </c>
      <c r="E117" s="62">
        <v>2</v>
      </c>
      <c r="F117" s="559"/>
      <c r="G117" s="559"/>
      <c r="H117" s="559"/>
      <c r="I117" s="559"/>
      <c r="J117" s="620"/>
      <c r="K117" s="622"/>
      <c r="L117" s="166"/>
      <c r="M117" s="164"/>
      <c r="N117" s="166"/>
      <c r="O117" s="189"/>
      <c r="P117" s="166"/>
      <c r="Q117" s="180"/>
      <c r="R117" s="191"/>
      <c r="S117" s="166"/>
      <c r="T117" s="189"/>
      <c r="U117" s="199"/>
      <c r="V117" s="166"/>
      <c r="W117" s="166"/>
      <c r="X117" s="191"/>
      <c r="Y117" s="191"/>
      <c r="Z117" s="166"/>
      <c r="AA117" s="174"/>
      <c r="AB117" s="175"/>
      <c r="AC117" s="174"/>
      <c r="AD117" s="175"/>
      <c r="AE117" s="174"/>
      <c r="AF117" s="174"/>
      <c r="AG117" s="174"/>
      <c r="AH117" s="174"/>
      <c r="AI117" s="174"/>
      <c r="AJ117" s="174"/>
      <c r="AK117" s="174"/>
      <c r="AL117" s="174"/>
      <c r="AM117" s="174"/>
      <c r="AN117" s="174"/>
      <c r="AO117" s="174"/>
      <c r="AP117" s="174"/>
      <c r="AQ117" s="168">
        <f t="shared" si="22"/>
        <v>0</v>
      </c>
      <c r="AR117" s="168">
        <f t="shared" si="23"/>
        <v>0</v>
      </c>
      <c r="AS117" s="169" t="e">
        <f t="shared" si="24"/>
        <v>#DIV/0!</v>
      </c>
      <c r="AT117" s="236"/>
      <c r="AU117" s="346"/>
      <c r="AV117" s="346"/>
      <c r="AW117" s="345"/>
      <c r="AX117" s="345"/>
      <c r="AY117" s="345"/>
      <c r="AZ117" s="345"/>
      <c r="BA117" s="237"/>
      <c r="BB117" s="237"/>
      <c r="BC117" s="237"/>
      <c r="BD117" s="237"/>
      <c r="BE117" s="237"/>
      <c r="BF117" s="438"/>
      <c r="BG117" s="443"/>
      <c r="BH117" s="237"/>
      <c r="BI117" s="237"/>
      <c r="BJ117" s="344">
        <f t="shared" si="16"/>
        <v>0</v>
      </c>
      <c r="BK117" s="237">
        <f t="shared" si="20"/>
        <v>0</v>
      </c>
      <c r="BL117" s="435" t="e">
        <f t="shared" si="21"/>
        <v>#DIV/0!</v>
      </c>
      <c r="BM117" s="192"/>
      <c r="BN117" s="192"/>
      <c r="BO117" s="192"/>
      <c r="BP117" s="192"/>
      <c r="BQ117" s="192"/>
      <c r="BR117" s="192"/>
      <c r="BS117" s="192"/>
      <c r="BT117" s="192"/>
      <c r="BU117" s="192"/>
      <c r="BV117" s="192"/>
      <c r="BW117" s="192"/>
      <c r="BX117" s="192"/>
      <c r="BY117" s="192"/>
      <c r="BZ117" s="192"/>
      <c r="CA117" s="192"/>
      <c r="CB117" s="192"/>
      <c r="CC117" s="192"/>
      <c r="CD117" s="192"/>
    </row>
    <row r="118" spans="1:82" s="25" customFormat="1" x14ac:dyDescent="0.25">
      <c r="A118" s="62">
        <v>123</v>
      </c>
      <c r="B118" s="365" t="s">
        <v>161</v>
      </c>
      <c r="C118" s="62">
        <v>1165</v>
      </c>
      <c r="D118" s="63" t="s">
        <v>152</v>
      </c>
      <c r="E118" s="62">
        <v>3</v>
      </c>
      <c r="F118" s="559" t="s">
        <v>153</v>
      </c>
      <c r="G118" s="559">
        <v>10</v>
      </c>
      <c r="H118" s="559" t="s">
        <v>162</v>
      </c>
      <c r="I118" s="559" t="s">
        <v>163</v>
      </c>
      <c r="J118" s="619">
        <v>0</v>
      </c>
      <c r="K118" s="621">
        <v>0</v>
      </c>
      <c r="L118" s="164" t="s">
        <v>978</v>
      </c>
      <c r="M118" s="164" t="s">
        <v>1119</v>
      </c>
      <c r="N118" s="164" t="s">
        <v>156</v>
      </c>
      <c r="O118" s="187" t="s">
        <v>430</v>
      </c>
      <c r="P118" s="164" t="s">
        <v>356</v>
      </c>
      <c r="Q118" s="165">
        <v>41627</v>
      </c>
      <c r="R118" s="264">
        <v>41796</v>
      </c>
      <c r="S118" s="259" t="s">
        <v>378</v>
      </c>
      <c r="T118" s="187" t="s">
        <v>630</v>
      </c>
      <c r="U118" s="164" t="s">
        <v>631</v>
      </c>
      <c r="V118" s="164" t="s">
        <v>444</v>
      </c>
      <c r="W118" s="164">
        <v>830106121</v>
      </c>
      <c r="X118" s="259" t="s">
        <v>1320</v>
      </c>
      <c r="Y118" s="259" t="s">
        <v>884</v>
      </c>
      <c r="Z118" s="164"/>
      <c r="AA118" s="167">
        <v>517</v>
      </c>
      <c r="AB118" s="175"/>
      <c r="AC118" s="167">
        <v>596</v>
      </c>
      <c r="AD118" s="168">
        <v>44700000</v>
      </c>
      <c r="AE118" s="167">
        <v>0</v>
      </c>
      <c r="AF118" s="167">
        <v>0</v>
      </c>
      <c r="AG118" s="167">
        <v>0</v>
      </c>
      <c r="AH118" s="167">
        <v>0</v>
      </c>
      <c r="AI118" s="167">
        <v>0</v>
      </c>
      <c r="AJ118" s="167">
        <v>0</v>
      </c>
      <c r="AK118" s="167">
        <v>0</v>
      </c>
      <c r="AL118" s="167">
        <v>0</v>
      </c>
      <c r="AM118" s="167">
        <v>0</v>
      </c>
      <c r="AN118" s="167">
        <v>44700000</v>
      </c>
      <c r="AO118" s="167">
        <v>0</v>
      </c>
      <c r="AP118" s="167">
        <v>0</v>
      </c>
      <c r="AQ118" s="168">
        <f t="shared" si="22"/>
        <v>44700000</v>
      </c>
      <c r="AR118" s="168">
        <f t="shared" si="23"/>
        <v>0</v>
      </c>
      <c r="AS118" s="169">
        <f t="shared" si="24"/>
        <v>1</v>
      </c>
      <c r="AT118" s="236"/>
      <c r="AU118" s="346"/>
      <c r="AV118" s="346"/>
      <c r="AW118" s="345"/>
      <c r="AX118" s="345"/>
      <c r="AY118" s="345"/>
      <c r="AZ118" s="345"/>
      <c r="BA118" s="237"/>
      <c r="BB118" s="237"/>
      <c r="BC118" s="237"/>
      <c r="BD118" s="237"/>
      <c r="BE118" s="237"/>
      <c r="BF118" s="438"/>
      <c r="BG118" s="443"/>
      <c r="BH118" s="237"/>
      <c r="BI118" s="237"/>
      <c r="BJ118" s="344">
        <f t="shared" si="16"/>
        <v>0</v>
      </c>
      <c r="BK118" s="237">
        <f t="shared" si="20"/>
        <v>0</v>
      </c>
      <c r="BL118" s="435" t="e">
        <f t="shared" si="21"/>
        <v>#DIV/0!</v>
      </c>
      <c r="BM118" s="192"/>
      <c r="BN118" s="192"/>
      <c r="BO118" s="192"/>
      <c r="BP118" s="192"/>
      <c r="BQ118" s="192"/>
      <c r="BR118" s="192"/>
      <c r="BS118" s="192"/>
      <c r="BT118" s="192"/>
      <c r="BU118" s="192"/>
      <c r="BV118" s="192"/>
      <c r="BW118" s="192"/>
      <c r="BX118" s="192"/>
      <c r="BY118" s="192"/>
      <c r="BZ118" s="192"/>
      <c r="CA118" s="192"/>
      <c r="CB118" s="192"/>
      <c r="CC118" s="192"/>
      <c r="CD118" s="192"/>
    </row>
    <row r="119" spans="1:82" s="25" customFormat="1" x14ac:dyDescent="0.25">
      <c r="A119" s="62">
        <v>123</v>
      </c>
      <c r="B119" s="365" t="s">
        <v>161</v>
      </c>
      <c r="C119" s="62">
        <v>1165</v>
      </c>
      <c r="D119" s="63" t="s">
        <v>152</v>
      </c>
      <c r="E119" s="62">
        <v>3</v>
      </c>
      <c r="F119" s="559"/>
      <c r="G119" s="559"/>
      <c r="H119" s="559"/>
      <c r="I119" s="559"/>
      <c r="J119" s="620"/>
      <c r="K119" s="622"/>
      <c r="L119" s="164" t="s">
        <v>979</v>
      </c>
      <c r="M119" s="164" t="s">
        <v>1128</v>
      </c>
      <c r="N119" s="164" t="s">
        <v>156</v>
      </c>
      <c r="O119" s="259" t="s">
        <v>793</v>
      </c>
      <c r="P119" s="164" t="s">
        <v>356</v>
      </c>
      <c r="Q119" s="165">
        <v>41873</v>
      </c>
      <c r="R119" s="264">
        <v>41926</v>
      </c>
      <c r="S119" s="259" t="s">
        <v>1054</v>
      </c>
      <c r="T119" s="164" t="s">
        <v>980</v>
      </c>
      <c r="U119" s="259" t="s">
        <v>1287</v>
      </c>
      <c r="V119" s="164" t="s">
        <v>444</v>
      </c>
      <c r="W119" s="164">
        <v>830106121</v>
      </c>
      <c r="X119" s="259" t="s">
        <v>1320</v>
      </c>
      <c r="Y119" s="259" t="s">
        <v>884</v>
      </c>
      <c r="Z119" s="164"/>
      <c r="AA119" s="167">
        <v>728</v>
      </c>
      <c r="AB119" s="175"/>
      <c r="AC119" s="167">
        <v>763</v>
      </c>
      <c r="AD119" s="168">
        <v>90000000</v>
      </c>
      <c r="AE119" s="167"/>
      <c r="AF119" s="167"/>
      <c r="AG119" s="167"/>
      <c r="AH119" s="167"/>
      <c r="AI119" s="167">
        <v>0</v>
      </c>
      <c r="AJ119" s="167">
        <v>0</v>
      </c>
      <c r="AK119" s="167">
        <v>0</v>
      </c>
      <c r="AL119" s="167">
        <v>0</v>
      </c>
      <c r="AM119" s="167">
        <v>0</v>
      </c>
      <c r="AN119" s="167">
        <v>0</v>
      </c>
      <c r="AO119" s="167">
        <v>0</v>
      </c>
      <c r="AP119" s="167">
        <v>0</v>
      </c>
      <c r="AQ119" s="168">
        <f t="shared" si="22"/>
        <v>0</v>
      </c>
      <c r="AR119" s="168">
        <f t="shared" si="23"/>
        <v>90000000</v>
      </c>
      <c r="AS119" s="169">
        <f t="shared" si="24"/>
        <v>0</v>
      </c>
      <c r="AT119" s="236"/>
      <c r="AU119" s="346">
        <v>238</v>
      </c>
      <c r="AV119" s="346">
        <v>200</v>
      </c>
      <c r="AW119" s="345">
        <v>90000000</v>
      </c>
      <c r="AX119" s="345">
        <v>0</v>
      </c>
      <c r="AY119" s="345">
        <v>0</v>
      </c>
      <c r="AZ119" s="345">
        <v>39200000</v>
      </c>
      <c r="BA119" s="237">
        <v>0</v>
      </c>
      <c r="BB119" s="237">
        <v>50800000</v>
      </c>
      <c r="BC119" s="237"/>
      <c r="BD119" s="237"/>
      <c r="BE119" s="237"/>
      <c r="BF119" s="438"/>
      <c r="BG119" s="443"/>
      <c r="BH119" s="237"/>
      <c r="BI119" s="237"/>
      <c r="BJ119" s="344">
        <f t="shared" si="16"/>
        <v>90000000</v>
      </c>
      <c r="BK119" s="237">
        <f t="shared" si="20"/>
        <v>0</v>
      </c>
      <c r="BL119" s="435">
        <f t="shared" si="21"/>
        <v>1</v>
      </c>
      <c r="BM119" s="192"/>
      <c r="BN119" s="192"/>
      <c r="BO119" s="192"/>
      <c r="BP119" s="192"/>
      <c r="BQ119" s="192"/>
      <c r="BR119" s="192"/>
      <c r="BS119" s="192"/>
      <c r="BT119" s="192"/>
      <c r="BU119" s="192"/>
      <c r="BV119" s="192"/>
      <c r="BW119" s="192"/>
      <c r="BX119" s="192"/>
      <c r="BY119" s="192"/>
      <c r="BZ119" s="192"/>
      <c r="CA119" s="192"/>
      <c r="CB119" s="192"/>
      <c r="CC119" s="192"/>
      <c r="CD119" s="192"/>
    </row>
    <row r="120" spans="1:82" s="25" customFormat="1" x14ac:dyDescent="0.25">
      <c r="A120" s="62">
        <v>123</v>
      </c>
      <c r="B120" s="365" t="s">
        <v>161</v>
      </c>
      <c r="C120" s="62">
        <v>1165</v>
      </c>
      <c r="D120" s="63" t="s">
        <v>152</v>
      </c>
      <c r="E120" s="62">
        <v>3</v>
      </c>
      <c r="F120" s="559"/>
      <c r="G120" s="559"/>
      <c r="H120" s="559"/>
      <c r="I120" s="559"/>
      <c r="J120" s="620"/>
      <c r="K120" s="622"/>
      <c r="L120" s="166"/>
      <c r="M120" s="164"/>
      <c r="N120" s="166"/>
      <c r="O120" s="166"/>
      <c r="P120" s="166"/>
      <c r="Q120" s="180"/>
      <c r="R120" s="191"/>
      <c r="S120" s="166"/>
      <c r="T120" s="166"/>
      <c r="U120" s="166"/>
      <c r="V120" s="166"/>
      <c r="W120" s="166"/>
      <c r="X120" s="191"/>
      <c r="Y120" s="191"/>
      <c r="Z120" s="166"/>
      <c r="AA120" s="174"/>
      <c r="AB120" s="175"/>
      <c r="AC120" s="174"/>
      <c r="AD120" s="175"/>
      <c r="AE120" s="174"/>
      <c r="AF120" s="174"/>
      <c r="AG120" s="174"/>
      <c r="AH120" s="174"/>
      <c r="AI120" s="174"/>
      <c r="AJ120" s="174"/>
      <c r="AK120" s="174"/>
      <c r="AL120" s="174"/>
      <c r="AM120" s="174"/>
      <c r="AN120" s="174"/>
      <c r="AO120" s="174"/>
      <c r="AP120" s="174"/>
      <c r="AQ120" s="168">
        <f t="shared" si="22"/>
        <v>0</v>
      </c>
      <c r="AR120" s="168">
        <f t="shared" si="23"/>
        <v>0</v>
      </c>
      <c r="AS120" s="169" t="e">
        <f t="shared" si="24"/>
        <v>#DIV/0!</v>
      </c>
      <c r="AT120" s="236"/>
      <c r="AU120" s="346"/>
      <c r="AV120" s="346"/>
      <c r="AW120" s="345"/>
      <c r="AX120" s="345"/>
      <c r="AY120" s="345"/>
      <c r="AZ120" s="345"/>
      <c r="BA120" s="237"/>
      <c r="BB120" s="237"/>
      <c r="BC120" s="237"/>
      <c r="BD120" s="237"/>
      <c r="BE120" s="237"/>
      <c r="BF120" s="438"/>
      <c r="BG120" s="443"/>
      <c r="BH120" s="237"/>
      <c r="BI120" s="237"/>
      <c r="BJ120" s="344">
        <f t="shared" si="16"/>
        <v>0</v>
      </c>
      <c r="BK120" s="237">
        <f t="shared" si="20"/>
        <v>0</v>
      </c>
      <c r="BL120" s="435" t="e">
        <f t="shared" si="21"/>
        <v>#DIV/0!</v>
      </c>
      <c r="BM120" s="192"/>
      <c r="BN120" s="192"/>
      <c r="BO120" s="192"/>
      <c r="BP120" s="192"/>
      <c r="BQ120" s="192"/>
      <c r="BR120" s="192"/>
      <c r="BS120" s="192"/>
      <c r="BT120" s="192"/>
      <c r="BU120" s="192"/>
      <c r="BV120" s="192"/>
      <c r="BW120" s="192"/>
      <c r="BX120" s="192"/>
      <c r="BY120" s="192"/>
      <c r="BZ120" s="192"/>
      <c r="CA120" s="192"/>
      <c r="CB120" s="192"/>
      <c r="CC120" s="192"/>
      <c r="CD120" s="192"/>
    </row>
    <row r="121" spans="1:82" s="25" customFormat="1" x14ac:dyDescent="0.25">
      <c r="A121" s="62">
        <v>124</v>
      </c>
      <c r="B121" s="365" t="s">
        <v>164</v>
      </c>
      <c r="C121" s="62">
        <v>1165</v>
      </c>
      <c r="D121" s="63" t="s">
        <v>152</v>
      </c>
      <c r="E121" s="62">
        <v>4</v>
      </c>
      <c r="F121" s="559" t="s">
        <v>53</v>
      </c>
      <c r="G121" s="559">
        <v>500</v>
      </c>
      <c r="H121" s="559" t="s">
        <v>61</v>
      </c>
      <c r="I121" s="559" t="s">
        <v>166</v>
      </c>
      <c r="J121" s="619">
        <v>0</v>
      </c>
      <c r="K121" s="621">
        <v>0</v>
      </c>
      <c r="L121" s="164" t="s">
        <v>981</v>
      </c>
      <c r="M121" s="164" t="s">
        <v>1119</v>
      </c>
      <c r="N121" s="164" t="s">
        <v>156</v>
      </c>
      <c r="O121" s="187" t="s">
        <v>797</v>
      </c>
      <c r="P121" s="164" t="s">
        <v>320</v>
      </c>
      <c r="Q121" s="165">
        <v>41696</v>
      </c>
      <c r="R121" s="165">
        <v>41731</v>
      </c>
      <c r="S121" s="164" t="s">
        <v>337</v>
      </c>
      <c r="T121" s="187" t="s">
        <v>982</v>
      </c>
      <c r="U121" s="259" t="s">
        <v>798</v>
      </c>
      <c r="V121" s="187" t="s">
        <v>983</v>
      </c>
      <c r="W121" s="263">
        <v>10246222</v>
      </c>
      <c r="X121" s="259" t="s">
        <v>90</v>
      </c>
      <c r="Y121" s="259" t="s">
        <v>1316</v>
      </c>
      <c r="Z121" s="164"/>
      <c r="AA121" s="167">
        <v>4</v>
      </c>
      <c r="AB121" s="175"/>
      <c r="AC121" s="167">
        <v>384</v>
      </c>
      <c r="AD121" s="168">
        <v>12000000</v>
      </c>
      <c r="AE121" s="167">
        <v>0</v>
      </c>
      <c r="AF121" s="167">
        <v>0</v>
      </c>
      <c r="AG121" s="167">
        <v>0</v>
      </c>
      <c r="AH121" s="167">
        <v>0</v>
      </c>
      <c r="AI121" s="167">
        <v>0</v>
      </c>
      <c r="AJ121" s="167">
        <v>2000000</v>
      </c>
      <c r="AK121" s="167">
        <v>2000000</v>
      </c>
      <c r="AL121" s="167">
        <v>2000000</v>
      </c>
      <c r="AM121" s="167">
        <v>0</v>
      </c>
      <c r="AN121" s="167">
        <v>4000000</v>
      </c>
      <c r="AO121" s="167">
        <v>0</v>
      </c>
      <c r="AP121" s="167">
        <v>2000000</v>
      </c>
      <c r="AQ121" s="168">
        <f t="shared" si="22"/>
        <v>12000000</v>
      </c>
      <c r="AR121" s="168">
        <f t="shared" si="23"/>
        <v>0</v>
      </c>
      <c r="AS121" s="169">
        <f t="shared" si="24"/>
        <v>1</v>
      </c>
      <c r="AT121" s="236"/>
      <c r="AU121" s="346"/>
      <c r="AV121" s="346"/>
      <c r="AW121" s="345"/>
      <c r="AX121" s="345"/>
      <c r="AY121" s="345"/>
      <c r="AZ121" s="345"/>
      <c r="BA121" s="237"/>
      <c r="BB121" s="237"/>
      <c r="BC121" s="237"/>
      <c r="BD121" s="237"/>
      <c r="BE121" s="237"/>
      <c r="BF121" s="438"/>
      <c r="BG121" s="443"/>
      <c r="BH121" s="237"/>
      <c r="BI121" s="237"/>
      <c r="BJ121" s="344">
        <f t="shared" si="16"/>
        <v>0</v>
      </c>
      <c r="BK121" s="237">
        <f t="shared" si="20"/>
        <v>0</v>
      </c>
      <c r="BL121" s="435" t="e">
        <f t="shared" si="21"/>
        <v>#DIV/0!</v>
      </c>
      <c r="BM121" s="192"/>
      <c r="BN121" s="192"/>
      <c r="BO121" s="192"/>
      <c r="BP121" s="192"/>
      <c r="BQ121" s="192"/>
      <c r="BR121" s="192"/>
      <c r="BS121" s="192"/>
      <c r="BT121" s="192"/>
      <c r="BU121" s="192"/>
      <c r="BV121" s="192"/>
      <c r="BW121" s="192"/>
      <c r="BX121" s="192"/>
      <c r="BY121" s="192"/>
      <c r="BZ121" s="192"/>
      <c r="CA121" s="192"/>
      <c r="CB121" s="192"/>
      <c r="CC121" s="192"/>
      <c r="CD121" s="192"/>
    </row>
    <row r="122" spans="1:82" s="25" customFormat="1" x14ac:dyDescent="0.25">
      <c r="A122" s="62">
        <v>124</v>
      </c>
      <c r="B122" s="365" t="s">
        <v>164</v>
      </c>
      <c r="C122" s="62">
        <v>1165</v>
      </c>
      <c r="D122" s="63" t="s">
        <v>152</v>
      </c>
      <c r="E122" s="62">
        <v>4</v>
      </c>
      <c r="F122" s="559"/>
      <c r="G122" s="559"/>
      <c r="H122" s="559"/>
      <c r="I122" s="559"/>
      <c r="J122" s="620"/>
      <c r="K122" s="622"/>
      <c r="L122" s="237"/>
      <c r="M122" s="164"/>
      <c r="N122" s="237"/>
      <c r="O122" s="237"/>
      <c r="P122" s="237"/>
      <c r="Q122" s="237"/>
      <c r="R122" s="237"/>
      <c r="S122" s="237"/>
      <c r="T122" s="237"/>
      <c r="U122" s="237"/>
      <c r="V122" s="237"/>
      <c r="W122" s="237"/>
      <c r="X122" s="237"/>
      <c r="Y122" s="237"/>
      <c r="Z122" s="237"/>
      <c r="AA122" s="237"/>
      <c r="AB122" s="192"/>
      <c r="AC122" s="237"/>
      <c r="AD122" s="237"/>
      <c r="AE122" s="237"/>
      <c r="AF122" s="237"/>
      <c r="AG122" s="237"/>
      <c r="AH122" s="237"/>
      <c r="AI122" s="237"/>
      <c r="AJ122" s="237"/>
      <c r="AK122" s="237"/>
      <c r="AL122" s="237"/>
      <c r="AM122" s="237"/>
      <c r="AN122" s="237"/>
      <c r="AO122" s="237"/>
      <c r="AP122" s="237"/>
      <c r="AQ122" s="237"/>
      <c r="AR122" s="237"/>
      <c r="AS122" s="237"/>
      <c r="AT122" s="236"/>
      <c r="AU122" s="346"/>
      <c r="AV122" s="346"/>
      <c r="AW122" s="345"/>
      <c r="AX122" s="345"/>
      <c r="AY122" s="345"/>
      <c r="AZ122" s="345"/>
      <c r="BA122" s="237"/>
      <c r="BB122" s="237"/>
      <c r="BC122" s="237"/>
      <c r="BD122" s="237"/>
      <c r="BE122" s="237"/>
      <c r="BF122" s="438"/>
      <c r="BG122" s="443"/>
      <c r="BH122" s="237"/>
      <c r="BI122" s="237"/>
      <c r="BJ122" s="344">
        <f t="shared" si="16"/>
        <v>0</v>
      </c>
      <c r="BK122" s="237">
        <f t="shared" si="20"/>
        <v>0</v>
      </c>
      <c r="BL122" s="435" t="e">
        <f t="shared" si="21"/>
        <v>#DIV/0!</v>
      </c>
      <c r="BM122" s="192"/>
      <c r="BN122" s="192"/>
      <c r="BO122" s="192"/>
      <c r="BP122" s="192"/>
      <c r="BQ122" s="192"/>
      <c r="BR122" s="192"/>
      <c r="BS122" s="192"/>
      <c r="BT122" s="192"/>
      <c r="BU122" s="192"/>
      <c r="BV122" s="192"/>
      <c r="BW122" s="192"/>
      <c r="BX122" s="192"/>
      <c r="BY122" s="192"/>
      <c r="BZ122" s="192"/>
      <c r="CA122" s="192"/>
      <c r="CB122" s="192"/>
      <c r="CC122" s="192"/>
      <c r="CD122" s="192"/>
    </row>
    <row r="123" spans="1:82" s="25" customFormat="1" x14ac:dyDescent="0.25">
      <c r="A123" s="62">
        <v>124</v>
      </c>
      <c r="B123" s="365" t="s">
        <v>164</v>
      </c>
      <c r="C123" s="62">
        <v>1165</v>
      </c>
      <c r="D123" s="63" t="s">
        <v>152</v>
      </c>
      <c r="E123" s="62">
        <v>4</v>
      </c>
      <c r="F123" s="559"/>
      <c r="G123" s="559"/>
      <c r="H123" s="559"/>
      <c r="I123" s="559"/>
      <c r="J123" s="620"/>
      <c r="K123" s="622"/>
      <c r="L123" s="164"/>
      <c r="M123" s="164"/>
      <c r="N123" s="164"/>
      <c r="O123" s="164"/>
      <c r="P123" s="164"/>
      <c r="Q123" s="165"/>
      <c r="R123" s="165"/>
      <c r="S123" s="164"/>
      <c r="T123" s="164"/>
      <c r="U123" s="164"/>
      <c r="V123" s="164"/>
      <c r="W123" s="164"/>
      <c r="X123" s="164"/>
      <c r="Y123" s="164"/>
      <c r="Z123" s="164"/>
      <c r="AA123" s="167"/>
      <c r="AB123" s="175"/>
      <c r="AC123" s="167"/>
      <c r="AD123" s="168"/>
      <c r="AE123" s="167"/>
      <c r="AF123" s="167"/>
      <c r="AG123" s="167"/>
      <c r="AH123" s="167"/>
      <c r="AI123" s="167">
        <v>0</v>
      </c>
      <c r="AJ123" s="167">
        <v>0</v>
      </c>
      <c r="AK123" s="167">
        <v>0</v>
      </c>
      <c r="AL123" s="167">
        <v>0</v>
      </c>
      <c r="AM123" s="167">
        <v>0</v>
      </c>
      <c r="AN123" s="167">
        <v>0</v>
      </c>
      <c r="AO123" s="167">
        <v>0</v>
      </c>
      <c r="AP123" s="167">
        <v>0</v>
      </c>
      <c r="AQ123" s="168">
        <f>SUM(AE123:AP123)</f>
        <v>0</v>
      </c>
      <c r="AR123" s="168">
        <f>+AD123-AQ123</f>
        <v>0</v>
      </c>
      <c r="AS123" s="169" t="e">
        <f>+AQ123/AD123</f>
        <v>#DIV/0!</v>
      </c>
      <c r="AT123" s="236"/>
      <c r="AU123" s="346"/>
      <c r="AV123" s="346"/>
      <c r="AW123" s="345"/>
      <c r="AX123" s="345"/>
      <c r="AY123" s="345"/>
      <c r="AZ123" s="345"/>
      <c r="BA123" s="237"/>
      <c r="BB123" s="237"/>
      <c r="BC123" s="237"/>
      <c r="BD123" s="237"/>
      <c r="BE123" s="237"/>
      <c r="BF123" s="438"/>
      <c r="BG123" s="443"/>
      <c r="BH123" s="237"/>
      <c r="BI123" s="237"/>
      <c r="BJ123" s="344">
        <f t="shared" si="16"/>
        <v>0</v>
      </c>
      <c r="BK123" s="237">
        <f t="shared" si="20"/>
        <v>0</v>
      </c>
      <c r="BL123" s="435" t="e">
        <f t="shared" si="21"/>
        <v>#DIV/0!</v>
      </c>
      <c r="BM123" s="192"/>
      <c r="BN123" s="192"/>
      <c r="BO123" s="192"/>
      <c r="BP123" s="192"/>
      <c r="BQ123" s="192"/>
      <c r="BR123" s="192"/>
      <c r="BS123" s="192"/>
      <c r="BT123" s="192"/>
      <c r="BU123" s="192"/>
      <c r="BV123" s="192"/>
      <c r="BW123" s="192"/>
      <c r="BX123" s="192"/>
      <c r="BY123" s="192"/>
      <c r="BZ123" s="192"/>
      <c r="CA123" s="192"/>
      <c r="CB123" s="192"/>
      <c r="CC123" s="192"/>
      <c r="CD123" s="192"/>
    </row>
    <row r="124" spans="1:82" s="25" customFormat="1" x14ac:dyDescent="0.25">
      <c r="A124" s="62">
        <v>125</v>
      </c>
      <c r="B124" s="365" t="s">
        <v>168</v>
      </c>
      <c r="C124" s="62">
        <v>1168</v>
      </c>
      <c r="D124" s="63" t="s">
        <v>170</v>
      </c>
      <c r="E124" s="62">
        <v>1</v>
      </c>
      <c r="F124" s="559" t="s">
        <v>171</v>
      </c>
      <c r="G124" s="559">
        <v>64</v>
      </c>
      <c r="H124" s="559" t="s">
        <v>172</v>
      </c>
      <c r="I124" s="559" t="s">
        <v>173</v>
      </c>
      <c r="J124" s="619">
        <v>0</v>
      </c>
      <c r="K124" s="621">
        <v>0</v>
      </c>
      <c r="L124" s="164" t="s">
        <v>984</v>
      </c>
      <c r="M124" s="164" t="s">
        <v>1111</v>
      </c>
      <c r="N124" s="164" t="s">
        <v>174</v>
      </c>
      <c r="O124" s="249" t="s">
        <v>1383</v>
      </c>
      <c r="P124" s="164" t="s">
        <v>836</v>
      </c>
      <c r="Q124" s="356">
        <v>41852</v>
      </c>
      <c r="R124" s="355">
        <v>41852</v>
      </c>
      <c r="S124" s="249" t="s">
        <v>807</v>
      </c>
      <c r="T124" s="164">
        <v>219</v>
      </c>
      <c r="U124" s="249" t="s">
        <v>798</v>
      </c>
      <c r="V124" s="164" t="s">
        <v>985</v>
      </c>
      <c r="W124" s="249"/>
      <c r="X124" s="249" t="s">
        <v>1382</v>
      </c>
      <c r="Y124" s="249" t="s">
        <v>884</v>
      </c>
      <c r="Z124" s="164"/>
      <c r="AA124" s="167">
        <v>607</v>
      </c>
      <c r="AB124" s="175"/>
      <c r="AC124" s="167">
        <v>722</v>
      </c>
      <c r="AD124" s="168">
        <v>42829428</v>
      </c>
      <c r="AE124" s="167"/>
      <c r="AF124" s="167"/>
      <c r="AG124" s="167"/>
      <c r="AH124" s="167"/>
      <c r="AI124" s="167">
        <v>0</v>
      </c>
      <c r="AJ124" s="167">
        <v>0</v>
      </c>
      <c r="AK124" s="167">
        <v>0</v>
      </c>
      <c r="AL124" s="167">
        <v>42829427.399999999</v>
      </c>
      <c r="AM124" s="167">
        <v>0</v>
      </c>
      <c r="AN124" s="167">
        <v>0</v>
      </c>
      <c r="AO124" s="167">
        <v>0</v>
      </c>
      <c r="AP124" s="167">
        <v>0</v>
      </c>
      <c r="AQ124" s="168">
        <f>SUM(AE124:AP124)</f>
        <v>42829427.399999999</v>
      </c>
      <c r="AR124" s="168">
        <f>+AD124-AQ124</f>
        <v>0.60000000149011612</v>
      </c>
      <c r="AS124" s="169">
        <f>+AQ124/AD124</f>
        <v>0.99999998599094053</v>
      </c>
      <c r="AT124" s="236"/>
      <c r="AU124" s="346">
        <v>226</v>
      </c>
      <c r="AV124" s="346">
        <v>189</v>
      </c>
      <c r="AW124" s="345">
        <v>0.6</v>
      </c>
      <c r="AX124" s="345">
        <v>0</v>
      </c>
      <c r="AY124" s="345">
        <v>0</v>
      </c>
      <c r="AZ124" s="345">
        <v>0</v>
      </c>
      <c r="BA124" s="237"/>
      <c r="BB124" s="237"/>
      <c r="BC124" s="237"/>
      <c r="BD124" s="237"/>
      <c r="BE124" s="237"/>
      <c r="BF124" s="438"/>
      <c r="BG124" s="443"/>
      <c r="BH124" s="237"/>
      <c r="BI124" s="237"/>
      <c r="BJ124" s="344">
        <f t="shared" si="16"/>
        <v>0</v>
      </c>
      <c r="BK124" s="237">
        <f t="shared" si="20"/>
        <v>0.6</v>
      </c>
      <c r="BL124" s="435">
        <f t="shared" si="21"/>
        <v>0</v>
      </c>
      <c r="BM124" s="192"/>
      <c r="BN124" s="192"/>
      <c r="BO124" s="192"/>
      <c r="BP124" s="192"/>
      <c r="BQ124" s="192"/>
      <c r="BR124" s="192"/>
      <c r="BS124" s="192"/>
      <c r="BT124" s="192"/>
      <c r="BU124" s="192"/>
      <c r="BV124" s="192"/>
      <c r="BW124" s="192"/>
      <c r="BX124" s="192"/>
      <c r="BY124" s="192"/>
      <c r="BZ124" s="192"/>
      <c r="CA124" s="192"/>
      <c r="CB124" s="192"/>
      <c r="CC124" s="192"/>
      <c r="CD124" s="192"/>
    </row>
    <row r="125" spans="1:82" s="25" customFormat="1" x14ac:dyDescent="0.25">
      <c r="A125" s="62">
        <v>125</v>
      </c>
      <c r="B125" s="365" t="s">
        <v>168</v>
      </c>
      <c r="C125" s="62">
        <v>1168</v>
      </c>
      <c r="D125" s="63" t="s">
        <v>170</v>
      </c>
      <c r="E125" s="62">
        <v>1</v>
      </c>
      <c r="F125" s="559"/>
      <c r="G125" s="559"/>
      <c r="H125" s="559"/>
      <c r="I125" s="559"/>
      <c r="J125" s="620"/>
      <c r="K125" s="622"/>
      <c r="L125" s="166"/>
      <c r="M125" s="164"/>
      <c r="N125" s="166"/>
      <c r="O125" s="166"/>
      <c r="P125" s="166"/>
      <c r="Q125" s="180"/>
      <c r="R125" s="180"/>
      <c r="S125" s="166"/>
      <c r="T125" s="189"/>
      <c r="U125" s="199"/>
      <c r="V125" s="166"/>
      <c r="W125" s="189"/>
      <c r="X125" s="185"/>
      <c r="Y125" s="185"/>
      <c r="Z125" s="166"/>
      <c r="AA125" s="174"/>
      <c r="AB125" s="175"/>
      <c r="AC125" s="174"/>
      <c r="AD125" s="175"/>
      <c r="AE125" s="174"/>
      <c r="AF125" s="174"/>
      <c r="AG125" s="174"/>
      <c r="AH125" s="174"/>
      <c r="AI125" s="174"/>
      <c r="AJ125" s="174"/>
      <c r="AK125" s="174"/>
      <c r="AL125" s="174"/>
      <c r="AM125" s="174"/>
      <c r="AN125" s="174"/>
      <c r="AO125" s="174"/>
      <c r="AP125" s="174"/>
      <c r="AQ125" s="168">
        <f>SUM(AE125:AP125)</f>
        <v>0</v>
      </c>
      <c r="AR125" s="168">
        <f>+AD125-AQ125</f>
        <v>0</v>
      </c>
      <c r="AS125" s="169" t="e">
        <f>+AQ125/AD125</f>
        <v>#DIV/0!</v>
      </c>
      <c r="AT125" s="236"/>
      <c r="AU125" s="346"/>
      <c r="AV125" s="346"/>
      <c r="AW125" s="345"/>
      <c r="AX125" s="345"/>
      <c r="AY125" s="345"/>
      <c r="AZ125" s="345"/>
      <c r="BA125" s="237"/>
      <c r="BB125" s="237"/>
      <c r="BC125" s="237"/>
      <c r="BD125" s="237"/>
      <c r="BE125" s="349"/>
      <c r="BF125" s="438"/>
      <c r="BG125" s="443"/>
      <c r="BH125" s="237"/>
      <c r="BI125" s="237"/>
      <c r="BJ125" s="344">
        <f t="shared" si="16"/>
        <v>0</v>
      </c>
      <c r="BK125" s="237">
        <f t="shared" si="20"/>
        <v>0</v>
      </c>
      <c r="BL125" s="435" t="e">
        <f t="shared" si="21"/>
        <v>#DIV/0!</v>
      </c>
      <c r="BM125" s="192"/>
      <c r="BN125" s="192"/>
      <c r="BO125" s="192"/>
      <c r="BP125" s="192"/>
      <c r="BQ125" s="192"/>
      <c r="BR125" s="192"/>
      <c r="BS125" s="192"/>
      <c r="BT125" s="192"/>
      <c r="BU125" s="192"/>
      <c r="BV125" s="192"/>
      <c r="BW125" s="192"/>
      <c r="BX125" s="192"/>
      <c r="BY125" s="192"/>
      <c r="BZ125" s="192"/>
      <c r="CA125" s="192"/>
      <c r="CB125" s="192"/>
      <c r="CC125" s="192"/>
      <c r="CD125" s="192"/>
    </row>
    <row r="126" spans="1:82" s="25" customFormat="1" x14ac:dyDescent="0.25">
      <c r="A126" s="62">
        <v>125</v>
      </c>
      <c r="B126" s="365" t="s">
        <v>168</v>
      </c>
      <c r="C126" s="62">
        <v>1168</v>
      </c>
      <c r="D126" s="63" t="s">
        <v>170</v>
      </c>
      <c r="E126" s="62">
        <v>1</v>
      </c>
      <c r="F126" s="559"/>
      <c r="G126" s="559"/>
      <c r="H126" s="559"/>
      <c r="I126" s="559"/>
      <c r="J126" s="620"/>
      <c r="K126" s="622"/>
      <c r="L126" s="237"/>
      <c r="M126" s="164"/>
      <c r="N126" s="237"/>
      <c r="O126" s="237"/>
      <c r="P126" s="237"/>
      <c r="Q126" s="237"/>
      <c r="R126" s="237"/>
      <c r="S126" s="237"/>
      <c r="T126" s="237"/>
      <c r="U126" s="237"/>
      <c r="V126" s="237"/>
      <c r="W126" s="237"/>
      <c r="X126" s="237"/>
      <c r="Y126" s="237"/>
      <c r="Z126" s="237"/>
      <c r="AA126" s="237"/>
      <c r="AB126" s="192"/>
      <c r="AC126" s="237"/>
      <c r="AD126" s="237"/>
      <c r="AE126" s="237"/>
      <c r="AF126" s="237"/>
      <c r="AG126" s="237"/>
      <c r="AH126" s="237"/>
      <c r="AI126" s="237"/>
      <c r="AJ126" s="237"/>
      <c r="AK126" s="237"/>
      <c r="AL126" s="237"/>
      <c r="AM126" s="237"/>
      <c r="AN126" s="237"/>
      <c r="AO126" s="237"/>
      <c r="AP126" s="237"/>
      <c r="AQ126" s="237"/>
      <c r="AR126" s="237"/>
      <c r="AS126" s="237"/>
      <c r="AT126" s="236"/>
      <c r="AU126" s="346"/>
      <c r="AV126" s="346"/>
      <c r="AW126" s="345"/>
      <c r="AX126" s="345"/>
      <c r="AY126" s="345"/>
      <c r="AZ126" s="345"/>
      <c r="BA126" s="237"/>
      <c r="BB126" s="237"/>
      <c r="BC126" s="237"/>
      <c r="BD126" s="237"/>
      <c r="BE126" s="349"/>
      <c r="BF126" s="438"/>
      <c r="BG126" s="443"/>
      <c r="BH126" s="237"/>
      <c r="BI126" s="237"/>
      <c r="BJ126" s="344">
        <f t="shared" si="16"/>
        <v>0</v>
      </c>
      <c r="BK126" s="237">
        <f t="shared" si="20"/>
        <v>0</v>
      </c>
      <c r="BL126" s="435" t="e">
        <f t="shared" si="21"/>
        <v>#DIV/0!</v>
      </c>
      <c r="BM126" s="192"/>
      <c r="BN126" s="192"/>
      <c r="BO126" s="192"/>
      <c r="BP126" s="192"/>
      <c r="BQ126" s="192"/>
      <c r="BR126" s="192"/>
      <c r="BS126" s="192"/>
      <c r="BT126" s="192"/>
      <c r="BU126" s="192"/>
      <c r="BV126" s="192"/>
      <c r="BW126" s="192"/>
      <c r="BX126" s="192"/>
      <c r="BY126" s="192"/>
      <c r="BZ126" s="192"/>
      <c r="CA126" s="192"/>
      <c r="CB126" s="192"/>
      <c r="CC126" s="192"/>
      <c r="CD126" s="192"/>
    </row>
    <row r="127" spans="1:82" s="25" customFormat="1" ht="13.5" customHeight="1" x14ac:dyDescent="0.25">
      <c r="A127" s="62">
        <v>126</v>
      </c>
      <c r="B127" s="365" t="s">
        <v>176</v>
      </c>
      <c r="C127" s="62">
        <v>1168</v>
      </c>
      <c r="D127" s="63" t="s">
        <v>170</v>
      </c>
      <c r="E127" s="62">
        <v>2</v>
      </c>
      <c r="F127" s="559" t="s">
        <v>177</v>
      </c>
      <c r="G127" s="559">
        <v>19</v>
      </c>
      <c r="H127" s="559" t="s">
        <v>172</v>
      </c>
      <c r="I127" s="559" t="s">
        <v>173</v>
      </c>
      <c r="J127" s="619">
        <v>0</v>
      </c>
      <c r="K127" s="621">
        <v>0</v>
      </c>
      <c r="L127" s="164" t="s">
        <v>986</v>
      </c>
      <c r="M127" s="164" t="s">
        <v>1111</v>
      </c>
      <c r="N127" s="164" t="s">
        <v>174</v>
      </c>
      <c r="O127" s="249" t="s">
        <v>1321</v>
      </c>
      <c r="P127" s="164" t="s">
        <v>320</v>
      </c>
      <c r="Q127" s="249">
        <v>41893</v>
      </c>
      <c r="R127" s="249">
        <v>41911</v>
      </c>
      <c r="S127" s="249" t="s">
        <v>1322</v>
      </c>
      <c r="T127" s="187" t="s">
        <v>987</v>
      </c>
      <c r="U127" s="249" t="s">
        <v>798</v>
      </c>
      <c r="V127" s="164" t="s">
        <v>988</v>
      </c>
      <c r="W127" s="194">
        <v>800172033</v>
      </c>
      <c r="X127" s="249" t="s">
        <v>90</v>
      </c>
      <c r="Y127" s="249" t="s">
        <v>884</v>
      </c>
      <c r="Z127" s="164"/>
      <c r="AA127" s="167">
        <v>164</v>
      </c>
      <c r="AB127" s="175"/>
      <c r="AC127" s="167">
        <v>798</v>
      </c>
      <c r="AD127" s="168">
        <v>360000000</v>
      </c>
      <c r="AE127" s="167"/>
      <c r="AF127" s="167"/>
      <c r="AG127" s="167"/>
      <c r="AH127" s="167"/>
      <c r="AI127" s="167">
        <v>0</v>
      </c>
      <c r="AJ127" s="167">
        <v>0</v>
      </c>
      <c r="AK127" s="167">
        <v>0</v>
      </c>
      <c r="AL127" s="167">
        <v>0</v>
      </c>
      <c r="AM127" s="234">
        <v>0</v>
      </c>
      <c r="AN127" s="234">
        <v>0</v>
      </c>
      <c r="AO127" s="234">
        <v>0</v>
      </c>
      <c r="AP127" s="234">
        <v>65454546</v>
      </c>
      <c r="AQ127" s="354">
        <f t="shared" ref="AQ127:AQ143" si="25">SUM(AE127:AP127)</f>
        <v>65454546</v>
      </c>
      <c r="AR127" s="354">
        <f t="shared" ref="AR127:AR143" si="26">+AD127-AQ127</f>
        <v>294545454</v>
      </c>
      <c r="AS127" s="353">
        <f t="shared" ref="AS127:AS143" si="27">+AQ127/AD127</f>
        <v>0.18181818333333333</v>
      </c>
      <c r="AT127" s="352"/>
      <c r="AU127" s="350">
        <v>251</v>
      </c>
      <c r="AV127" s="350">
        <v>213</v>
      </c>
      <c r="AW127" s="349">
        <v>294545454</v>
      </c>
      <c r="AX127" s="349">
        <v>0</v>
      </c>
      <c r="AY127" s="349">
        <v>0</v>
      </c>
      <c r="AZ127" s="349">
        <v>32727273</v>
      </c>
      <c r="BA127" s="349">
        <v>32727273</v>
      </c>
      <c r="BB127" s="349">
        <v>32727273</v>
      </c>
      <c r="BC127" s="349">
        <v>32727273</v>
      </c>
      <c r="BD127" s="349">
        <v>32727273</v>
      </c>
      <c r="BE127" s="349">
        <v>32727273</v>
      </c>
      <c r="BF127" s="442">
        <v>32727273</v>
      </c>
      <c r="BG127" s="447">
        <v>32727273</v>
      </c>
      <c r="BH127" s="351">
        <v>32727270</v>
      </c>
      <c r="BI127" s="351"/>
      <c r="BJ127" s="344">
        <f t="shared" si="16"/>
        <v>294545454</v>
      </c>
      <c r="BK127" s="237">
        <f t="shared" si="20"/>
        <v>0</v>
      </c>
      <c r="BL127" s="435">
        <f t="shared" si="21"/>
        <v>1</v>
      </c>
      <c r="BM127" s="192"/>
      <c r="BN127" s="192"/>
      <c r="BO127" s="192"/>
      <c r="BP127" s="192"/>
      <c r="BQ127" s="192"/>
      <c r="BR127" s="192"/>
      <c r="BS127" s="192"/>
      <c r="BT127" s="192"/>
      <c r="BU127" s="192"/>
      <c r="BV127" s="192"/>
      <c r="BW127" s="192"/>
      <c r="BX127" s="192"/>
      <c r="BY127" s="192"/>
      <c r="BZ127" s="192"/>
      <c r="CA127" s="192"/>
      <c r="CB127" s="192"/>
      <c r="CC127" s="192"/>
      <c r="CD127" s="192"/>
    </row>
    <row r="128" spans="1:82" s="25" customFormat="1" x14ac:dyDescent="0.25">
      <c r="A128" s="62">
        <v>126</v>
      </c>
      <c r="B128" s="365" t="s">
        <v>176</v>
      </c>
      <c r="C128" s="62">
        <v>1168</v>
      </c>
      <c r="D128" s="63" t="s">
        <v>170</v>
      </c>
      <c r="E128" s="62">
        <v>2</v>
      </c>
      <c r="F128" s="559"/>
      <c r="G128" s="559"/>
      <c r="H128" s="559"/>
      <c r="I128" s="559"/>
      <c r="J128" s="620"/>
      <c r="K128" s="622"/>
      <c r="L128" s="164" t="s">
        <v>989</v>
      </c>
      <c r="M128" s="164" t="s">
        <v>1111</v>
      </c>
      <c r="N128" s="164" t="s">
        <v>174</v>
      </c>
      <c r="O128" s="249" t="s">
        <v>1323</v>
      </c>
      <c r="P128" s="164" t="s">
        <v>641</v>
      </c>
      <c r="Q128" s="249">
        <v>41884</v>
      </c>
      <c r="R128" s="249">
        <v>41918</v>
      </c>
      <c r="S128" s="249" t="s">
        <v>1324</v>
      </c>
      <c r="T128" s="187" t="s">
        <v>990</v>
      </c>
      <c r="U128" s="249" t="s">
        <v>506</v>
      </c>
      <c r="V128" s="164" t="s">
        <v>991</v>
      </c>
      <c r="W128" s="194">
        <v>900761542</v>
      </c>
      <c r="X128" s="249" t="s">
        <v>1325</v>
      </c>
      <c r="Y128" s="249" t="s">
        <v>884</v>
      </c>
      <c r="Z128" s="164"/>
      <c r="AA128" s="167">
        <v>159</v>
      </c>
      <c r="AB128" s="175"/>
      <c r="AC128" s="167">
        <v>788</v>
      </c>
      <c r="AD128" s="168">
        <v>3640000000</v>
      </c>
      <c r="AE128" s="167"/>
      <c r="AF128" s="167"/>
      <c r="AG128" s="167"/>
      <c r="AH128" s="167"/>
      <c r="AI128" s="167">
        <v>0</v>
      </c>
      <c r="AJ128" s="167">
        <v>0</v>
      </c>
      <c r="AK128" s="167">
        <v>0</v>
      </c>
      <c r="AL128" s="167">
        <v>0</v>
      </c>
      <c r="AM128" s="234">
        <v>0</v>
      </c>
      <c r="AN128" s="234">
        <v>1456000000</v>
      </c>
      <c r="AO128" s="234">
        <v>0</v>
      </c>
      <c r="AP128" s="234">
        <v>126552849</v>
      </c>
      <c r="AQ128" s="354">
        <f t="shared" si="25"/>
        <v>1582552849</v>
      </c>
      <c r="AR128" s="354">
        <f t="shared" si="26"/>
        <v>2057447151</v>
      </c>
      <c r="AS128" s="353">
        <f t="shared" si="27"/>
        <v>0.43476726620879119</v>
      </c>
      <c r="AT128" s="352"/>
      <c r="AU128" s="350">
        <v>249</v>
      </c>
      <c r="AV128" s="350">
        <v>211</v>
      </c>
      <c r="AW128" s="349">
        <v>2057447151</v>
      </c>
      <c r="AX128" s="349">
        <v>728000000</v>
      </c>
      <c r="AY128" s="349">
        <v>0</v>
      </c>
      <c r="AZ128" s="349">
        <v>52320069</v>
      </c>
      <c r="BA128" s="349">
        <v>66430536</v>
      </c>
      <c r="BB128" s="349">
        <v>119093512</v>
      </c>
      <c r="BC128" s="349">
        <v>277969332</v>
      </c>
      <c r="BD128" s="349">
        <v>213117242</v>
      </c>
      <c r="BE128" s="349"/>
      <c r="BF128" s="442">
        <v>286618467</v>
      </c>
      <c r="BG128" s="446"/>
      <c r="BH128" s="351">
        <v>244766159</v>
      </c>
      <c r="BI128" s="351">
        <v>69131834</v>
      </c>
      <c r="BJ128" s="344">
        <f t="shared" si="16"/>
        <v>2057447151</v>
      </c>
      <c r="BK128" s="237">
        <f t="shared" ref="BK128:BK159" si="28">+AW128-BJ128</f>
        <v>0</v>
      </c>
      <c r="BL128" s="435">
        <f t="shared" ref="BL128:BL159" si="29">+BJ128/AW128</f>
        <v>1</v>
      </c>
      <c r="BM128" s="192"/>
      <c r="BN128" s="192"/>
      <c r="BO128" s="192"/>
      <c r="BP128" s="192"/>
      <c r="BQ128" s="192"/>
      <c r="BR128" s="192"/>
      <c r="BS128" s="192"/>
      <c r="BT128" s="192"/>
      <c r="BU128" s="192"/>
      <c r="BV128" s="192"/>
      <c r="BW128" s="192"/>
      <c r="BX128" s="192"/>
      <c r="BY128" s="192"/>
      <c r="BZ128" s="192"/>
      <c r="CA128" s="192"/>
      <c r="CB128" s="192"/>
      <c r="CC128" s="192"/>
      <c r="CD128" s="192"/>
    </row>
    <row r="129" spans="1:82" s="25" customFormat="1" x14ac:dyDescent="0.25">
      <c r="A129" s="62">
        <v>126</v>
      </c>
      <c r="B129" s="365" t="s">
        <v>176</v>
      </c>
      <c r="C129" s="62">
        <v>1168</v>
      </c>
      <c r="D129" s="63" t="s">
        <v>170</v>
      </c>
      <c r="E129" s="62">
        <v>2</v>
      </c>
      <c r="F129" s="559"/>
      <c r="G129" s="559"/>
      <c r="H129" s="559"/>
      <c r="I129" s="559"/>
      <c r="J129" s="620"/>
      <c r="K129" s="622"/>
      <c r="L129" s="164"/>
      <c r="M129" s="164"/>
      <c r="N129" s="164"/>
      <c r="O129" s="164"/>
      <c r="P129" s="164"/>
      <c r="Q129" s="165"/>
      <c r="R129" s="165"/>
      <c r="S129" s="164"/>
      <c r="T129" s="164"/>
      <c r="U129" s="164"/>
      <c r="V129" s="164"/>
      <c r="W129" s="164"/>
      <c r="X129" s="164"/>
      <c r="Y129" s="164"/>
      <c r="Z129" s="164"/>
      <c r="AA129" s="167"/>
      <c r="AB129" s="175"/>
      <c r="AC129" s="167"/>
      <c r="AD129" s="168"/>
      <c r="AE129" s="167"/>
      <c r="AF129" s="167"/>
      <c r="AG129" s="167"/>
      <c r="AH129" s="167"/>
      <c r="AI129" s="167">
        <v>0</v>
      </c>
      <c r="AJ129" s="167">
        <v>0</v>
      </c>
      <c r="AK129" s="167">
        <v>0</v>
      </c>
      <c r="AL129" s="167">
        <v>0</v>
      </c>
      <c r="AM129" s="234">
        <v>0</v>
      </c>
      <c r="AN129" s="234">
        <v>0</v>
      </c>
      <c r="AO129" s="234">
        <v>0</v>
      </c>
      <c r="AP129" s="234">
        <v>0</v>
      </c>
      <c r="AQ129" s="354">
        <f t="shared" si="25"/>
        <v>0</v>
      </c>
      <c r="AR129" s="354">
        <f t="shared" si="26"/>
        <v>0</v>
      </c>
      <c r="AS129" s="353" t="e">
        <f t="shared" si="27"/>
        <v>#DIV/0!</v>
      </c>
      <c r="AT129" s="352"/>
      <c r="AU129" s="350"/>
      <c r="AV129" s="350"/>
      <c r="AW129" s="349"/>
      <c r="AX129" s="349"/>
      <c r="AY129" s="349"/>
      <c r="AZ129" s="349"/>
      <c r="BA129" s="351"/>
      <c r="BB129" s="349"/>
      <c r="BC129" s="349"/>
      <c r="BD129" s="351"/>
      <c r="BE129" s="349"/>
      <c r="BF129" s="442"/>
      <c r="BG129" s="446"/>
      <c r="BH129" s="351"/>
      <c r="BI129" s="351"/>
      <c r="BJ129" s="344">
        <f t="shared" si="16"/>
        <v>0</v>
      </c>
      <c r="BK129" s="237">
        <f t="shared" si="28"/>
        <v>0</v>
      </c>
      <c r="BL129" s="435" t="e">
        <f t="shared" si="29"/>
        <v>#DIV/0!</v>
      </c>
      <c r="BM129" s="192"/>
      <c r="BN129" s="192"/>
      <c r="BO129" s="192"/>
      <c r="BP129" s="192"/>
      <c r="BQ129" s="192"/>
      <c r="BR129" s="192"/>
      <c r="BS129" s="192"/>
      <c r="BT129" s="192"/>
      <c r="BU129" s="192"/>
      <c r="BV129" s="192"/>
      <c r="BW129" s="192"/>
      <c r="BX129" s="192"/>
      <c r="BY129" s="192"/>
      <c r="BZ129" s="192"/>
      <c r="CA129" s="192"/>
      <c r="CB129" s="192"/>
      <c r="CC129" s="192"/>
      <c r="CD129" s="192"/>
    </row>
    <row r="130" spans="1:82" s="25" customFormat="1" ht="13.5" customHeight="1" x14ac:dyDescent="0.25">
      <c r="A130" s="62">
        <v>127</v>
      </c>
      <c r="B130" s="365" t="s">
        <v>178</v>
      </c>
      <c r="C130" s="62">
        <v>1168</v>
      </c>
      <c r="D130" s="63" t="s">
        <v>170</v>
      </c>
      <c r="E130" s="62">
        <v>3</v>
      </c>
      <c r="F130" s="584" t="s">
        <v>171</v>
      </c>
      <c r="G130" s="584">
        <v>12000</v>
      </c>
      <c r="H130" s="584" t="s">
        <v>180</v>
      </c>
      <c r="I130" s="584" t="s">
        <v>181</v>
      </c>
      <c r="J130" s="619">
        <v>0</v>
      </c>
      <c r="K130" s="621">
        <v>0</v>
      </c>
      <c r="L130" s="164" t="s">
        <v>663</v>
      </c>
      <c r="M130" s="164" t="s">
        <v>1111</v>
      </c>
      <c r="N130" s="164" t="s">
        <v>174</v>
      </c>
      <c r="O130" s="187" t="s">
        <v>430</v>
      </c>
      <c r="P130" s="164" t="s">
        <v>641</v>
      </c>
      <c r="Q130" s="249">
        <v>41675</v>
      </c>
      <c r="R130" s="249">
        <v>41675</v>
      </c>
      <c r="S130" s="249" t="s">
        <v>441</v>
      </c>
      <c r="T130" s="187" t="s">
        <v>664</v>
      </c>
      <c r="U130" s="164" t="s">
        <v>665</v>
      </c>
      <c r="V130" s="164" t="s">
        <v>666</v>
      </c>
      <c r="W130" s="194">
        <v>830104373</v>
      </c>
      <c r="X130" s="249" t="s">
        <v>1382</v>
      </c>
      <c r="Y130" s="249" t="s">
        <v>483</v>
      </c>
      <c r="Z130" s="164"/>
      <c r="AA130" s="167">
        <v>98</v>
      </c>
      <c r="AB130" s="175"/>
      <c r="AC130" s="167">
        <v>172</v>
      </c>
      <c r="AD130" s="168">
        <v>566657281</v>
      </c>
      <c r="AE130" s="167">
        <v>0</v>
      </c>
      <c r="AF130" s="167">
        <v>0</v>
      </c>
      <c r="AG130" s="167">
        <v>226662912</v>
      </c>
      <c r="AH130" s="167">
        <v>0</v>
      </c>
      <c r="AI130" s="167">
        <v>0</v>
      </c>
      <c r="AJ130" s="167">
        <v>0</v>
      </c>
      <c r="AK130" s="167">
        <v>0</v>
      </c>
      <c r="AL130" s="167">
        <v>0</v>
      </c>
      <c r="AM130" s="234">
        <v>0</v>
      </c>
      <c r="AN130" s="234">
        <v>0</v>
      </c>
      <c r="AO130" s="234">
        <v>69253563</v>
      </c>
      <c r="AP130" s="234">
        <v>100743204</v>
      </c>
      <c r="AQ130" s="354">
        <f t="shared" si="25"/>
        <v>396659679</v>
      </c>
      <c r="AR130" s="354">
        <f t="shared" si="26"/>
        <v>169997602</v>
      </c>
      <c r="AS130" s="353">
        <f t="shared" si="27"/>
        <v>0.69999926287014391</v>
      </c>
      <c r="AT130" s="352"/>
      <c r="AU130" s="350">
        <v>43</v>
      </c>
      <c r="AV130" s="350">
        <v>32</v>
      </c>
      <c r="AW130" s="349">
        <v>169997602</v>
      </c>
      <c r="AX130" s="349">
        <v>0</v>
      </c>
      <c r="AY130" s="349">
        <v>0</v>
      </c>
      <c r="AZ130" s="349">
        <v>0</v>
      </c>
      <c r="BA130" s="349">
        <v>0</v>
      </c>
      <c r="BB130" s="349">
        <v>0</v>
      </c>
      <c r="BC130" s="351">
        <v>0</v>
      </c>
      <c r="BD130" s="351"/>
      <c r="BE130" s="349"/>
      <c r="BF130" s="442">
        <v>169996767</v>
      </c>
      <c r="BG130" s="446"/>
      <c r="BH130" s="351"/>
      <c r="BI130" s="351"/>
      <c r="BJ130" s="344">
        <f t="shared" si="16"/>
        <v>169996767</v>
      </c>
      <c r="BK130" s="237">
        <f t="shared" si="28"/>
        <v>835</v>
      </c>
      <c r="BL130" s="435">
        <f t="shared" si="29"/>
        <v>0.99999508816600835</v>
      </c>
      <c r="BM130" s="192"/>
      <c r="BN130" s="192"/>
      <c r="BO130" s="192"/>
      <c r="BP130" s="192"/>
      <c r="BQ130" s="192"/>
      <c r="BR130" s="192"/>
      <c r="BS130" s="192"/>
      <c r="BT130" s="192"/>
      <c r="BU130" s="192"/>
      <c r="BV130" s="192"/>
      <c r="BW130" s="192"/>
      <c r="BX130" s="192"/>
      <c r="BY130" s="192"/>
      <c r="BZ130" s="192"/>
      <c r="CA130" s="192"/>
      <c r="CB130" s="192"/>
      <c r="CC130" s="192"/>
      <c r="CD130" s="192"/>
    </row>
    <row r="131" spans="1:82" s="25" customFormat="1" x14ac:dyDescent="0.25">
      <c r="A131" s="62">
        <v>127</v>
      </c>
      <c r="B131" s="365" t="s">
        <v>178</v>
      </c>
      <c r="C131" s="62">
        <v>1168</v>
      </c>
      <c r="D131" s="63" t="s">
        <v>170</v>
      </c>
      <c r="E131" s="62">
        <v>3</v>
      </c>
      <c r="F131" s="585"/>
      <c r="G131" s="585"/>
      <c r="H131" s="585"/>
      <c r="I131" s="585"/>
      <c r="J131" s="620"/>
      <c r="K131" s="622"/>
      <c r="L131" s="164" t="s">
        <v>667</v>
      </c>
      <c r="M131" s="164" t="s">
        <v>1111</v>
      </c>
      <c r="N131" s="164" t="s">
        <v>174</v>
      </c>
      <c r="O131" s="164" t="s">
        <v>430</v>
      </c>
      <c r="P131" s="164" t="s">
        <v>320</v>
      </c>
      <c r="Q131" s="249">
        <v>41643</v>
      </c>
      <c r="R131" s="249">
        <v>41647</v>
      </c>
      <c r="S131" s="249" t="s">
        <v>992</v>
      </c>
      <c r="T131" s="164" t="s">
        <v>668</v>
      </c>
      <c r="U131" s="164" t="s">
        <v>669</v>
      </c>
      <c r="V131" s="164" t="s">
        <v>670</v>
      </c>
      <c r="W131" s="164">
        <v>800172033</v>
      </c>
      <c r="X131" s="249" t="s">
        <v>1382</v>
      </c>
      <c r="Y131" s="166" t="s">
        <v>315</v>
      </c>
      <c r="Z131" s="164"/>
      <c r="AA131" s="167">
        <v>99</v>
      </c>
      <c r="AB131" s="175"/>
      <c r="AC131" s="167">
        <v>163</v>
      </c>
      <c r="AD131" s="168">
        <v>55000000</v>
      </c>
      <c r="AE131" s="167">
        <v>0</v>
      </c>
      <c r="AF131" s="167">
        <v>0</v>
      </c>
      <c r="AG131" s="167">
        <v>0</v>
      </c>
      <c r="AH131" s="167">
        <v>0</v>
      </c>
      <c r="AI131" s="167">
        <v>0</v>
      </c>
      <c r="AJ131" s="167">
        <v>0</v>
      </c>
      <c r="AK131" s="167">
        <v>0</v>
      </c>
      <c r="AL131" s="167">
        <v>0</v>
      </c>
      <c r="AM131" s="234">
        <v>15714285</v>
      </c>
      <c r="AN131" s="234">
        <v>15714285</v>
      </c>
      <c r="AO131" s="234">
        <v>15714280</v>
      </c>
      <c r="AP131" s="234">
        <v>0</v>
      </c>
      <c r="AQ131" s="354">
        <f t="shared" si="25"/>
        <v>47142850</v>
      </c>
      <c r="AR131" s="354">
        <f t="shared" si="26"/>
        <v>7857150</v>
      </c>
      <c r="AS131" s="353">
        <f t="shared" si="27"/>
        <v>0.85714272727272722</v>
      </c>
      <c r="AT131" s="352"/>
      <c r="AU131" s="350">
        <v>41</v>
      </c>
      <c r="AV131" s="350">
        <v>30</v>
      </c>
      <c r="AW131" s="349">
        <v>7857150</v>
      </c>
      <c r="AX131" s="349">
        <v>0</v>
      </c>
      <c r="AY131" s="349">
        <v>0</v>
      </c>
      <c r="AZ131" s="349">
        <v>0</v>
      </c>
      <c r="BA131" s="349">
        <v>0</v>
      </c>
      <c r="BB131" s="349">
        <v>0</v>
      </c>
      <c r="BC131" s="351">
        <v>0</v>
      </c>
      <c r="BD131" s="351"/>
      <c r="BE131" s="349"/>
      <c r="BF131" s="442"/>
      <c r="BG131" s="446"/>
      <c r="BH131" s="351"/>
      <c r="BI131" s="351">
        <v>7857150</v>
      </c>
      <c r="BJ131" s="344">
        <f t="shared" ref="BJ131:BJ194" si="30">SUM(AX131:BI131)</f>
        <v>7857150</v>
      </c>
      <c r="BK131" s="237">
        <f t="shared" si="28"/>
        <v>0</v>
      </c>
      <c r="BL131" s="435">
        <f t="shared" si="29"/>
        <v>1</v>
      </c>
      <c r="BM131" s="192"/>
      <c r="BN131" s="192"/>
      <c r="BO131" s="192"/>
      <c r="BP131" s="192"/>
      <c r="BQ131" s="192"/>
      <c r="BR131" s="192"/>
      <c r="BS131" s="192"/>
      <c r="BT131" s="192"/>
      <c r="BU131" s="192"/>
      <c r="BV131" s="192"/>
      <c r="BW131" s="192"/>
      <c r="BX131" s="192"/>
      <c r="BY131" s="192"/>
      <c r="BZ131" s="192"/>
      <c r="CA131" s="192"/>
      <c r="CB131" s="192"/>
      <c r="CC131" s="192"/>
      <c r="CD131" s="192"/>
    </row>
    <row r="132" spans="1:82" s="25" customFormat="1" x14ac:dyDescent="0.25">
      <c r="A132" s="62">
        <v>127</v>
      </c>
      <c r="B132" s="365" t="s">
        <v>178</v>
      </c>
      <c r="C132" s="62">
        <v>1168</v>
      </c>
      <c r="D132" s="63" t="s">
        <v>170</v>
      </c>
      <c r="E132" s="62">
        <v>3</v>
      </c>
      <c r="F132" s="585"/>
      <c r="G132" s="585"/>
      <c r="H132" s="585"/>
      <c r="I132" s="585"/>
      <c r="J132" s="620"/>
      <c r="K132" s="622"/>
      <c r="L132" s="164" t="s">
        <v>993</v>
      </c>
      <c r="M132" s="164" t="s">
        <v>1111</v>
      </c>
      <c r="N132" s="164" t="s">
        <v>174</v>
      </c>
      <c r="O132" s="249" t="s">
        <v>637</v>
      </c>
      <c r="P132" s="164" t="s">
        <v>994</v>
      </c>
      <c r="Q132" s="249">
        <v>41984</v>
      </c>
      <c r="R132" s="249">
        <v>41921</v>
      </c>
      <c r="S132" s="249" t="s">
        <v>807</v>
      </c>
      <c r="T132" s="164" t="s">
        <v>995</v>
      </c>
      <c r="U132" s="249" t="s">
        <v>506</v>
      </c>
      <c r="V132" s="164" t="s">
        <v>996</v>
      </c>
      <c r="W132" s="194">
        <v>830004448</v>
      </c>
      <c r="X132" s="249" t="s">
        <v>1326</v>
      </c>
      <c r="Y132" s="166" t="s">
        <v>315</v>
      </c>
      <c r="Z132" s="164"/>
      <c r="AA132" s="167">
        <v>161</v>
      </c>
      <c r="AB132" s="185"/>
      <c r="AC132" s="167">
        <v>787</v>
      </c>
      <c r="AD132" s="168">
        <v>1197409000</v>
      </c>
      <c r="AE132" s="167"/>
      <c r="AF132" s="167"/>
      <c r="AG132" s="167"/>
      <c r="AH132" s="167"/>
      <c r="AI132" s="167">
        <v>0</v>
      </c>
      <c r="AJ132" s="167">
        <v>0</v>
      </c>
      <c r="AK132" s="167">
        <v>0</v>
      </c>
      <c r="AL132" s="167">
        <v>0</v>
      </c>
      <c r="AM132" s="234">
        <v>0</v>
      </c>
      <c r="AN132" s="234">
        <v>478963600</v>
      </c>
      <c r="AO132" s="234">
        <v>0</v>
      </c>
      <c r="AP132" s="234">
        <v>0</v>
      </c>
      <c r="AQ132" s="354">
        <f t="shared" si="25"/>
        <v>478963600</v>
      </c>
      <c r="AR132" s="354">
        <f t="shared" si="26"/>
        <v>718445400</v>
      </c>
      <c r="AS132" s="353">
        <f t="shared" si="27"/>
        <v>0.4</v>
      </c>
      <c r="AT132" s="352"/>
      <c r="AU132" s="350">
        <v>248</v>
      </c>
      <c r="AV132" s="350">
        <v>210</v>
      </c>
      <c r="AW132" s="349">
        <v>718445400</v>
      </c>
      <c r="AX132" s="349">
        <v>285899074</v>
      </c>
      <c r="AY132" s="349">
        <v>0</v>
      </c>
      <c r="AZ132" s="349">
        <v>121208048</v>
      </c>
      <c r="BA132" s="349">
        <v>91992767</v>
      </c>
      <c r="BB132" s="349">
        <v>128583674</v>
      </c>
      <c r="BC132" s="349">
        <v>90761837</v>
      </c>
      <c r="BD132" s="351"/>
      <c r="BE132" s="349"/>
      <c r="BF132" s="442"/>
      <c r="BG132" s="446"/>
      <c r="BH132" s="351"/>
      <c r="BI132" s="351"/>
      <c r="BJ132" s="344">
        <f t="shared" si="30"/>
        <v>718445400</v>
      </c>
      <c r="BK132" s="237">
        <f t="shared" si="28"/>
        <v>0</v>
      </c>
      <c r="BL132" s="435">
        <f t="shared" si="29"/>
        <v>1</v>
      </c>
      <c r="BM132" s="192"/>
      <c r="BN132" s="192"/>
      <c r="BO132" s="192"/>
      <c r="BP132" s="192"/>
      <c r="BQ132" s="192"/>
      <c r="BR132" s="192"/>
      <c r="BS132" s="192"/>
      <c r="BT132" s="192"/>
      <c r="BU132" s="192"/>
      <c r="BV132" s="192"/>
      <c r="BW132" s="192"/>
      <c r="BX132" s="192"/>
      <c r="BY132" s="192"/>
      <c r="BZ132" s="192"/>
      <c r="CA132" s="192"/>
      <c r="CB132" s="192"/>
      <c r="CC132" s="192"/>
      <c r="CD132" s="192"/>
    </row>
    <row r="133" spans="1:82" s="25" customFormat="1" x14ac:dyDescent="0.25">
      <c r="A133" s="62">
        <v>127</v>
      </c>
      <c r="B133" s="365" t="s">
        <v>178</v>
      </c>
      <c r="C133" s="62">
        <v>1168</v>
      </c>
      <c r="D133" s="63" t="s">
        <v>170</v>
      </c>
      <c r="E133" s="62">
        <v>3</v>
      </c>
      <c r="F133" s="585"/>
      <c r="G133" s="585"/>
      <c r="H133" s="585"/>
      <c r="I133" s="585"/>
      <c r="J133" s="620"/>
      <c r="K133" s="622"/>
      <c r="L133" s="164" t="s">
        <v>997</v>
      </c>
      <c r="M133" s="164" t="s">
        <v>1111</v>
      </c>
      <c r="N133" s="164" t="s">
        <v>174</v>
      </c>
      <c r="O133" s="249" t="s">
        <v>637</v>
      </c>
      <c r="P133" s="164" t="s">
        <v>994</v>
      </c>
      <c r="Q133" s="249">
        <v>41984</v>
      </c>
      <c r="R133" s="249">
        <v>41984</v>
      </c>
      <c r="S133" s="249" t="s">
        <v>724</v>
      </c>
      <c r="T133" s="164" t="s">
        <v>995</v>
      </c>
      <c r="U133" s="249" t="s">
        <v>506</v>
      </c>
      <c r="V133" s="164" t="s">
        <v>998</v>
      </c>
      <c r="W133" s="194">
        <v>830004448</v>
      </c>
      <c r="X133" s="249" t="s">
        <v>1326</v>
      </c>
      <c r="Y133" s="166" t="s">
        <v>315</v>
      </c>
      <c r="Z133" s="164"/>
      <c r="AA133" s="167">
        <v>856</v>
      </c>
      <c r="AB133" s="185"/>
      <c r="AC133" s="167">
        <v>931</v>
      </c>
      <c r="AD133" s="168">
        <v>400000000</v>
      </c>
      <c r="AE133" s="167"/>
      <c r="AF133" s="167"/>
      <c r="AG133" s="167"/>
      <c r="AH133" s="167"/>
      <c r="AI133" s="167"/>
      <c r="AJ133" s="167"/>
      <c r="AK133" s="167"/>
      <c r="AL133" s="167"/>
      <c r="AM133" s="234"/>
      <c r="AN133" s="234">
        <v>0</v>
      </c>
      <c r="AO133" s="234">
        <v>0</v>
      </c>
      <c r="AP133" s="234">
        <v>0</v>
      </c>
      <c r="AQ133" s="354">
        <f t="shared" si="25"/>
        <v>0</v>
      </c>
      <c r="AR133" s="354">
        <f t="shared" si="26"/>
        <v>400000000</v>
      </c>
      <c r="AS133" s="353">
        <f t="shared" si="27"/>
        <v>0</v>
      </c>
      <c r="AT133" s="352"/>
      <c r="AU133" s="350">
        <v>308</v>
      </c>
      <c r="AV133" s="350">
        <v>263</v>
      </c>
      <c r="AW133" s="349">
        <v>400000000</v>
      </c>
      <c r="AX133" s="349">
        <v>0</v>
      </c>
      <c r="AY133" s="349">
        <v>0</v>
      </c>
      <c r="AZ133" s="349">
        <v>0</v>
      </c>
      <c r="BA133" s="349">
        <v>0</v>
      </c>
      <c r="BB133" s="349">
        <v>0</v>
      </c>
      <c r="BC133" s="349">
        <v>20308866</v>
      </c>
      <c r="BD133" s="349">
        <v>114816877</v>
      </c>
      <c r="BE133" s="349">
        <v>109037712</v>
      </c>
      <c r="BF133" s="442"/>
      <c r="BG133" s="446"/>
      <c r="BH133" s="351"/>
      <c r="BI133" s="351"/>
      <c r="BJ133" s="344">
        <f t="shared" si="30"/>
        <v>244163455</v>
      </c>
      <c r="BK133" s="237">
        <f t="shared" si="28"/>
        <v>155836545</v>
      </c>
      <c r="BL133" s="435">
        <f t="shared" si="29"/>
        <v>0.61040863749999996</v>
      </c>
      <c r="BM133" s="192"/>
      <c r="BN133" s="192"/>
      <c r="BO133" s="192"/>
      <c r="BP133" s="192"/>
      <c r="BQ133" s="192"/>
      <c r="BR133" s="192"/>
      <c r="BS133" s="192"/>
      <c r="BT133" s="192"/>
      <c r="BU133" s="192"/>
      <c r="BV133" s="192"/>
      <c r="BW133" s="192"/>
      <c r="BX133" s="192"/>
      <c r="BY133" s="192"/>
      <c r="BZ133" s="192"/>
      <c r="CA133" s="192"/>
      <c r="CB133" s="192"/>
      <c r="CC133" s="192"/>
      <c r="CD133" s="192"/>
    </row>
    <row r="134" spans="1:82" s="25" customFormat="1" x14ac:dyDescent="0.25">
      <c r="A134" s="62">
        <v>127</v>
      </c>
      <c r="B134" s="365" t="s">
        <v>178</v>
      </c>
      <c r="C134" s="62">
        <v>1168</v>
      </c>
      <c r="D134" s="63" t="s">
        <v>170</v>
      </c>
      <c r="E134" s="62">
        <v>3</v>
      </c>
      <c r="F134" s="585"/>
      <c r="G134" s="585"/>
      <c r="H134" s="585"/>
      <c r="I134" s="585"/>
      <c r="J134" s="620"/>
      <c r="K134" s="622"/>
      <c r="L134" s="164" t="s">
        <v>999</v>
      </c>
      <c r="M134" s="164" t="s">
        <v>1111</v>
      </c>
      <c r="N134" s="164" t="s">
        <v>174</v>
      </c>
      <c r="O134" s="249" t="s">
        <v>1321</v>
      </c>
      <c r="P134" s="164" t="s">
        <v>320</v>
      </c>
      <c r="Q134" s="249">
        <v>41899</v>
      </c>
      <c r="R134" s="249">
        <v>41913</v>
      </c>
      <c r="S134" s="249" t="s">
        <v>783</v>
      </c>
      <c r="T134" s="164" t="s">
        <v>1000</v>
      </c>
      <c r="U134" s="249" t="s">
        <v>798</v>
      </c>
      <c r="V134" s="164" t="s">
        <v>988</v>
      </c>
      <c r="W134" s="265">
        <v>800172033</v>
      </c>
      <c r="X134" s="249" t="s">
        <v>1327</v>
      </c>
      <c r="Y134" s="166" t="s">
        <v>315</v>
      </c>
      <c r="Z134" s="164"/>
      <c r="AA134" s="167">
        <v>163</v>
      </c>
      <c r="AB134" s="185"/>
      <c r="AC134" s="167">
        <v>802</v>
      </c>
      <c r="AD134" s="168">
        <v>119000000</v>
      </c>
      <c r="AE134" s="167"/>
      <c r="AF134" s="167"/>
      <c r="AG134" s="167"/>
      <c r="AH134" s="167"/>
      <c r="AI134" s="167">
        <v>0</v>
      </c>
      <c r="AJ134" s="167">
        <v>0</v>
      </c>
      <c r="AK134" s="167">
        <v>0</v>
      </c>
      <c r="AL134" s="167">
        <v>0</v>
      </c>
      <c r="AM134" s="234">
        <v>0</v>
      </c>
      <c r="AN134" s="234">
        <v>0</v>
      </c>
      <c r="AO134" s="234">
        <v>0</v>
      </c>
      <c r="AP134" s="234">
        <v>34000000</v>
      </c>
      <c r="AQ134" s="354">
        <f t="shared" si="25"/>
        <v>34000000</v>
      </c>
      <c r="AR134" s="354">
        <f t="shared" si="26"/>
        <v>85000000</v>
      </c>
      <c r="AS134" s="353">
        <f t="shared" si="27"/>
        <v>0.2857142857142857</v>
      </c>
      <c r="AT134" s="352"/>
      <c r="AU134" s="350">
        <v>253</v>
      </c>
      <c r="AV134" s="350">
        <v>214</v>
      </c>
      <c r="AW134" s="349">
        <v>85000000</v>
      </c>
      <c r="AX134" s="349">
        <v>17000000</v>
      </c>
      <c r="AY134" s="349">
        <v>0</v>
      </c>
      <c r="AZ134" s="349">
        <v>17000000</v>
      </c>
      <c r="BA134" s="349">
        <v>17000000</v>
      </c>
      <c r="BB134" s="349">
        <v>17000000</v>
      </c>
      <c r="BC134" s="349">
        <v>17000000</v>
      </c>
      <c r="BD134" s="351"/>
      <c r="BE134" s="349"/>
      <c r="BF134" s="442"/>
      <c r="BG134" s="446"/>
      <c r="BH134" s="351"/>
      <c r="BI134" s="351"/>
      <c r="BJ134" s="344">
        <f t="shared" si="30"/>
        <v>85000000</v>
      </c>
      <c r="BK134" s="237">
        <f t="shared" si="28"/>
        <v>0</v>
      </c>
      <c r="BL134" s="435">
        <f t="shared" si="29"/>
        <v>1</v>
      </c>
      <c r="BM134" s="192"/>
      <c r="BN134" s="192"/>
      <c r="BO134" s="192"/>
      <c r="BP134" s="192"/>
      <c r="BQ134" s="192"/>
      <c r="BR134" s="192"/>
      <c r="BS134" s="192"/>
      <c r="BT134" s="192"/>
      <c r="BU134" s="192"/>
      <c r="BV134" s="192"/>
      <c r="BW134" s="192"/>
      <c r="BX134" s="192"/>
      <c r="BY134" s="192"/>
      <c r="BZ134" s="192"/>
      <c r="CA134" s="192"/>
      <c r="CB134" s="192"/>
      <c r="CC134" s="192"/>
      <c r="CD134" s="192"/>
    </row>
    <row r="135" spans="1:82" s="25" customFormat="1" x14ac:dyDescent="0.25">
      <c r="A135" s="62">
        <v>127</v>
      </c>
      <c r="B135" s="365" t="s">
        <v>178</v>
      </c>
      <c r="C135" s="62">
        <v>1168</v>
      </c>
      <c r="D135" s="63" t="s">
        <v>170</v>
      </c>
      <c r="E135" s="62">
        <v>3</v>
      </c>
      <c r="F135" s="585"/>
      <c r="G135" s="585"/>
      <c r="H135" s="585"/>
      <c r="I135" s="585"/>
      <c r="J135" s="620"/>
      <c r="K135" s="622"/>
      <c r="L135" s="164" t="s">
        <v>1001</v>
      </c>
      <c r="M135" s="164" t="s">
        <v>1111</v>
      </c>
      <c r="N135" s="164" t="s">
        <v>174</v>
      </c>
      <c r="O135" s="249" t="s">
        <v>637</v>
      </c>
      <c r="P135" s="164" t="s">
        <v>641</v>
      </c>
      <c r="Q135" s="249">
        <v>41941</v>
      </c>
      <c r="R135" s="249">
        <v>41976</v>
      </c>
      <c r="S135" s="249" t="s">
        <v>1324</v>
      </c>
      <c r="T135" s="164" t="s">
        <v>1002</v>
      </c>
      <c r="U135" s="249" t="s">
        <v>506</v>
      </c>
      <c r="V135" s="164" t="s">
        <v>1003</v>
      </c>
      <c r="W135" s="265">
        <v>830104374</v>
      </c>
      <c r="X135" s="249" t="s">
        <v>1327</v>
      </c>
      <c r="Y135" s="166" t="s">
        <v>315</v>
      </c>
      <c r="Z135" s="164"/>
      <c r="AA135" s="167">
        <v>745</v>
      </c>
      <c r="AB135" s="185"/>
      <c r="AC135" s="167">
        <v>849</v>
      </c>
      <c r="AD135" s="168">
        <v>1487513291</v>
      </c>
      <c r="AE135" s="167"/>
      <c r="AF135" s="167"/>
      <c r="AG135" s="167"/>
      <c r="AH135" s="167"/>
      <c r="AI135" s="167"/>
      <c r="AJ135" s="167"/>
      <c r="AK135" s="167"/>
      <c r="AL135" s="167"/>
      <c r="AM135" s="234"/>
      <c r="AN135" s="234">
        <v>0</v>
      </c>
      <c r="AO135" s="234">
        <v>0</v>
      </c>
      <c r="AP135" s="234">
        <v>815005316</v>
      </c>
      <c r="AQ135" s="354">
        <f t="shared" si="25"/>
        <v>815005316</v>
      </c>
      <c r="AR135" s="354">
        <f t="shared" si="26"/>
        <v>672507975</v>
      </c>
      <c r="AS135" s="353">
        <f t="shared" si="27"/>
        <v>0.54789783790913371</v>
      </c>
      <c r="AT135" s="352"/>
      <c r="AU135" s="350">
        <v>275</v>
      </c>
      <c r="AV135" s="350">
        <v>236</v>
      </c>
      <c r="AW135" s="349">
        <v>672507975</v>
      </c>
      <c r="AX135" s="349">
        <v>0</v>
      </c>
      <c r="AY135" s="349">
        <v>0</v>
      </c>
      <c r="AZ135" s="349">
        <v>0</v>
      </c>
      <c r="BA135" s="349">
        <v>0</v>
      </c>
      <c r="BB135" s="349">
        <v>138478821</v>
      </c>
      <c r="BC135" s="349">
        <v>71698421</v>
      </c>
      <c r="BD135" s="351"/>
      <c r="BE135" s="349">
        <v>127464571</v>
      </c>
      <c r="BF135" s="442">
        <v>69243256</v>
      </c>
      <c r="BG135" s="447">
        <v>181573614</v>
      </c>
      <c r="BH135" s="351">
        <v>84049292</v>
      </c>
      <c r="BI135" s="351"/>
      <c r="BJ135" s="344">
        <f t="shared" si="30"/>
        <v>672507975</v>
      </c>
      <c r="BK135" s="237">
        <f t="shared" si="28"/>
        <v>0</v>
      </c>
      <c r="BL135" s="435">
        <f t="shared" si="29"/>
        <v>1</v>
      </c>
      <c r="BM135" s="192"/>
      <c r="BN135" s="192"/>
      <c r="BO135" s="192"/>
      <c r="BP135" s="192"/>
      <c r="BQ135" s="192"/>
      <c r="BR135" s="192"/>
      <c r="BS135" s="192"/>
      <c r="BT135" s="192"/>
      <c r="BU135" s="192"/>
      <c r="BV135" s="192"/>
      <c r="BW135" s="192"/>
      <c r="BX135" s="192"/>
      <c r="BY135" s="192"/>
      <c r="BZ135" s="192"/>
      <c r="CA135" s="192"/>
      <c r="CB135" s="192"/>
      <c r="CC135" s="192"/>
      <c r="CD135" s="192"/>
    </row>
    <row r="136" spans="1:82" s="25" customFormat="1" x14ac:dyDescent="0.25">
      <c r="A136" s="62">
        <v>127</v>
      </c>
      <c r="B136" s="365" t="s">
        <v>178</v>
      </c>
      <c r="C136" s="62">
        <v>1168</v>
      </c>
      <c r="D136" s="63" t="s">
        <v>170</v>
      </c>
      <c r="E136" s="62">
        <v>3</v>
      </c>
      <c r="F136" s="585"/>
      <c r="G136" s="585"/>
      <c r="H136" s="585"/>
      <c r="I136" s="585"/>
      <c r="J136" s="620"/>
      <c r="K136" s="622"/>
      <c r="L136" s="164" t="s">
        <v>1004</v>
      </c>
      <c r="M136" s="164" t="s">
        <v>1111</v>
      </c>
      <c r="N136" s="164" t="s">
        <v>174</v>
      </c>
      <c r="O136" s="249" t="s">
        <v>637</v>
      </c>
      <c r="P136" s="164" t="s">
        <v>641</v>
      </c>
      <c r="Q136" s="249">
        <v>41949</v>
      </c>
      <c r="R136" s="249">
        <v>41976</v>
      </c>
      <c r="S136" s="249" t="s">
        <v>1324</v>
      </c>
      <c r="T136" s="164" t="s">
        <v>1002</v>
      </c>
      <c r="U136" s="249" t="s">
        <v>506</v>
      </c>
      <c r="V136" s="164" t="s">
        <v>1003</v>
      </c>
      <c r="W136" s="265">
        <v>830104374</v>
      </c>
      <c r="X136" s="249" t="s">
        <v>1327</v>
      </c>
      <c r="Y136" s="166" t="s">
        <v>315</v>
      </c>
      <c r="Z136" s="164"/>
      <c r="AA136" s="167">
        <v>775</v>
      </c>
      <c r="AB136" s="185"/>
      <c r="AC136" s="167">
        <v>850</v>
      </c>
      <c r="AD136" s="168">
        <v>550000000</v>
      </c>
      <c r="AE136" s="167"/>
      <c r="AF136" s="167"/>
      <c r="AG136" s="167"/>
      <c r="AH136" s="167"/>
      <c r="AI136" s="167"/>
      <c r="AJ136" s="167"/>
      <c r="AK136" s="167"/>
      <c r="AL136" s="167"/>
      <c r="AM136" s="234"/>
      <c r="AN136" s="234">
        <v>0</v>
      </c>
      <c r="AO136" s="234">
        <v>0</v>
      </c>
      <c r="AP136" s="234">
        <v>0</v>
      </c>
      <c r="AQ136" s="354">
        <f t="shared" si="25"/>
        <v>0</v>
      </c>
      <c r="AR136" s="354">
        <f t="shared" si="26"/>
        <v>550000000</v>
      </c>
      <c r="AS136" s="353">
        <f t="shared" si="27"/>
        <v>0</v>
      </c>
      <c r="AT136" s="352"/>
      <c r="AU136" s="350">
        <v>276</v>
      </c>
      <c r="AV136" s="350">
        <v>237</v>
      </c>
      <c r="AW136" s="349">
        <v>550000000</v>
      </c>
      <c r="AX136" s="349">
        <v>0</v>
      </c>
      <c r="AY136" s="349">
        <v>0</v>
      </c>
      <c r="AZ136" s="349">
        <v>0</v>
      </c>
      <c r="BA136" s="349">
        <v>0</v>
      </c>
      <c r="BB136" s="349">
        <v>0</v>
      </c>
      <c r="BC136" s="349">
        <v>0</v>
      </c>
      <c r="BD136" s="351"/>
      <c r="BE136" s="349"/>
      <c r="BF136" s="442"/>
      <c r="BG136" s="446"/>
      <c r="BH136" s="351">
        <v>363137270</v>
      </c>
      <c r="BI136" s="351">
        <v>186862730</v>
      </c>
      <c r="BJ136" s="344">
        <f t="shared" si="30"/>
        <v>550000000</v>
      </c>
      <c r="BK136" s="237">
        <f t="shared" si="28"/>
        <v>0</v>
      </c>
      <c r="BL136" s="435">
        <f t="shared" si="29"/>
        <v>1</v>
      </c>
      <c r="BM136" s="192"/>
      <c r="BN136" s="192"/>
      <c r="BO136" s="192"/>
      <c r="BP136" s="192"/>
      <c r="BQ136" s="192"/>
      <c r="BR136" s="192"/>
      <c r="BS136" s="192"/>
      <c r="BT136" s="192"/>
      <c r="BU136" s="192"/>
      <c r="BV136" s="192"/>
      <c r="BW136" s="192"/>
      <c r="BX136" s="192"/>
      <c r="BY136" s="192"/>
      <c r="BZ136" s="192"/>
      <c r="CA136" s="192"/>
      <c r="CB136" s="192"/>
      <c r="CC136" s="192"/>
      <c r="CD136" s="192"/>
    </row>
    <row r="137" spans="1:82" s="25" customFormat="1" x14ac:dyDescent="0.25">
      <c r="A137" s="62">
        <v>127</v>
      </c>
      <c r="B137" s="365" t="s">
        <v>178</v>
      </c>
      <c r="C137" s="62">
        <v>1168</v>
      </c>
      <c r="D137" s="63" t="s">
        <v>170</v>
      </c>
      <c r="E137" s="62">
        <v>3</v>
      </c>
      <c r="F137" s="585"/>
      <c r="G137" s="585"/>
      <c r="H137" s="585"/>
      <c r="I137" s="585"/>
      <c r="J137" s="620"/>
      <c r="K137" s="622"/>
      <c r="L137" s="164" t="s">
        <v>1005</v>
      </c>
      <c r="M137" s="164" t="s">
        <v>1111</v>
      </c>
      <c r="N137" s="164" t="s">
        <v>174</v>
      </c>
      <c r="O137" s="249" t="s">
        <v>1328</v>
      </c>
      <c r="P137" s="164" t="s">
        <v>320</v>
      </c>
      <c r="Q137" s="249">
        <v>41971</v>
      </c>
      <c r="R137" s="249">
        <v>41974</v>
      </c>
      <c r="S137" s="249" t="s">
        <v>1322</v>
      </c>
      <c r="T137" s="164" t="s">
        <v>1006</v>
      </c>
      <c r="U137" s="249" t="s">
        <v>798</v>
      </c>
      <c r="V137" s="164" t="s">
        <v>1007</v>
      </c>
      <c r="W137" s="265">
        <v>900644351</v>
      </c>
      <c r="X137" s="249" t="s">
        <v>90</v>
      </c>
      <c r="Y137" s="166" t="s">
        <v>315</v>
      </c>
      <c r="Z137" s="164"/>
      <c r="AA137" s="167">
        <v>749</v>
      </c>
      <c r="AB137" s="185"/>
      <c r="AC137" s="167">
        <v>912</v>
      </c>
      <c r="AD137" s="168">
        <v>148000000</v>
      </c>
      <c r="AE137" s="167"/>
      <c r="AF137" s="167"/>
      <c r="AG137" s="167"/>
      <c r="AH137" s="167"/>
      <c r="AI137" s="167"/>
      <c r="AJ137" s="167"/>
      <c r="AK137" s="167"/>
      <c r="AL137" s="167"/>
      <c r="AM137" s="234"/>
      <c r="AN137" s="234">
        <v>0</v>
      </c>
      <c r="AO137" s="234">
        <v>0</v>
      </c>
      <c r="AP137" s="234">
        <v>0</v>
      </c>
      <c r="AQ137" s="354">
        <f t="shared" si="25"/>
        <v>0</v>
      </c>
      <c r="AR137" s="354">
        <f t="shared" si="26"/>
        <v>148000000</v>
      </c>
      <c r="AS137" s="353">
        <f t="shared" si="27"/>
        <v>0</v>
      </c>
      <c r="AT137" s="352"/>
      <c r="AU137" s="350">
        <v>296</v>
      </c>
      <c r="AV137" s="350">
        <v>253</v>
      </c>
      <c r="AW137" s="349">
        <v>148000000</v>
      </c>
      <c r="AX137" s="349">
        <v>17999993</v>
      </c>
      <c r="AY137" s="349">
        <v>0</v>
      </c>
      <c r="AZ137" s="349">
        <v>17999993</v>
      </c>
      <c r="BA137" s="349">
        <v>17999983</v>
      </c>
      <c r="BB137" s="349">
        <v>17999993</v>
      </c>
      <c r="BC137" s="349">
        <v>17999993</v>
      </c>
      <c r="BD137" s="349">
        <v>17999993</v>
      </c>
      <c r="BE137" s="349">
        <v>17999993</v>
      </c>
      <c r="BF137" s="442">
        <v>17999993</v>
      </c>
      <c r="BG137" s="447">
        <v>4000056</v>
      </c>
      <c r="BH137" s="351"/>
      <c r="BI137" s="351"/>
      <c r="BJ137" s="344">
        <f t="shared" si="30"/>
        <v>147999990</v>
      </c>
      <c r="BK137" s="237">
        <f t="shared" si="28"/>
        <v>10</v>
      </c>
      <c r="BL137" s="435">
        <f t="shared" si="29"/>
        <v>0.99999993243243246</v>
      </c>
      <c r="BM137" s="192"/>
      <c r="BN137" s="192"/>
      <c r="BO137" s="192"/>
      <c r="BP137" s="192"/>
      <c r="BQ137" s="192"/>
      <c r="BR137" s="192"/>
      <c r="BS137" s="192"/>
      <c r="BT137" s="192"/>
      <c r="BU137" s="192"/>
      <c r="BV137" s="192"/>
      <c r="BW137" s="192"/>
      <c r="BX137" s="192"/>
      <c r="BY137" s="192"/>
      <c r="BZ137" s="192"/>
      <c r="CA137" s="192"/>
      <c r="CB137" s="192"/>
      <c r="CC137" s="192"/>
      <c r="CD137" s="192"/>
    </row>
    <row r="138" spans="1:82" s="25" customFormat="1" x14ac:dyDescent="0.25">
      <c r="A138" s="62">
        <v>127</v>
      </c>
      <c r="B138" s="365" t="s">
        <v>178</v>
      </c>
      <c r="C138" s="62">
        <v>1168</v>
      </c>
      <c r="D138" s="63" t="s">
        <v>170</v>
      </c>
      <c r="E138" s="62">
        <v>3</v>
      </c>
      <c r="F138" s="585"/>
      <c r="G138" s="585"/>
      <c r="H138" s="585"/>
      <c r="I138" s="585"/>
      <c r="J138" s="620"/>
      <c r="K138" s="622"/>
      <c r="L138" s="164" t="s">
        <v>1005</v>
      </c>
      <c r="M138" s="164" t="s">
        <v>1111</v>
      </c>
      <c r="N138" s="164" t="s">
        <v>174</v>
      </c>
      <c r="O138" s="249" t="s">
        <v>1328</v>
      </c>
      <c r="P138" s="164" t="s">
        <v>320</v>
      </c>
      <c r="Q138" s="249">
        <v>41971</v>
      </c>
      <c r="R138" s="249">
        <v>41974</v>
      </c>
      <c r="S138" s="249" t="s">
        <v>1322</v>
      </c>
      <c r="T138" s="164" t="s">
        <v>1006</v>
      </c>
      <c r="U138" s="249" t="s">
        <v>798</v>
      </c>
      <c r="V138" s="164" t="s">
        <v>1007</v>
      </c>
      <c r="W138" s="265">
        <v>900644351</v>
      </c>
      <c r="X138" s="249" t="s">
        <v>90</v>
      </c>
      <c r="Y138" s="166" t="s">
        <v>315</v>
      </c>
      <c r="Z138" s="164"/>
      <c r="AA138" s="167">
        <v>777</v>
      </c>
      <c r="AB138" s="185"/>
      <c r="AC138" s="167">
        <v>913</v>
      </c>
      <c r="AD138" s="168">
        <v>49999924</v>
      </c>
      <c r="AE138" s="167"/>
      <c r="AF138" s="167"/>
      <c r="AG138" s="167"/>
      <c r="AH138" s="167"/>
      <c r="AI138" s="167"/>
      <c r="AJ138" s="167"/>
      <c r="AK138" s="167"/>
      <c r="AL138" s="167"/>
      <c r="AM138" s="167"/>
      <c r="AN138" s="167">
        <v>0</v>
      </c>
      <c r="AO138" s="167">
        <v>0</v>
      </c>
      <c r="AP138" s="167">
        <v>0</v>
      </c>
      <c r="AQ138" s="168">
        <f t="shared" si="25"/>
        <v>0</v>
      </c>
      <c r="AR138" s="168">
        <f t="shared" si="26"/>
        <v>49999924</v>
      </c>
      <c r="AS138" s="169">
        <f t="shared" si="27"/>
        <v>0</v>
      </c>
      <c r="AT138" s="236"/>
      <c r="AU138" s="346">
        <v>297</v>
      </c>
      <c r="AV138" s="346">
        <v>254</v>
      </c>
      <c r="AW138" s="345">
        <v>49999924</v>
      </c>
      <c r="AX138" s="345">
        <v>0</v>
      </c>
      <c r="AY138" s="345">
        <v>0</v>
      </c>
      <c r="AZ138" s="345">
        <v>0</v>
      </c>
      <c r="BA138" s="349">
        <v>0</v>
      </c>
      <c r="BB138" s="349">
        <v>0</v>
      </c>
      <c r="BC138" s="237">
        <v>0</v>
      </c>
      <c r="BD138" s="237"/>
      <c r="BE138" s="237"/>
      <c r="BF138" s="438"/>
      <c r="BG138" s="447">
        <v>13999937</v>
      </c>
      <c r="BH138" s="237">
        <v>17999993</v>
      </c>
      <c r="BI138" s="351">
        <v>17999994</v>
      </c>
      <c r="BJ138" s="344">
        <f t="shared" si="30"/>
        <v>49999924</v>
      </c>
      <c r="BK138" s="351">
        <f t="shared" si="28"/>
        <v>0</v>
      </c>
      <c r="BL138" s="435">
        <f t="shared" si="29"/>
        <v>1</v>
      </c>
      <c r="BM138" s="192"/>
      <c r="BN138" s="192"/>
      <c r="BO138" s="192"/>
      <c r="BP138" s="192"/>
      <c r="BQ138" s="192"/>
      <c r="BR138" s="192"/>
      <c r="BS138" s="192"/>
      <c r="BT138" s="192"/>
      <c r="BU138" s="192"/>
      <c r="BV138" s="192"/>
      <c r="BW138" s="192"/>
      <c r="BX138" s="192"/>
      <c r="BY138" s="192"/>
      <c r="BZ138" s="192"/>
      <c r="CA138" s="192"/>
      <c r="CB138" s="192"/>
      <c r="CC138" s="192"/>
      <c r="CD138" s="192"/>
    </row>
    <row r="139" spans="1:82" s="25" customFormat="1" ht="13.5" customHeight="1" x14ac:dyDescent="0.25">
      <c r="A139" s="62">
        <v>128</v>
      </c>
      <c r="B139" s="365" t="s">
        <v>184</v>
      </c>
      <c r="C139" s="62">
        <v>1170</v>
      </c>
      <c r="D139" s="63" t="s">
        <v>186</v>
      </c>
      <c r="E139" s="62">
        <v>1</v>
      </c>
      <c r="F139" s="584" t="s">
        <v>53</v>
      </c>
      <c r="G139" s="584">
        <v>400</v>
      </c>
      <c r="H139" s="584" t="s">
        <v>61</v>
      </c>
      <c r="I139" s="584" t="s">
        <v>187</v>
      </c>
      <c r="J139" s="619">
        <v>0</v>
      </c>
      <c r="K139" s="621">
        <v>0</v>
      </c>
      <c r="L139" s="164" t="s">
        <v>1008</v>
      </c>
      <c r="M139" s="164" t="s">
        <v>1129</v>
      </c>
      <c r="N139" s="164" t="s">
        <v>198</v>
      </c>
      <c r="O139" s="233" t="s">
        <v>1381</v>
      </c>
      <c r="P139" s="164" t="s">
        <v>325</v>
      </c>
      <c r="Q139" s="233">
        <v>41914</v>
      </c>
      <c r="R139" s="233">
        <v>41914</v>
      </c>
      <c r="S139" s="233"/>
      <c r="T139" s="187" t="s">
        <v>676</v>
      </c>
      <c r="U139" s="233"/>
      <c r="V139" s="164" t="s">
        <v>678</v>
      </c>
      <c r="W139" s="187">
        <v>899999974</v>
      </c>
      <c r="X139" s="233"/>
      <c r="Y139" s="233"/>
      <c r="Z139" s="164"/>
      <c r="AA139" s="167">
        <v>765</v>
      </c>
      <c r="AB139" s="173"/>
      <c r="AC139" s="167">
        <v>828</v>
      </c>
      <c r="AD139" s="168">
        <v>1044120000</v>
      </c>
      <c r="AE139" s="167"/>
      <c r="AF139" s="167"/>
      <c r="AG139" s="167"/>
      <c r="AH139" s="167"/>
      <c r="AI139" s="167">
        <v>0</v>
      </c>
      <c r="AJ139" s="167">
        <v>0</v>
      </c>
      <c r="AK139" s="167">
        <v>0</v>
      </c>
      <c r="AL139" s="167">
        <v>0</v>
      </c>
      <c r="AM139" s="167">
        <v>0</v>
      </c>
      <c r="AN139" s="167">
        <v>0</v>
      </c>
      <c r="AO139" s="167">
        <v>1044120000</v>
      </c>
      <c r="AP139" s="167">
        <v>0</v>
      </c>
      <c r="AQ139" s="168">
        <f t="shared" si="25"/>
        <v>1044120000</v>
      </c>
      <c r="AR139" s="168">
        <f t="shared" si="26"/>
        <v>0</v>
      </c>
      <c r="AS139" s="169">
        <f t="shared" si="27"/>
        <v>1</v>
      </c>
      <c r="AT139" s="236"/>
      <c r="AU139" s="346"/>
      <c r="AV139" s="346"/>
      <c r="AW139" s="345"/>
      <c r="AX139" s="345"/>
      <c r="AY139" s="345"/>
      <c r="AZ139" s="345"/>
      <c r="BA139" s="237"/>
      <c r="BB139" s="237"/>
      <c r="BC139" s="237"/>
      <c r="BD139" s="237"/>
      <c r="BE139" s="237"/>
      <c r="BF139" s="438"/>
      <c r="BG139" s="443"/>
      <c r="BH139" s="237"/>
      <c r="BI139" s="237"/>
      <c r="BJ139" s="344">
        <f t="shared" si="30"/>
        <v>0</v>
      </c>
      <c r="BK139" s="237">
        <f t="shared" si="28"/>
        <v>0</v>
      </c>
      <c r="BL139" s="435" t="e">
        <f t="shared" si="29"/>
        <v>#DIV/0!</v>
      </c>
      <c r="BM139" s="192"/>
      <c r="BN139" s="192"/>
      <c r="BO139" s="192"/>
      <c r="BP139" s="192"/>
      <c r="BQ139" s="192"/>
      <c r="BR139" s="192"/>
      <c r="BS139" s="192"/>
      <c r="BT139" s="192"/>
      <c r="BU139" s="192"/>
      <c r="BV139" s="192"/>
      <c r="BW139" s="192"/>
      <c r="BX139" s="192"/>
      <c r="BY139" s="192"/>
      <c r="BZ139" s="192"/>
      <c r="CA139" s="192"/>
      <c r="CB139" s="192"/>
      <c r="CC139" s="192"/>
      <c r="CD139" s="192"/>
    </row>
    <row r="140" spans="1:82" s="25" customFormat="1" ht="13.5" customHeight="1" x14ac:dyDescent="0.25">
      <c r="A140" s="62">
        <v>128</v>
      </c>
      <c r="B140" s="365" t="s">
        <v>184</v>
      </c>
      <c r="C140" s="62">
        <v>1170</v>
      </c>
      <c r="D140" s="63" t="s">
        <v>186</v>
      </c>
      <c r="E140" s="62">
        <v>1</v>
      </c>
      <c r="F140" s="585"/>
      <c r="G140" s="585"/>
      <c r="H140" s="585"/>
      <c r="I140" s="585"/>
      <c r="J140" s="620"/>
      <c r="K140" s="622"/>
      <c r="L140" s="164" t="s">
        <v>1009</v>
      </c>
      <c r="M140" s="164" t="s">
        <v>1129</v>
      </c>
      <c r="N140" s="164" t="s">
        <v>156</v>
      </c>
      <c r="O140" s="233" t="s">
        <v>793</v>
      </c>
      <c r="P140" s="164" t="s">
        <v>400</v>
      </c>
      <c r="Q140" s="233">
        <v>41992</v>
      </c>
      <c r="R140" s="233">
        <v>42031</v>
      </c>
      <c r="S140" s="233" t="s">
        <v>337</v>
      </c>
      <c r="T140" s="164" t="s">
        <v>1010</v>
      </c>
      <c r="U140" s="233" t="s">
        <v>1329</v>
      </c>
      <c r="V140" s="164" t="s">
        <v>1011</v>
      </c>
      <c r="W140" s="187">
        <v>900407222</v>
      </c>
      <c r="X140" s="233" t="s">
        <v>1330</v>
      </c>
      <c r="Y140" s="233" t="s">
        <v>884</v>
      </c>
      <c r="Z140" s="164"/>
      <c r="AA140" s="167">
        <v>873</v>
      </c>
      <c r="AB140" s="173"/>
      <c r="AC140" s="167">
        <v>954</v>
      </c>
      <c r="AD140" s="168">
        <v>89980000</v>
      </c>
      <c r="AE140" s="167"/>
      <c r="AF140" s="167"/>
      <c r="AG140" s="167"/>
      <c r="AH140" s="167"/>
      <c r="AI140" s="167">
        <v>0</v>
      </c>
      <c r="AJ140" s="167">
        <v>0</v>
      </c>
      <c r="AK140" s="167">
        <v>0</v>
      </c>
      <c r="AL140" s="167">
        <v>0</v>
      </c>
      <c r="AM140" s="167">
        <v>0</v>
      </c>
      <c r="AN140" s="167">
        <v>0</v>
      </c>
      <c r="AO140" s="167">
        <v>0</v>
      </c>
      <c r="AP140" s="167">
        <v>0</v>
      </c>
      <c r="AQ140" s="168">
        <f t="shared" si="25"/>
        <v>0</v>
      </c>
      <c r="AR140" s="168">
        <f t="shared" si="26"/>
        <v>89980000</v>
      </c>
      <c r="AS140" s="169">
        <f t="shared" si="27"/>
        <v>0</v>
      </c>
      <c r="AT140" s="236"/>
      <c r="AU140" s="346">
        <v>321</v>
      </c>
      <c r="AV140" s="346">
        <v>376</v>
      </c>
      <c r="AW140" s="345">
        <v>89980000</v>
      </c>
      <c r="AX140" s="345">
        <v>0</v>
      </c>
      <c r="AY140" s="345">
        <v>0</v>
      </c>
      <c r="AZ140" s="345">
        <v>0</v>
      </c>
      <c r="BA140" s="237">
        <v>0</v>
      </c>
      <c r="BB140" s="237">
        <v>0</v>
      </c>
      <c r="BC140" s="237">
        <v>0</v>
      </c>
      <c r="BD140" s="237"/>
      <c r="BE140" s="237"/>
      <c r="BF140" s="438"/>
      <c r="BG140" s="443"/>
      <c r="BH140" s="237"/>
      <c r="BI140" s="237">
        <v>86665000</v>
      </c>
      <c r="BJ140" s="344">
        <f t="shared" si="30"/>
        <v>86665000</v>
      </c>
      <c r="BK140" s="237">
        <f t="shared" si="28"/>
        <v>3315000</v>
      </c>
      <c r="BL140" s="435">
        <f t="shared" si="29"/>
        <v>0.96315847966214718</v>
      </c>
      <c r="BM140" s="192"/>
      <c r="BN140" s="192"/>
      <c r="BO140" s="192"/>
      <c r="BP140" s="192"/>
      <c r="BQ140" s="192"/>
      <c r="BR140" s="192"/>
      <c r="BS140" s="192"/>
      <c r="BT140" s="192"/>
      <c r="BU140" s="192"/>
      <c r="BV140" s="192"/>
      <c r="BW140" s="192"/>
      <c r="BX140" s="192"/>
      <c r="BY140" s="192"/>
      <c r="BZ140" s="192"/>
      <c r="CA140" s="192"/>
      <c r="CB140" s="192"/>
      <c r="CC140" s="192"/>
      <c r="CD140" s="192"/>
    </row>
    <row r="141" spans="1:82" s="25" customFormat="1" ht="13.5" customHeight="1" x14ac:dyDescent="0.25">
      <c r="A141" s="62">
        <v>128</v>
      </c>
      <c r="B141" s="365" t="s">
        <v>184</v>
      </c>
      <c r="C141" s="62">
        <v>1170</v>
      </c>
      <c r="D141" s="63" t="s">
        <v>186</v>
      </c>
      <c r="E141" s="62">
        <v>1</v>
      </c>
      <c r="F141" s="585"/>
      <c r="G141" s="585"/>
      <c r="H141" s="585"/>
      <c r="I141" s="585"/>
      <c r="J141" s="620"/>
      <c r="K141" s="622"/>
      <c r="L141" s="164" t="s">
        <v>1012</v>
      </c>
      <c r="M141" s="164" t="s">
        <v>1129</v>
      </c>
      <c r="N141" s="164" t="s">
        <v>156</v>
      </c>
      <c r="O141" s="233" t="s">
        <v>793</v>
      </c>
      <c r="P141" s="164" t="s">
        <v>320</v>
      </c>
      <c r="Q141" s="233">
        <v>41996</v>
      </c>
      <c r="R141" s="233">
        <v>42031</v>
      </c>
      <c r="S141" s="233" t="s">
        <v>337</v>
      </c>
      <c r="T141" s="164" t="s">
        <v>1013</v>
      </c>
      <c r="U141" s="233" t="s">
        <v>798</v>
      </c>
      <c r="V141" s="164" t="s">
        <v>372</v>
      </c>
      <c r="W141" s="187">
        <v>17904681</v>
      </c>
      <c r="X141" s="233" t="s">
        <v>90</v>
      </c>
      <c r="Y141" s="233" t="s">
        <v>884</v>
      </c>
      <c r="Z141" s="164"/>
      <c r="AA141" s="167">
        <v>872</v>
      </c>
      <c r="AB141" s="173"/>
      <c r="AC141" s="167">
        <v>987</v>
      </c>
      <c r="AD141" s="168">
        <v>9960000</v>
      </c>
      <c r="AE141" s="167"/>
      <c r="AF141" s="167"/>
      <c r="AG141" s="167"/>
      <c r="AH141" s="167"/>
      <c r="AI141" s="167">
        <v>0</v>
      </c>
      <c r="AJ141" s="167">
        <v>0</v>
      </c>
      <c r="AK141" s="167">
        <v>0</v>
      </c>
      <c r="AL141" s="167">
        <v>0</v>
      </c>
      <c r="AM141" s="167">
        <v>0</v>
      </c>
      <c r="AN141" s="167">
        <v>0</v>
      </c>
      <c r="AO141" s="167">
        <v>0</v>
      </c>
      <c r="AP141" s="167">
        <v>0</v>
      </c>
      <c r="AQ141" s="168">
        <f t="shared" si="25"/>
        <v>0</v>
      </c>
      <c r="AR141" s="168">
        <f t="shared" si="26"/>
        <v>9960000</v>
      </c>
      <c r="AS141" s="169">
        <f t="shared" si="27"/>
        <v>0</v>
      </c>
      <c r="AT141" s="236"/>
      <c r="AU141" s="346">
        <v>335</v>
      </c>
      <c r="AV141" s="346">
        <v>283</v>
      </c>
      <c r="AW141" s="345">
        <v>9960000</v>
      </c>
      <c r="AX141" s="345">
        <v>0</v>
      </c>
      <c r="AY141" s="345">
        <v>0</v>
      </c>
      <c r="AZ141" s="345">
        <v>0</v>
      </c>
      <c r="BA141" s="237">
        <v>0</v>
      </c>
      <c r="BB141" s="345">
        <v>3320000</v>
      </c>
      <c r="BC141" s="345">
        <v>1660000</v>
      </c>
      <c r="BD141" s="345">
        <v>1660000</v>
      </c>
      <c r="BE141" s="345">
        <v>1660000</v>
      </c>
      <c r="BF141" s="438">
        <v>1660000</v>
      </c>
      <c r="BG141" s="443"/>
      <c r="BH141" s="237"/>
      <c r="BI141" s="237"/>
      <c r="BJ141" s="344">
        <f t="shared" si="30"/>
        <v>9960000</v>
      </c>
      <c r="BK141" s="237">
        <f t="shared" si="28"/>
        <v>0</v>
      </c>
      <c r="BL141" s="435">
        <f t="shared" si="29"/>
        <v>1</v>
      </c>
      <c r="BM141" s="192"/>
      <c r="BN141" s="192"/>
      <c r="BO141" s="192"/>
      <c r="BP141" s="192"/>
      <c r="BQ141" s="192"/>
      <c r="BR141" s="192"/>
      <c r="BS141" s="192"/>
      <c r="BT141" s="192"/>
      <c r="BU141" s="192"/>
      <c r="BV141" s="192"/>
      <c r="BW141" s="192"/>
      <c r="BX141" s="192"/>
      <c r="BY141" s="192"/>
      <c r="BZ141" s="192"/>
      <c r="CA141" s="192"/>
      <c r="CB141" s="192"/>
      <c r="CC141" s="192"/>
      <c r="CD141" s="192"/>
    </row>
    <row r="142" spans="1:82" s="25" customFormat="1" ht="13.5" customHeight="1" x14ac:dyDescent="0.25">
      <c r="A142" s="62">
        <v>128</v>
      </c>
      <c r="B142" s="365" t="s">
        <v>184</v>
      </c>
      <c r="C142" s="62">
        <v>1170</v>
      </c>
      <c r="D142" s="63" t="s">
        <v>186</v>
      </c>
      <c r="E142" s="62">
        <v>1</v>
      </c>
      <c r="F142" s="585"/>
      <c r="G142" s="585"/>
      <c r="H142" s="585"/>
      <c r="I142" s="585"/>
      <c r="J142" s="620"/>
      <c r="K142" s="622"/>
      <c r="L142" s="164" t="s">
        <v>1014</v>
      </c>
      <c r="M142" s="164" t="s">
        <v>1129</v>
      </c>
      <c r="N142" s="164" t="s">
        <v>156</v>
      </c>
      <c r="O142" s="233" t="s">
        <v>1314</v>
      </c>
      <c r="P142" s="164" t="s">
        <v>1015</v>
      </c>
      <c r="Q142" s="233">
        <v>41989</v>
      </c>
      <c r="R142" s="233">
        <v>41962</v>
      </c>
      <c r="S142" s="233" t="s">
        <v>1331</v>
      </c>
      <c r="T142" s="164" t="s">
        <v>1016</v>
      </c>
      <c r="U142" s="233" t="s">
        <v>1332</v>
      </c>
      <c r="V142" s="164" t="s">
        <v>1017</v>
      </c>
      <c r="W142" s="187">
        <v>860051227</v>
      </c>
      <c r="X142" s="233" t="s">
        <v>1333</v>
      </c>
      <c r="Y142" s="233" t="s">
        <v>884</v>
      </c>
      <c r="Z142" s="164"/>
      <c r="AA142" s="167">
        <v>841</v>
      </c>
      <c r="AB142" s="173"/>
      <c r="AC142" s="167">
        <v>993</v>
      </c>
      <c r="AD142" s="168">
        <v>5617110</v>
      </c>
      <c r="AE142" s="167"/>
      <c r="AF142" s="167"/>
      <c r="AG142" s="167"/>
      <c r="AH142" s="167"/>
      <c r="AI142" s="167"/>
      <c r="AJ142" s="167"/>
      <c r="AK142" s="167"/>
      <c r="AL142" s="167"/>
      <c r="AM142" s="167"/>
      <c r="AN142" s="167">
        <v>0</v>
      </c>
      <c r="AO142" s="167">
        <v>0</v>
      </c>
      <c r="AP142" s="167">
        <v>0</v>
      </c>
      <c r="AQ142" s="168">
        <f t="shared" si="25"/>
        <v>0</v>
      </c>
      <c r="AR142" s="168">
        <f t="shared" si="26"/>
        <v>5617110</v>
      </c>
      <c r="AS142" s="169">
        <f t="shared" si="27"/>
        <v>0</v>
      </c>
      <c r="AT142" s="236"/>
      <c r="AU142" s="346">
        <v>337</v>
      </c>
      <c r="AV142" s="346">
        <v>285</v>
      </c>
      <c r="AW142" s="345">
        <v>5617110</v>
      </c>
      <c r="AX142" s="345">
        <v>0</v>
      </c>
      <c r="AY142" s="345">
        <v>0</v>
      </c>
      <c r="AZ142" s="345">
        <v>0</v>
      </c>
      <c r="BA142" s="345">
        <v>5617110</v>
      </c>
      <c r="BB142" s="237">
        <v>0</v>
      </c>
      <c r="BC142" s="237">
        <v>0</v>
      </c>
      <c r="BD142" s="237"/>
      <c r="BE142" s="237"/>
      <c r="BF142" s="438"/>
      <c r="BG142" s="443"/>
      <c r="BH142" s="237"/>
      <c r="BI142" s="237"/>
      <c r="BJ142" s="344">
        <f t="shared" si="30"/>
        <v>5617110</v>
      </c>
      <c r="BK142" s="237">
        <f t="shared" si="28"/>
        <v>0</v>
      </c>
      <c r="BL142" s="435">
        <f t="shared" si="29"/>
        <v>1</v>
      </c>
      <c r="BM142" s="192"/>
      <c r="BN142" s="192"/>
      <c r="BO142" s="192"/>
      <c r="BP142" s="192"/>
      <c r="BQ142" s="192"/>
      <c r="BR142" s="192"/>
      <c r="BS142" s="192"/>
      <c r="BT142" s="192"/>
      <c r="BU142" s="192"/>
      <c r="BV142" s="192"/>
      <c r="BW142" s="192"/>
      <c r="BX142" s="192"/>
      <c r="BY142" s="192"/>
      <c r="BZ142" s="192"/>
      <c r="CA142" s="192"/>
      <c r="CB142" s="192"/>
      <c r="CC142" s="192"/>
      <c r="CD142" s="192"/>
    </row>
    <row r="143" spans="1:82" s="25" customFormat="1" ht="13.5" customHeight="1" x14ac:dyDescent="0.25">
      <c r="A143" s="62">
        <v>129</v>
      </c>
      <c r="B143" s="365" t="s">
        <v>189</v>
      </c>
      <c r="C143" s="62">
        <v>1170</v>
      </c>
      <c r="D143" s="63" t="s">
        <v>186</v>
      </c>
      <c r="E143" s="62">
        <v>2</v>
      </c>
      <c r="F143" s="559" t="s">
        <v>130</v>
      </c>
      <c r="G143" s="559">
        <v>1</v>
      </c>
      <c r="H143" s="559" t="s">
        <v>191</v>
      </c>
      <c r="I143" s="559" t="s">
        <v>192</v>
      </c>
      <c r="J143" s="619">
        <v>0</v>
      </c>
      <c r="K143" s="621">
        <v>0</v>
      </c>
      <c r="L143" s="164" t="s">
        <v>1018</v>
      </c>
      <c r="M143" s="164" t="s">
        <v>1129</v>
      </c>
      <c r="N143" s="164" t="s">
        <v>156</v>
      </c>
      <c r="O143" s="233" t="s">
        <v>1314</v>
      </c>
      <c r="P143" s="164" t="s">
        <v>1015</v>
      </c>
      <c r="Q143" s="233">
        <v>41997</v>
      </c>
      <c r="R143" s="233">
        <v>41962</v>
      </c>
      <c r="S143" s="233" t="s">
        <v>1334</v>
      </c>
      <c r="T143" s="164" t="s">
        <v>1016</v>
      </c>
      <c r="U143" s="233" t="s">
        <v>1332</v>
      </c>
      <c r="V143" s="164" t="s">
        <v>1017</v>
      </c>
      <c r="W143" s="187">
        <v>860051227</v>
      </c>
      <c r="X143" s="233" t="s">
        <v>1333</v>
      </c>
      <c r="Y143" s="233" t="s">
        <v>884</v>
      </c>
      <c r="Z143" s="164"/>
      <c r="AA143" s="167">
        <v>771</v>
      </c>
      <c r="AB143" s="173"/>
      <c r="AC143" s="167">
        <v>853</v>
      </c>
      <c r="AD143" s="168">
        <v>14380725</v>
      </c>
      <c r="AE143" s="167"/>
      <c r="AF143" s="167"/>
      <c r="AG143" s="167"/>
      <c r="AH143" s="167"/>
      <c r="AI143" s="167">
        <v>0</v>
      </c>
      <c r="AJ143" s="167">
        <v>0</v>
      </c>
      <c r="AK143" s="167">
        <v>0</v>
      </c>
      <c r="AL143" s="167">
        <v>0</v>
      </c>
      <c r="AM143" s="167">
        <v>0</v>
      </c>
      <c r="AN143" s="167">
        <v>0</v>
      </c>
      <c r="AO143" s="167">
        <v>0</v>
      </c>
      <c r="AP143" s="167">
        <v>0</v>
      </c>
      <c r="AQ143" s="168">
        <f t="shared" si="25"/>
        <v>0</v>
      </c>
      <c r="AR143" s="168">
        <f t="shared" si="26"/>
        <v>14380725</v>
      </c>
      <c r="AS143" s="169">
        <f t="shared" si="27"/>
        <v>0</v>
      </c>
      <c r="AT143" s="236"/>
      <c r="AU143" s="346">
        <v>278</v>
      </c>
      <c r="AV143" s="346">
        <v>238</v>
      </c>
      <c r="AW143" s="345">
        <v>14380725</v>
      </c>
      <c r="AX143" s="345">
        <v>0</v>
      </c>
      <c r="AY143" s="345">
        <v>0</v>
      </c>
      <c r="AZ143" s="345">
        <v>0</v>
      </c>
      <c r="BA143" s="345">
        <v>14380725</v>
      </c>
      <c r="BB143" s="237">
        <v>0</v>
      </c>
      <c r="BC143" s="237">
        <v>0</v>
      </c>
      <c r="BD143" s="237"/>
      <c r="BE143" s="237"/>
      <c r="BF143" s="438"/>
      <c r="BG143" s="443"/>
      <c r="BH143" s="237"/>
      <c r="BI143" s="237"/>
      <c r="BJ143" s="344">
        <f t="shared" si="30"/>
        <v>14380725</v>
      </c>
      <c r="BK143" s="237">
        <f t="shared" si="28"/>
        <v>0</v>
      </c>
      <c r="BL143" s="435">
        <f t="shared" si="29"/>
        <v>1</v>
      </c>
      <c r="BM143" s="192"/>
      <c r="BN143" s="192"/>
      <c r="BO143" s="192"/>
      <c r="BP143" s="192"/>
      <c r="BQ143" s="192"/>
      <c r="BR143" s="192"/>
      <c r="BS143" s="192"/>
      <c r="BT143" s="192"/>
      <c r="BU143" s="192"/>
      <c r="BV143" s="192"/>
      <c r="BW143" s="192"/>
      <c r="BX143" s="192"/>
      <c r="BY143" s="192"/>
      <c r="BZ143" s="192"/>
      <c r="CA143" s="192"/>
      <c r="CB143" s="192"/>
      <c r="CC143" s="192"/>
      <c r="CD143" s="192"/>
    </row>
    <row r="144" spans="1:82" s="25" customFormat="1" x14ac:dyDescent="0.25">
      <c r="A144" s="62">
        <v>129</v>
      </c>
      <c r="B144" s="365" t="s">
        <v>189</v>
      </c>
      <c r="C144" s="62">
        <v>1170</v>
      </c>
      <c r="D144" s="63" t="s">
        <v>186</v>
      </c>
      <c r="E144" s="62">
        <v>2</v>
      </c>
      <c r="F144" s="559"/>
      <c r="G144" s="559"/>
      <c r="H144" s="559"/>
      <c r="I144" s="559"/>
      <c r="J144" s="620"/>
      <c r="K144" s="622"/>
      <c r="L144" s="237"/>
      <c r="M144" s="164"/>
      <c r="N144" s="237"/>
      <c r="O144" s="237"/>
      <c r="P144" s="237"/>
      <c r="Q144" s="237"/>
      <c r="R144" s="237"/>
      <c r="S144" s="237"/>
      <c r="T144" s="237"/>
      <c r="U144" s="237"/>
      <c r="V144" s="237"/>
      <c r="W144" s="237"/>
      <c r="X144" s="237"/>
      <c r="Y144" s="237"/>
      <c r="Z144" s="237"/>
      <c r="AA144" s="237"/>
      <c r="AB144" s="192"/>
      <c r="AC144" s="237"/>
      <c r="AD144" s="237"/>
      <c r="AE144" s="237"/>
      <c r="AF144" s="237"/>
      <c r="AG144" s="237"/>
      <c r="AH144" s="237"/>
      <c r="AI144" s="237"/>
      <c r="AJ144" s="237"/>
      <c r="AK144" s="237"/>
      <c r="AL144" s="237"/>
      <c r="AM144" s="237"/>
      <c r="AN144" s="237"/>
      <c r="AO144" s="237"/>
      <c r="AP144" s="237"/>
      <c r="AQ144" s="237"/>
      <c r="AR144" s="237"/>
      <c r="AS144" s="237"/>
      <c r="AT144" s="236"/>
      <c r="AU144" s="346"/>
      <c r="AV144" s="346"/>
      <c r="AW144" s="345"/>
      <c r="AX144" s="345"/>
      <c r="AY144" s="345"/>
      <c r="AZ144" s="345"/>
      <c r="BA144" s="345"/>
      <c r="BB144" s="237"/>
      <c r="BC144" s="237"/>
      <c r="BD144" s="237"/>
      <c r="BE144" s="237"/>
      <c r="BF144" s="438"/>
      <c r="BG144" s="443"/>
      <c r="BH144" s="237"/>
      <c r="BI144" s="237"/>
      <c r="BJ144" s="344">
        <f t="shared" si="30"/>
        <v>0</v>
      </c>
      <c r="BK144" s="237">
        <f t="shared" si="28"/>
        <v>0</v>
      </c>
      <c r="BL144" s="435" t="e">
        <f t="shared" si="29"/>
        <v>#DIV/0!</v>
      </c>
      <c r="BM144" s="192"/>
      <c r="BN144" s="192"/>
      <c r="BO144" s="192"/>
      <c r="BP144" s="192"/>
      <c r="BQ144" s="192"/>
      <c r="BR144" s="192"/>
      <c r="BS144" s="192"/>
      <c r="BT144" s="192"/>
      <c r="BU144" s="192"/>
      <c r="BV144" s="192"/>
      <c r="BW144" s="192"/>
      <c r="BX144" s="192"/>
      <c r="BY144" s="192"/>
      <c r="BZ144" s="192"/>
      <c r="CA144" s="192"/>
      <c r="CB144" s="192"/>
      <c r="CC144" s="192"/>
      <c r="CD144" s="192"/>
    </row>
    <row r="145" spans="1:82" s="25" customFormat="1" x14ac:dyDescent="0.25">
      <c r="A145" s="62">
        <v>129</v>
      </c>
      <c r="B145" s="365" t="s">
        <v>189</v>
      </c>
      <c r="C145" s="62">
        <v>1170</v>
      </c>
      <c r="D145" s="63" t="s">
        <v>186</v>
      </c>
      <c r="E145" s="62">
        <v>2</v>
      </c>
      <c r="F145" s="559"/>
      <c r="G145" s="559"/>
      <c r="H145" s="559"/>
      <c r="I145" s="559"/>
      <c r="J145" s="620"/>
      <c r="K145" s="622"/>
      <c r="L145" s="164"/>
      <c r="M145" s="164"/>
      <c r="N145" s="164"/>
      <c r="O145" s="164"/>
      <c r="P145" s="164"/>
      <c r="Q145" s="165"/>
      <c r="R145" s="165"/>
      <c r="S145" s="164"/>
      <c r="T145" s="164"/>
      <c r="U145" s="164"/>
      <c r="V145" s="164"/>
      <c r="W145" s="164"/>
      <c r="X145" s="164"/>
      <c r="Y145" s="164"/>
      <c r="Z145" s="164"/>
      <c r="AA145" s="167"/>
      <c r="AB145" s="175"/>
      <c r="AC145" s="167"/>
      <c r="AD145" s="168"/>
      <c r="AE145" s="167"/>
      <c r="AF145" s="167"/>
      <c r="AG145" s="167"/>
      <c r="AH145" s="167"/>
      <c r="AI145" s="167">
        <v>0</v>
      </c>
      <c r="AJ145" s="167">
        <v>0</v>
      </c>
      <c r="AK145" s="167">
        <v>0</v>
      </c>
      <c r="AL145" s="167">
        <v>0</v>
      </c>
      <c r="AM145" s="167">
        <v>0</v>
      </c>
      <c r="AN145" s="167">
        <v>0</v>
      </c>
      <c r="AO145" s="167">
        <v>0</v>
      </c>
      <c r="AP145" s="167">
        <v>0</v>
      </c>
      <c r="AQ145" s="168">
        <f t="shared" ref="AQ145:AQ176" si="31">SUM(AE145:AP145)</f>
        <v>0</v>
      </c>
      <c r="AR145" s="168">
        <f t="shared" ref="AR145:AR176" si="32">+AD145-AQ145</f>
        <v>0</v>
      </c>
      <c r="AS145" s="169" t="e">
        <f t="shared" ref="AS145:AS176" si="33">+AQ145/AD145</f>
        <v>#DIV/0!</v>
      </c>
      <c r="AT145" s="236"/>
      <c r="AU145" s="346"/>
      <c r="AV145" s="346"/>
      <c r="AW145" s="345"/>
      <c r="AX145" s="345"/>
      <c r="AY145" s="345"/>
      <c r="AZ145" s="345"/>
      <c r="BA145" s="237"/>
      <c r="BB145" s="237"/>
      <c r="BC145" s="237"/>
      <c r="BD145" s="237"/>
      <c r="BE145" s="237"/>
      <c r="BF145" s="438"/>
      <c r="BG145" s="443"/>
      <c r="BH145" s="237"/>
      <c r="BI145" s="237"/>
      <c r="BJ145" s="344">
        <f t="shared" si="30"/>
        <v>0</v>
      </c>
      <c r="BK145" s="237">
        <f t="shared" si="28"/>
        <v>0</v>
      </c>
      <c r="BL145" s="435" t="e">
        <f t="shared" si="29"/>
        <v>#DIV/0!</v>
      </c>
      <c r="BM145" s="192"/>
      <c r="BN145" s="192"/>
      <c r="BO145" s="192"/>
      <c r="BP145" s="192"/>
      <c r="BQ145" s="192"/>
      <c r="BR145" s="192"/>
      <c r="BS145" s="192"/>
      <c r="BT145" s="192"/>
      <c r="BU145" s="192"/>
      <c r="BV145" s="192"/>
      <c r="BW145" s="192"/>
      <c r="BX145" s="192"/>
      <c r="BY145" s="192"/>
      <c r="BZ145" s="192"/>
      <c r="CA145" s="192"/>
      <c r="CB145" s="192"/>
      <c r="CC145" s="192"/>
      <c r="CD145" s="192"/>
    </row>
    <row r="146" spans="1:82" s="25" customFormat="1" x14ac:dyDescent="0.25">
      <c r="A146" s="62">
        <v>130</v>
      </c>
      <c r="B146" s="365" t="s">
        <v>194</v>
      </c>
      <c r="C146" s="62">
        <v>1172</v>
      </c>
      <c r="D146" s="63" t="s">
        <v>196</v>
      </c>
      <c r="E146" s="62">
        <v>1</v>
      </c>
      <c r="F146" s="559" t="s">
        <v>53</v>
      </c>
      <c r="G146" s="559">
        <v>400</v>
      </c>
      <c r="H146" s="559" t="s">
        <v>61</v>
      </c>
      <c r="I146" s="559" t="s">
        <v>197</v>
      </c>
      <c r="J146" s="619">
        <v>0</v>
      </c>
      <c r="K146" s="621">
        <v>0</v>
      </c>
      <c r="L146" s="164" t="s">
        <v>1019</v>
      </c>
      <c r="M146" s="164" t="s">
        <v>1119</v>
      </c>
      <c r="N146" s="164" t="s">
        <v>198</v>
      </c>
      <c r="O146" s="233" t="s">
        <v>409</v>
      </c>
      <c r="P146" s="164" t="s">
        <v>356</v>
      </c>
      <c r="Q146" s="233">
        <v>41996</v>
      </c>
      <c r="R146" s="233">
        <v>42031</v>
      </c>
      <c r="S146" s="233" t="s">
        <v>867</v>
      </c>
      <c r="T146" s="164" t="s">
        <v>1020</v>
      </c>
      <c r="U146" s="25" t="s">
        <v>1287</v>
      </c>
      <c r="V146" s="164" t="s">
        <v>689</v>
      </c>
      <c r="W146" s="187">
        <v>900175862</v>
      </c>
      <c r="X146" s="233" t="s">
        <v>1335</v>
      </c>
      <c r="Y146" s="233" t="s">
        <v>884</v>
      </c>
      <c r="Z146" s="164"/>
      <c r="AA146" s="167">
        <v>799</v>
      </c>
      <c r="AB146" s="175"/>
      <c r="AC146" s="167">
        <v>975</v>
      </c>
      <c r="AD146" s="168">
        <v>130200000</v>
      </c>
      <c r="AE146" s="167"/>
      <c r="AF146" s="167"/>
      <c r="AG146" s="167"/>
      <c r="AH146" s="167"/>
      <c r="AI146" s="167">
        <v>0</v>
      </c>
      <c r="AJ146" s="167">
        <v>0</v>
      </c>
      <c r="AK146" s="167">
        <v>0</v>
      </c>
      <c r="AL146" s="167">
        <v>0</v>
      </c>
      <c r="AM146" s="167">
        <v>0</v>
      </c>
      <c r="AN146" s="167">
        <v>0</v>
      </c>
      <c r="AO146" s="167">
        <v>0</v>
      </c>
      <c r="AP146" s="167">
        <v>0</v>
      </c>
      <c r="AQ146" s="168">
        <f t="shared" si="31"/>
        <v>0</v>
      </c>
      <c r="AR146" s="168">
        <f t="shared" si="32"/>
        <v>130200000</v>
      </c>
      <c r="AS146" s="169">
        <f t="shared" si="33"/>
        <v>0</v>
      </c>
      <c r="AT146" s="236"/>
      <c r="AU146" s="346">
        <v>328</v>
      </c>
      <c r="AV146" s="346">
        <v>276</v>
      </c>
      <c r="AW146" s="345">
        <v>130200000</v>
      </c>
      <c r="AX146" s="345">
        <v>0</v>
      </c>
      <c r="AY146" s="345">
        <v>0</v>
      </c>
      <c r="AZ146" s="345">
        <v>0</v>
      </c>
      <c r="BA146" s="345">
        <v>4731306</v>
      </c>
      <c r="BB146" s="345">
        <v>5261306</v>
      </c>
      <c r="BC146" s="345">
        <v>15747296</v>
      </c>
      <c r="BD146" s="345">
        <v>16564638</v>
      </c>
      <c r="BE146" s="345">
        <v>16297972</v>
      </c>
      <c r="BF146" s="441">
        <v>24151806</v>
      </c>
      <c r="BG146" s="447">
        <v>16331306</v>
      </c>
      <c r="BH146" s="237">
        <v>18365306</v>
      </c>
      <c r="BI146" s="237">
        <v>12749064</v>
      </c>
      <c r="BJ146" s="344">
        <f t="shared" si="30"/>
        <v>130200000</v>
      </c>
      <c r="BK146" s="237">
        <f t="shared" si="28"/>
        <v>0</v>
      </c>
      <c r="BL146" s="435">
        <f t="shared" si="29"/>
        <v>1</v>
      </c>
      <c r="BM146" s="192"/>
      <c r="BN146" s="192"/>
      <c r="BO146" s="192"/>
      <c r="BP146" s="192"/>
      <c r="BQ146" s="192"/>
      <c r="BR146" s="192"/>
      <c r="BS146" s="192"/>
      <c r="BT146" s="192"/>
      <c r="BU146" s="192"/>
      <c r="BV146" s="192"/>
      <c r="BW146" s="192"/>
      <c r="BX146" s="192"/>
      <c r="BY146" s="192"/>
      <c r="BZ146" s="192"/>
      <c r="CA146" s="192"/>
      <c r="CB146" s="192"/>
      <c r="CC146" s="192"/>
      <c r="CD146" s="192"/>
    </row>
    <row r="147" spans="1:82" s="25" customFormat="1" x14ac:dyDescent="0.25">
      <c r="A147" s="62">
        <v>130</v>
      </c>
      <c r="B147" s="365" t="s">
        <v>194</v>
      </c>
      <c r="C147" s="62">
        <v>1172</v>
      </c>
      <c r="D147" s="63" t="s">
        <v>196</v>
      </c>
      <c r="E147" s="62">
        <v>1</v>
      </c>
      <c r="F147" s="559"/>
      <c r="G147" s="559"/>
      <c r="H147" s="559"/>
      <c r="I147" s="559"/>
      <c r="J147" s="620"/>
      <c r="K147" s="622"/>
      <c r="L147" s="164" t="s">
        <v>1021</v>
      </c>
      <c r="M147" s="164" t="s">
        <v>1119</v>
      </c>
      <c r="N147" s="164" t="s">
        <v>198</v>
      </c>
      <c r="O147" s="233" t="s">
        <v>1314</v>
      </c>
      <c r="P147" s="164" t="s">
        <v>320</v>
      </c>
      <c r="Q147" s="233">
        <v>41996</v>
      </c>
      <c r="R147" s="233">
        <v>42031</v>
      </c>
      <c r="S147" s="233" t="s">
        <v>867</v>
      </c>
      <c r="T147" s="164" t="s">
        <v>1022</v>
      </c>
      <c r="U147" s="233" t="s">
        <v>798</v>
      </c>
      <c r="V147" s="164" t="s">
        <v>372</v>
      </c>
      <c r="W147" s="187">
        <v>17904681</v>
      </c>
      <c r="X147" s="233" t="s">
        <v>90</v>
      </c>
      <c r="Y147" s="233" t="s">
        <v>884</v>
      </c>
      <c r="Z147" s="164"/>
      <c r="AA147" s="167">
        <v>871</v>
      </c>
      <c r="AB147" s="175"/>
      <c r="AC147" s="167">
        <v>976</v>
      </c>
      <c r="AD147" s="168">
        <v>17240000</v>
      </c>
      <c r="AE147" s="167"/>
      <c r="AF147" s="167"/>
      <c r="AG147" s="167"/>
      <c r="AH147" s="167"/>
      <c r="AI147" s="167">
        <v>0</v>
      </c>
      <c r="AJ147" s="167">
        <v>0</v>
      </c>
      <c r="AK147" s="167">
        <v>0</v>
      </c>
      <c r="AL147" s="167">
        <v>0</v>
      </c>
      <c r="AM147" s="167">
        <v>0</v>
      </c>
      <c r="AN147" s="167">
        <v>0</v>
      </c>
      <c r="AO147" s="167">
        <v>0</v>
      </c>
      <c r="AP147" s="167">
        <v>0</v>
      </c>
      <c r="AQ147" s="168">
        <f t="shared" si="31"/>
        <v>0</v>
      </c>
      <c r="AR147" s="168">
        <f t="shared" si="32"/>
        <v>17240000</v>
      </c>
      <c r="AS147" s="169">
        <f t="shared" si="33"/>
        <v>0</v>
      </c>
      <c r="AT147" s="236"/>
      <c r="AU147" s="346">
        <v>329</v>
      </c>
      <c r="AV147" s="346">
        <v>277</v>
      </c>
      <c r="AW147" s="345">
        <v>17240000</v>
      </c>
      <c r="AX147" s="345">
        <v>0</v>
      </c>
      <c r="AY147" s="345">
        <v>0</v>
      </c>
      <c r="AZ147" s="345">
        <v>0</v>
      </c>
      <c r="BA147" s="345">
        <v>2155000</v>
      </c>
      <c r="BB147" s="345">
        <v>2155000</v>
      </c>
      <c r="BC147" s="345">
        <v>0</v>
      </c>
      <c r="BD147" s="345">
        <v>2155000</v>
      </c>
      <c r="BE147" s="345">
        <v>2155000</v>
      </c>
      <c r="BF147" s="441">
        <v>2155000</v>
      </c>
      <c r="BG147" s="443">
        <v>2155000</v>
      </c>
      <c r="BH147" s="237">
        <v>2155000</v>
      </c>
      <c r="BI147" s="237">
        <v>2155000</v>
      </c>
      <c r="BJ147" s="344">
        <f t="shared" si="30"/>
        <v>17240000</v>
      </c>
      <c r="BK147" s="237">
        <f t="shared" si="28"/>
        <v>0</v>
      </c>
      <c r="BL147" s="435">
        <f t="shared" si="29"/>
        <v>1</v>
      </c>
      <c r="BM147" s="192"/>
      <c r="BN147" s="192"/>
      <c r="BO147" s="192"/>
      <c r="BP147" s="192"/>
      <c r="BQ147" s="192"/>
      <c r="BR147" s="192"/>
      <c r="BS147" s="192"/>
      <c r="BT147" s="192"/>
      <c r="BU147" s="192"/>
      <c r="BV147" s="192"/>
      <c r="BW147" s="192"/>
      <c r="BX147" s="192"/>
      <c r="BY147" s="192"/>
      <c r="BZ147" s="192"/>
      <c r="CA147" s="192"/>
      <c r="CB147" s="192"/>
      <c r="CC147" s="192"/>
      <c r="CD147" s="192"/>
    </row>
    <row r="148" spans="1:82" s="25" customFormat="1" x14ac:dyDescent="0.25">
      <c r="A148" s="62">
        <v>130</v>
      </c>
      <c r="B148" s="365" t="s">
        <v>194</v>
      </c>
      <c r="C148" s="62">
        <v>1172</v>
      </c>
      <c r="D148" s="63" t="s">
        <v>196</v>
      </c>
      <c r="E148" s="62">
        <v>1</v>
      </c>
      <c r="F148" s="559"/>
      <c r="G148" s="559"/>
      <c r="H148" s="559"/>
      <c r="I148" s="559"/>
      <c r="J148" s="630"/>
      <c r="K148" s="631"/>
      <c r="L148" s="164"/>
      <c r="M148" s="164"/>
      <c r="N148" s="164"/>
      <c r="O148" s="164"/>
      <c r="P148" s="164"/>
      <c r="Q148" s="165"/>
      <c r="R148" s="165"/>
      <c r="S148" s="164"/>
      <c r="T148" s="164"/>
      <c r="U148" s="164"/>
      <c r="V148" s="164"/>
      <c r="W148" s="164"/>
      <c r="X148" s="164"/>
      <c r="Y148" s="164"/>
      <c r="Z148" s="164"/>
      <c r="AA148" s="167"/>
      <c r="AB148" s="175"/>
      <c r="AC148" s="167"/>
      <c r="AD148" s="168"/>
      <c r="AE148" s="167"/>
      <c r="AF148" s="167"/>
      <c r="AG148" s="167"/>
      <c r="AH148" s="167"/>
      <c r="AI148" s="167">
        <v>0</v>
      </c>
      <c r="AJ148" s="167">
        <v>0</v>
      </c>
      <c r="AK148" s="167">
        <v>0</v>
      </c>
      <c r="AL148" s="167">
        <v>0</v>
      </c>
      <c r="AM148" s="167">
        <v>0</v>
      </c>
      <c r="AN148" s="167">
        <v>0</v>
      </c>
      <c r="AO148" s="167">
        <v>0</v>
      </c>
      <c r="AP148" s="167">
        <v>0</v>
      </c>
      <c r="AQ148" s="168">
        <f t="shared" si="31"/>
        <v>0</v>
      </c>
      <c r="AR148" s="168">
        <f t="shared" si="32"/>
        <v>0</v>
      </c>
      <c r="AS148" s="169" t="e">
        <f t="shared" si="33"/>
        <v>#DIV/0!</v>
      </c>
      <c r="AT148" s="236"/>
      <c r="AU148" s="346"/>
      <c r="AV148" s="346"/>
      <c r="AW148" s="345"/>
      <c r="AX148" s="345"/>
      <c r="AY148" s="345"/>
      <c r="AZ148" s="345"/>
      <c r="BA148" s="237"/>
      <c r="BB148" s="237"/>
      <c r="BC148" s="237"/>
      <c r="BD148" s="237"/>
      <c r="BE148" s="237"/>
      <c r="BF148" s="438"/>
      <c r="BG148" s="443"/>
      <c r="BH148" s="237"/>
      <c r="BI148" s="237"/>
      <c r="BJ148" s="344">
        <f t="shared" si="30"/>
        <v>0</v>
      </c>
      <c r="BK148" s="237">
        <f t="shared" si="28"/>
        <v>0</v>
      </c>
      <c r="BL148" s="435" t="e">
        <f t="shared" si="29"/>
        <v>#DIV/0!</v>
      </c>
      <c r="BM148" s="192"/>
      <c r="BN148" s="192"/>
      <c r="BO148" s="192"/>
      <c r="BP148" s="192"/>
      <c r="BQ148" s="192"/>
      <c r="BR148" s="192"/>
      <c r="BS148" s="192"/>
      <c r="BT148" s="192"/>
      <c r="BU148" s="192"/>
      <c r="BV148" s="192"/>
      <c r="BW148" s="192"/>
      <c r="BX148" s="192"/>
      <c r="BY148" s="192"/>
      <c r="BZ148" s="192"/>
      <c r="CA148" s="192"/>
      <c r="CB148" s="192"/>
      <c r="CC148" s="192"/>
      <c r="CD148" s="192"/>
    </row>
    <row r="149" spans="1:82" s="25" customFormat="1" x14ac:dyDescent="0.25">
      <c r="A149" s="62">
        <v>131</v>
      </c>
      <c r="B149" s="365" t="s">
        <v>201</v>
      </c>
      <c r="C149" s="62">
        <v>1174</v>
      </c>
      <c r="D149" s="63" t="s">
        <v>202</v>
      </c>
      <c r="E149" s="62">
        <v>1</v>
      </c>
      <c r="F149" s="559" t="s">
        <v>53</v>
      </c>
      <c r="G149" s="559">
        <v>160</v>
      </c>
      <c r="H149" s="559" t="s">
        <v>61</v>
      </c>
      <c r="I149" s="559" t="s">
        <v>203</v>
      </c>
      <c r="J149" s="619">
        <v>0</v>
      </c>
      <c r="K149" s="621">
        <v>0</v>
      </c>
      <c r="L149" s="166"/>
      <c r="M149" s="164"/>
      <c r="N149" s="166"/>
      <c r="O149" s="189"/>
      <c r="P149" s="166"/>
      <c r="Q149" s="180"/>
      <c r="R149" s="173"/>
      <c r="S149" s="166"/>
      <c r="T149" s="189"/>
      <c r="U149" s="199"/>
      <c r="V149" s="166"/>
      <c r="W149" s="189"/>
      <c r="X149" s="173"/>
      <c r="Y149" s="173"/>
      <c r="Z149" s="166"/>
      <c r="AA149" s="174"/>
      <c r="AB149" s="175"/>
      <c r="AC149" s="174"/>
      <c r="AD149" s="175"/>
      <c r="AE149" s="174"/>
      <c r="AF149" s="174"/>
      <c r="AG149" s="174"/>
      <c r="AH149" s="174"/>
      <c r="AI149" s="174"/>
      <c r="AJ149" s="174"/>
      <c r="AK149" s="174"/>
      <c r="AL149" s="174"/>
      <c r="AM149" s="174"/>
      <c r="AN149" s="174"/>
      <c r="AO149" s="174"/>
      <c r="AP149" s="174"/>
      <c r="AQ149" s="168">
        <f t="shared" si="31"/>
        <v>0</v>
      </c>
      <c r="AR149" s="168">
        <f t="shared" si="32"/>
        <v>0</v>
      </c>
      <c r="AS149" s="169" t="e">
        <f t="shared" si="33"/>
        <v>#DIV/0!</v>
      </c>
      <c r="AT149" s="236"/>
      <c r="AU149" s="346"/>
      <c r="AV149" s="346"/>
      <c r="AW149" s="345"/>
      <c r="AX149" s="345"/>
      <c r="AY149" s="345"/>
      <c r="AZ149" s="345"/>
      <c r="BA149" s="237"/>
      <c r="BB149" s="237"/>
      <c r="BC149" s="237"/>
      <c r="BD149" s="237"/>
      <c r="BE149" s="237"/>
      <c r="BF149" s="438"/>
      <c r="BG149" s="443"/>
      <c r="BH149" s="237"/>
      <c r="BI149" s="237"/>
      <c r="BJ149" s="344">
        <f t="shared" si="30"/>
        <v>0</v>
      </c>
      <c r="BK149" s="237">
        <f t="shared" si="28"/>
        <v>0</v>
      </c>
      <c r="BL149" s="435" t="e">
        <f t="shared" si="29"/>
        <v>#DIV/0!</v>
      </c>
      <c r="BM149" s="192"/>
      <c r="BN149" s="192"/>
      <c r="BO149" s="192"/>
      <c r="BP149" s="192"/>
      <c r="BQ149" s="192"/>
      <c r="BR149" s="192"/>
      <c r="BS149" s="192"/>
      <c r="BT149" s="192"/>
      <c r="BU149" s="192"/>
      <c r="BV149" s="192"/>
      <c r="BW149" s="192"/>
      <c r="BX149" s="192"/>
      <c r="BY149" s="192"/>
      <c r="BZ149" s="192"/>
      <c r="CA149" s="192"/>
      <c r="CB149" s="192"/>
      <c r="CC149" s="192"/>
      <c r="CD149" s="192"/>
    </row>
    <row r="150" spans="1:82" s="25" customFormat="1" x14ac:dyDescent="0.25">
      <c r="A150" s="62">
        <v>131</v>
      </c>
      <c r="B150" s="365" t="s">
        <v>201</v>
      </c>
      <c r="C150" s="62">
        <v>1174</v>
      </c>
      <c r="D150" s="63" t="s">
        <v>202</v>
      </c>
      <c r="E150" s="62">
        <v>1</v>
      </c>
      <c r="F150" s="559"/>
      <c r="G150" s="559"/>
      <c r="H150" s="559"/>
      <c r="I150" s="559"/>
      <c r="J150" s="620"/>
      <c r="K150" s="622"/>
      <c r="L150" s="166"/>
      <c r="M150" s="164"/>
      <c r="N150" s="166"/>
      <c r="O150" s="189"/>
      <c r="P150" s="166"/>
      <c r="Q150" s="180"/>
      <c r="R150" s="180"/>
      <c r="S150" s="166"/>
      <c r="T150" s="189"/>
      <c r="U150" s="199"/>
      <c r="V150" s="166"/>
      <c r="W150" s="189"/>
      <c r="X150" s="173"/>
      <c r="Y150" s="173"/>
      <c r="Z150" s="166"/>
      <c r="AA150" s="174"/>
      <c r="AB150" s="175"/>
      <c r="AC150" s="174"/>
      <c r="AD150" s="175"/>
      <c r="AE150" s="174"/>
      <c r="AF150" s="174"/>
      <c r="AG150" s="174"/>
      <c r="AH150" s="174"/>
      <c r="AI150" s="174"/>
      <c r="AJ150" s="174"/>
      <c r="AK150" s="174"/>
      <c r="AL150" s="174"/>
      <c r="AM150" s="174"/>
      <c r="AN150" s="174"/>
      <c r="AO150" s="174"/>
      <c r="AP150" s="174"/>
      <c r="AQ150" s="168">
        <f t="shared" si="31"/>
        <v>0</v>
      </c>
      <c r="AR150" s="168">
        <f t="shared" si="32"/>
        <v>0</v>
      </c>
      <c r="AS150" s="169" t="e">
        <f t="shared" si="33"/>
        <v>#DIV/0!</v>
      </c>
      <c r="AT150" s="236"/>
      <c r="AU150" s="346"/>
      <c r="AV150" s="346"/>
      <c r="AW150" s="345"/>
      <c r="AX150" s="345"/>
      <c r="AY150" s="345"/>
      <c r="AZ150" s="345"/>
      <c r="BA150" s="237"/>
      <c r="BB150" s="237"/>
      <c r="BC150" s="237"/>
      <c r="BD150" s="237"/>
      <c r="BE150" s="237"/>
      <c r="BF150" s="438"/>
      <c r="BG150" s="443"/>
      <c r="BH150" s="237"/>
      <c r="BI150" s="237"/>
      <c r="BJ150" s="344">
        <f t="shared" si="30"/>
        <v>0</v>
      </c>
      <c r="BK150" s="237">
        <f t="shared" si="28"/>
        <v>0</v>
      </c>
      <c r="BL150" s="435" t="e">
        <f t="shared" si="29"/>
        <v>#DIV/0!</v>
      </c>
      <c r="BM150" s="192"/>
      <c r="BN150" s="192"/>
      <c r="BO150" s="192"/>
      <c r="BP150" s="192"/>
      <c r="BQ150" s="192"/>
      <c r="BR150" s="192"/>
      <c r="BS150" s="192"/>
      <c r="BT150" s="192"/>
      <c r="BU150" s="192"/>
      <c r="BV150" s="192"/>
      <c r="BW150" s="192"/>
      <c r="BX150" s="192"/>
      <c r="BY150" s="192"/>
      <c r="BZ150" s="192"/>
      <c r="CA150" s="192"/>
      <c r="CB150" s="192"/>
      <c r="CC150" s="192"/>
      <c r="CD150" s="192"/>
    </row>
    <row r="151" spans="1:82" s="25" customFormat="1" x14ac:dyDescent="0.25">
      <c r="A151" s="62">
        <v>131</v>
      </c>
      <c r="B151" s="365" t="s">
        <v>201</v>
      </c>
      <c r="C151" s="62">
        <v>1174</v>
      </c>
      <c r="D151" s="63" t="s">
        <v>202</v>
      </c>
      <c r="E151" s="62">
        <v>1</v>
      </c>
      <c r="F151" s="559"/>
      <c r="G151" s="559"/>
      <c r="H151" s="559"/>
      <c r="I151" s="559"/>
      <c r="J151" s="620"/>
      <c r="K151" s="622"/>
      <c r="L151" s="164"/>
      <c r="M151" s="164"/>
      <c r="N151" s="164"/>
      <c r="O151" s="164"/>
      <c r="P151" s="164"/>
      <c r="Q151" s="165"/>
      <c r="R151" s="165"/>
      <c r="S151" s="164"/>
      <c r="T151" s="164"/>
      <c r="U151" s="164"/>
      <c r="V151" s="164"/>
      <c r="W151" s="164"/>
      <c r="X151" s="164"/>
      <c r="Y151" s="164"/>
      <c r="Z151" s="164"/>
      <c r="AA151" s="167"/>
      <c r="AB151" s="175"/>
      <c r="AC151" s="167"/>
      <c r="AD151" s="168"/>
      <c r="AE151" s="167"/>
      <c r="AF151" s="167"/>
      <c r="AG151" s="167"/>
      <c r="AH151" s="167"/>
      <c r="AI151" s="167">
        <v>0</v>
      </c>
      <c r="AJ151" s="167">
        <v>0</v>
      </c>
      <c r="AK151" s="167">
        <v>0</v>
      </c>
      <c r="AL151" s="167">
        <v>0</v>
      </c>
      <c r="AM151" s="167">
        <v>0</v>
      </c>
      <c r="AN151" s="167">
        <v>0</v>
      </c>
      <c r="AO151" s="167">
        <v>0</v>
      </c>
      <c r="AP151" s="167">
        <v>0</v>
      </c>
      <c r="AQ151" s="168">
        <f t="shared" si="31"/>
        <v>0</v>
      </c>
      <c r="AR151" s="168">
        <f t="shared" si="32"/>
        <v>0</v>
      </c>
      <c r="AS151" s="169" t="e">
        <f t="shared" si="33"/>
        <v>#DIV/0!</v>
      </c>
      <c r="AT151" s="236"/>
      <c r="AU151" s="346"/>
      <c r="AV151" s="346"/>
      <c r="AW151" s="345"/>
      <c r="AX151" s="345"/>
      <c r="AY151" s="345"/>
      <c r="AZ151" s="345"/>
      <c r="BA151" s="237"/>
      <c r="BB151" s="237"/>
      <c r="BC151" s="237"/>
      <c r="BD151" s="237"/>
      <c r="BE151" s="237"/>
      <c r="BF151" s="438"/>
      <c r="BG151" s="443"/>
      <c r="BH151" s="237"/>
      <c r="BI151" s="237"/>
      <c r="BJ151" s="344">
        <f t="shared" si="30"/>
        <v>0</v>
      </c>
      <c r="BK151" s="237">
        <f t="shared" si="28"/>
        <v>0</v>
      </c>
      <c r="BL151" s="435" t="e">
        <f t="shared" si="29"/>
        <v>#DIV/0!</v>
      </c>
      <c r="BM151" s="192"/>
      <c r="BN151" s="192"/>
      <c r="BO151" s="192"/>
      <c r="BP151" s="192"/>
      <c r="BQ151" s="192"/>
      <c r="BR151" s="192"/>
      <c r="BS151" s="192"/>
      <c r="BT151" s="192"/>
      <c r="BU151" s="192"/>
      <c r="BV151" s="192"/>
      <c r="BW151" s="192"/>
      <c r="BX151" s="192"/>
      <c r="BY151" s="192"/>
      <c r="BZ151" s="192"/>
      <c r="CA151" s="192"/>
      <c r="CB151" s="192"/>
      <c r="CC151" s="192"/>
      <c r="CD151" s="192"/>
    </row>
    <row r="152" spans="1:82" s="25" customFormat="1" x14ac:dyDescent="0.25">
      <c r="A152" s="62">
        <v>132</v>
      </c>
      <c r="B152" s="365" t="s">
        <v>206</v>
      </c>
      <c r="C152" s="62">
        <v>1177</v>
      </c>
      <c r="D152" s="63" t="s">
        <v>208</v>
      </c>
      <c r="E152" s="62">
        <v>1</v>
      </c>
      <c r="F152" s="559" t="s">
        <v>53</v>
      </c>
      <c r="G152" s="559">
        <v>600</v>
      </c>
      <c r="H152" s="559" t="s">
        <v>61</v>
      </c>
      <c r="I152" s="559" t="s">
        <v>209</v>
      </c>
      <c r="J152" s="619">
        <v>0</v>
      </c>
      <c r="K152" s="621">
        <v>0</v>
      </c>
      <c r="L152" s="164" t="s">
        <v>1023</v>
      </c>
      <c r="M152" s="164" t="s">
        <v>1119</v>
      </c>
      <c r="N152" s="196" t="s">
        <v>115</v>
      </c>
      <c r="O152" s="233" t="s">
        <v>793</v>
      </c>
      <c r="P152" s="164" t="s">
        <v>400</v>
      </c>
      <c r="Q152" s="233">
        <v>41989</v>
      </c>
      <c r="R152" s="233">
        <v>42031</v>
      </c>
      <c r="S152" s="233" t="s">
        <v>1336</v>
      </c>
      <c r="T152" s="164" t="s">
        <v>1024</v>
      </c>
      <c r="U152" s="233" t="s">
        <v>1287</v>
      </c>
      <c r="V152" s="164" t="s">
        <v>1011</v>
      </c>
      <c r="W152" s="187">
        <v>900407222</v>
      </c>
      <c r="X152" s="233" t="s">
        <v>1335</v>
      </c>
      <c r="Y152" s="233" t="s">
        <v>884</v>
      </c>
      <c r="Z152" s="164"/>
      <c r="AA152" s="167">
        <v>867</v>
      </c>
      <c r="AB152" s="173"/>
      <c r="AC152" s="167">
        <v>955</v>
      </c>
      <c r="AD152" s="168">
        <v>21550000</v>
      </c>
      <c r="AE152" s="167"/>
      <c r="AF152" s="167"/>
      <c r="AG152" s="167"/>
      <c r="AH152" s="167"/>
      <c r="AI152" s="167">
        <v>0</v>
      </c>
      <c r="AJ152" s="167">
        <v>0</v>
      </c>
      <c r="AK152" s="167">
        <v>0</v>
      </c>
      <c r="AL152" s="167">
        <v>0</v>
      </c>
      <c r="AM152" s="167">
        <v>0</v>
      </c>
      <c r="AN152" s="167">
        <v>0</v>
      </c>
      <c r="AO152" s="167">
        <v>0</v>
      </c>
      <c r="AP152" s="167">
        <v>0</v>
      </c>
      <c r="AQ152" s="168">
        <f t="shared" si="31"/>
        <v>0</v>
      </c>
      <c r="AR152" s="168">
        <f t="shared" si="32"/>
        <v>21550000</v>
      </c>
      <c r="AS152" s="169">
        <f t="shared" si="33"/>
        <v>0</v>
      </c>
      <c r="AT152" s="236"/>
      <c r="AU152" s="346">
        <v>322</v>
      </c>
      <c r="AV152" s="346">
        <v>377</v>
      </c>
      <c r="AW152" s="345">
        <v>21550000</v>
      </c>
      <c r="AX152" s="345">
        <v>0</v>
      </c>
      <c r="AY152" s="345">
        <v>0</v>
      </c>
      <c r="AZ152" s="345">
        <v>0</v>
      </c>
      <c r="BA152" s="345">
        <v>0</v>
      </c>
      <c r="BB152" s="345">
        <v>0</v>
      </c>
      <c r="BC152" s="237">
        <v>0</v>
      </c>
      <c r="BD152" s="237"/>
      <c r="BE152" s="237"/>
      <c r="BF152" s="438"/>
      <c r="BG152" s="447">
        <v>4310000</v>
      </c>
      <c r="BH152" s="237"/>
      <c r="BI152" s="237">
        <v>16800000</v>
      </c>
      <c r="BJ152" s="344">
        <f t="shared" si="30"/>
        <v>21110000</v>
      </c>
      <c r="BK152" s="237">
        <f t="shared" si="28"/>
        <v>440000</v>
      </c>
      <c r="BL152" s="435">
        <f t="shared" si="29"/>
        <v>0.97958236658932718</v>
      </c>
      <c r="BM152" s="192"/>
      <c r="BN152" s="192"/>
      <c r="BO152" s="192"/>
      <c r="BP152" s="192"/>
      <c r="BQ152" s="192"/>
      <c r="BR152" s="192"/>
      <c r="BS152" s="192"/>
      <c r="BT152" s="192"/>
      <c r="BU152" s="192"/>
      <c r="BV152" s="192"/>
      <c r="BW152" s="192"/>
      <c r="BX152" s="192"/>
      <c r="BY152" s="192"/>
      <c r="BZ152" s="192"/>
      <c r="CA152" s="192"/>
      <c r="CB152" s="192"/>
      <c r="CC152" s="192"/>
      <c r="CD152" s="192"/>
    </row>
    <row r="153" spans="1:82" s="25" customFormat="1" x14ac:dyDescent="0.25">
      <c r="A153" s="62">
        <v>132</v>
      </c>
      <c r="B153" s="365" t="s">
        <v>206</v>
      </c>
      <c r="C153" s="62">
        <v>1177</v>
      </c>
      <c r="D153" s="63" t="s">
        <v>208</v>
      </c>
      <c r="E153" s="62">
        <v>1</v>
      </c>
      <c r="F153" s="559"/>
      <c r="G153" s="559"/>
      <c r="H153" s="559"/>
      <c r="I153" s="559"/>
      <c r="J153" s="620"/>
      <c r="K153" s="622"/>
      <c r="L153" s="164"/>
      <c r="M153" s="164"/>
      <c r="N153" s="164"/>
      <c r="O153" s="164"/>
      <c r="P153" s="164"/>
      <c r="Q153" s="165"/>
      <c r="R153" s="165"/>
      <c r="S153" s="164"/>
      <c r="T153" s="164"/>
      <c r="U153" s="164"/>
      <c r="V153" s="164"/>
      <c r="W153" s="164"/>
      <c r="X153" s="164"/>
      <c r="Y153" s="164"/>
      <c r="Z153" s="164"/>
      <c r="AA153" s="167"/>
      <c r="AB153" s="175"/>
      <c r="AC153" s="167"/>
      <c r="AD153" s="168"/>
      <c r="AE153" s="167"/>
      <c r="AF153" s="167"/>
      <c r="AG153" s="167"/>
      <c r="AH153" s="167"/>
      <c r="AI153" s="167">
        <v>0</v>
      </c>
      <c r="AJ153" s="167">
        <v>0</v>
      </c>
      <c r="AK153" s="167">
        <v>0</v>
      </c>
      <c r="AL153" s="167">
        <v>0</v>
      </c>
      <c r="AM153" s="167">
        <v>0</v>
      </c>
      <c r="AN153" s="167">
        <v>0</v>
      </c>
      <c r="AO153" s="167">
        <v>0</v>
      </c>
      <c r="AP153" s="167">
        <v>0</v>
      </c>
      <c r="AQ153" s="168">
        <f t="shared" si="31"/>
        <v>0</v>
      </c>
      <c r="AR153" s="168">
        <f t="shared" si="32"/>
        <v>0</v>
      </c>
      <c r="AS153" s="169" t="e">
        <f t="shared" si="33"/>
        <v>#DIV/0!</v>
      </c>
      <c r="AT153" s="236"/>
      <c r="AU153" s="346"/>
      <c r="AV153" s="346"/>
      <c r="AW153" s="345"/>
      <c r="AX153" s="345"/>
      <c r="AY153" s="345"/>
      <c r="AZ153" s="345"/>
      <c r="BA153" s="237"/>
      <c r="BB153" s="237"/>
      <c r="BC153" s="237"/>
      <c r="BD153" s="237"/>
      <c r="BE153" s="237"/>
      <c r="BF153" s="438"/>
      <c r="BG153" s="443"/>
      <c r="BH153" s="237"/>
      <c r="BI153" s="237"/>
      <c r="BJ153" s="344">
        <f t="shared" si="30"/>
        <v>0</v>
      </c>
      <c r="BK153" s="237">
        <f t="shared" si="28"/>
        <v>0</v>
      </c>
      <c r="BL153" s="435" t="e">
        <f t="shared" si="29"/>
        <v>#DIV/0!</v>
      </c>
      <c r="BM153" s="192"/>
      <c r="BN153" s="192"/>
      <c r="BO153" s="192"/>
      <c r="BP153" s="192"/>
      <c r="BQ153" s="192"/>
      <c r="BR153" s="192"/>
      <c r="BS153" s="192"/>
      <c r="BT153" s="192"/>
      <c r="BU153" s="192"/>
      <c r="BV153" s="192"/>
      <c r="BW153" s="192"/>
      <c r="BX153" s="192"/>
      <c r="BY153" s="192"/>
      <c r="BZ153" s="192"/>
      <c r="CA153" s="192"/>
      <c r="CB153" s="192"/>
      <c r="CC153" s="192"/>
      <c r="CD153" s="192"/>
    </row>
    <row r="154" spans="1:82" s="25" customFormat="1" x14ac:dyDescent="0.25">
      <c r="A154" s="62">
        <v>132</v>
      </c>
      <c r="B154" s="365" t="s">
        <v>206</v>
      </c>
      <c r="C154" s="62">
        <v>1177</v>
      </c>
      <c r="D154" s="63" t="s">
        <v>208</v>
      </c>
      <c r="E154" s="62">
        <v>1</v>
      </c>
      <c r="F154" s="559"/>
      <c r="G154" s="559"/>
      <c r="H154" s="559"/>
      <c r="I154" s="559"/>
      <c r="J154" s="620"/>
      <c r="K154" s="622"/>
      <c r="L154" s="164"/>
      <c r="M154" s="164"/>
      <c r="N154" s="164"/>
      <c r="O154" s="164"/>
      <c r="P154" s="164"/>
      <c r="Q154" s="165"/>
      <c r="R154" s="165"/>
      <c r="S154" s="164"/>
      <c r="T154" s="164"/>
      <c r="U154" s="164"/>
      <c r="V154" s="164"/>
      <c r="W154" s="164"/>
      <c r="X154" s="164"/>
      <c r="Y154" s="164"/>
      <c r="Z154" s="164"/>
      <c r="AA154" s="167"/>
      <c r="AB154" s="175"/>
      <c r="AC154" s="167"/>
      <c r="AD154" s="168"/>
      <c r="AE154" s="167"/>
      <c r="AF154" s="167"/>
      <c r="AG154" s="167"/>
      <c r="AH154" s="167"/>
      <c r="AI154" s="167">
        <v>0</v>
      </c>
      <c r="AJ154" s="167">
        <v>0</v>
      </c>
      <c r="AK154" s="167">
        <v>0</v>
      </c>
      <c r="AL154" s="167">
        <v>0</v>
      </c>
      <c r="AM154" s="167">
        <v>0</v>
      </c>
      <c r="AN154" s="167">
        <v>0</v>
      </c>
      <c r="AO154" s="167">
        <v>0</v>
      </c>
      <c r="AP154" s="167">
        <v>0</v>
      </c>
      <c r="AQ154" s="168">
        <f t="shared" si="31"/>
        <v>0</v>
      </c>
      <c r="AR154" s="168">
        <f t="shared" si="32"/>
        <v>0</v>
      </c>
      <c r="AS154" s="169" t="e">
        <f t="shared" si="33"/>
        <v>#DIV/0!</v>
      </c>
      <c r="AT154" s="236"/>
      <c r="AU154" s="346"/>
      <c r="AV154" s="346"/>
      <c r="AW154" s="345"/>
      <c r="AX154" s="345"/>
      <c r="AY154" s="345"/>
      <c r="AZ154" s="345"/>
      <c r="BA154" s="237"/>
      <c r="BB154" s="237"/>
      <c r="BC154" s="237"/>
      <c r="BD154" s="237"/>
      <c r="BE154" s="237"/>
      <c r="BF154" s="438"/>
      <c r="BG154" s="443"/>
      <c r="BH154" s="237"/>
      <c r="BI154" s="237"/>
      <c r="BJ154" s="344">
        <f t="shared" si="30"/>
        <v>0</v>
      </c>
      <c r="BK154" s="237">
        <f t="shared" si="28"/>
        <v>0</v>
      </c>
      <c r="BL154" s="435" t="e">
        <f t="shared" si="29"/>
        <v>#DIV/0!</v>
      </c>
      <c r="BM154" s="192"/>
      <c r="BN154" s="192"/>
      <c r="BO154" s="192"/>
      <c r="BP154" s="192"/>
      <c r="BQ154" s="192"/>
      <c r="BR154" s="192"/>
      <c r="BS154" s="192"/>
      <c r="BT154" s="192"/>
      <c r="BU154" s="192"/>
      <c r="BV154" s="192"/>
      <c r="BW154" s="192"/>
      <c r="BX154" s="192"/>
      <c r="BY154" s="192"/>
      <c r="BZ154" s="192"/>
      <c r="CA154" s="192"/>
      <c r="CB154" s="192"/>
      <c r="CC154" s="192"/>
      <c r="CD154" s="192"/>
    </row>
    <row r="155" spans="1:82" s="25" customFormat="1" x14ac:dyDescent="0.25">
      <c r="A155" s="62">
        <v>133</v>
      </c>
      <c r="B155" s="365" t="s">
        <v>210</v>
      </c>
      <c r="C155" s="62">
        <v>1177</v>
      </c>
      <c r="D155" s="63" t="s">
        <v>208</v>
      </c>
      <c r="E155" s="62">
        <v>2</v>
      </c>
      <c r="F155" s="559" t="s">
        <v>212</v>
      </c>
      <c r="G155" s="559">
        <v>60</v>
      </c>
      <c r="H155" s="559" t="s">
        <v>213</v>
      </c>
      <c r="I155" s="559" t="s">
        <v>214</v>
      </c>
      <c r="J155" s="619">
        <v>0</v>
      </c>
      <c r="K155" s="621">
        <v>0</v>
      </c>
      <c r="L155" s="164" t="s">
        <v>1025</v>
      </c>
      <c r="M155" s="164" t="s">
        <v>1119</v>
      </c>
      <c r="N155" s="195" t="s">
        <v>115</v>
      </c>
      <c r="O155" s="166" t="s">
        <v>1026</v>
      </c>
      <c r="P155" s="164" t="s">
        <v>320</v>
      </c>
      <c r="Q155" s="266">
        <v>41873</v>
      </c>
      <c r="R155" s="180">
        <v>41873</v>
      </c>
      <c r="S155" s="166" t="s">
        <v>512</v>
      </c>
      <c r="T155" s="164" t="s">
        <v>1027</v>
      </c>
      <c r="U155" s="166" t="s">
        <v>798</v>
      </c>
      <c r="V155" s="164" t="s">
        <v>704</v>
      </c>
      <c r="W155" s="187">
        <v>41720666</v>
      </c>
      <c r="X155" s="166" t="s">
        <v>699</v>
      </c>
      <c r="Y155" s="166" t="s">
        <v>1028</v>
      </c>
      <c r="Z155" s="164"/>
      <c r="AA155" s="167">
        <v>735</v>
      </c>
      <c r="AB155" s="175"/>
      <c r="AC155" s="167">
        <v>761</v>
      </c>
      <c r="AD155" s="168">
        <v>1500000</v>
      </c>
      <c r="AE155" s="167"/>
      <c r="AF155" s="167"/>
      <c r="AG155" s="167"/>
      <c r="AH155" s="167"/>
      <c r="AI155" s="167">
        <v>0</v>
      </c>
      <c r="AJ155" s="167">
        <v>0</v>
      </c>
      <c r="AK155" s="167">
        <v>0</v>
      </c>
      <c r="AL155" s="167">
        <v>0</v>
      </c>
      <c r="AM155" s="167">
        <v>0</v>
      </c>
      <c r="AN155" s="167">
        <v>0</v>
      </c>
      <c r="AO155" s="167">
        <v>0</v>
      </c>
      <c r="AP155" s="167">
        <v>0</v>
      </c>
      <c r="AQ155" s="168">
        <f t="shared" si="31"/>
        <v>0</v>
      </c>
      <c r="AR155" s="168">
        <f t="shared" si="32"/>
        <v>1500000</v>
      </c>
      <c r="AS155" s="169">
        <f t="shared" si="33"/>
        <v>0</v>
      </c>
      <c r="AT155" s="236"/>
      <c r="AU155" s="346">
        <v>237</v>
      </c>
      <c r="AV155" s="346">
        <v>199</v>
      </c>
      <c r="AW155" s="345">
        <v>1500000</v>
      </c>
      <c r="AX155" s="345">
        <v>0</v>
      </c>
      <c r="AY155" s="345">
        <v>0</v>
      </c>
      <c r="AZ155" s="345">
        <v>0</v>
      </c>
      <c r="BA155" s="345">
        <v>0</v>
      </c>
      <c r="BB155" s="345">
        <v>0</v>
      </c>
      <c r="BC155" s="237">
        <v>0</v>
      </c>
      <c r="BD155" s="237"/>
      <c r="BE155" s="237"/>
      <c r="BF155" s="441">
        <v>1500000</v>
      </c>
      <c r="BG155" s="443"/>
      <c r="BH155" s="237"/>
      <c r="BI155" s="237"/>
      <c r="BJ155" s="344">
        <f t="shared" si="30"/>
        <v>1500000</v>
      </c>
      <c r="BK155" s="237">
        <f t="shared" si="28"/>
        <v>0</v>
      </c>
      <c r="BL155" s="435">
        <f t="shared" si="29"/>
        <v>1</v>
      </c>
      <c r="BM155" s="192"/>
      <c r="BN155" s="192"/>
      <c r="BO155" s="192"/>
      <c r="BP155" s="192"/>
      <c r="BQ155" s="192"/>
      <c r="BR155" s="192"/>
      <c r="BS155" s="192"/>
      <c r="BT155" s="192"/>
      <c r="BU155" s="192"/>
      <c r="BV155" s="192"/>
      <c r="BW155" s="192"/>
      <c r="BX155" s="192"/>
      <c r="BY155" s="192"/>
      <c r="BZ155" s="192"/>
      <c r="CA155" s="192"/>
      <c r="CB155" s="192"/>
      <c r="CC155" s="192"/>
      <c r="CD155" s="192"/>
    </row>
    <row r="156" spans="1:82" s="25" customFormat="1" x14ac:dyDescent="0.25">
      <c r="A156" s="62">
        <v>133</v>
      </c>
      <c r="B156" s="365" t="s">
        <v>210</v>
      </c>
      <c r="C156" s="62">
        <v>1177</v>
      </c>
      <c r="D156" s="63" t="s">
        <v>208</v>
      </c>
      <c r="E156" s="62">
        <v>2</v>
      </c>
      <c r="F156" s="559"/>
      <c r="G156" s="559"/>
      <c r="H156" s="559"/>
      <c r="I156" s="559"/>
      <c r="J156" s="620"/>
      <c r="K156" s="622"/>
      <c r="L156" s="164" t="s">
        <v>1029</v>
      </c>
      <c r="M156" s="164" t="s">
        <v>1119</v>
      </c>
      <c r="N156" s="164"/>
      <c r="O156" s="173" t="s">
        <v>1062</v>
      </c>
      <c r="P156" s="164" t="s">
        <v>356</v>
      </c>
      <c r="Q156" s="267">
        <v>42002</v>
      </c>
      <c r="R156" s="233"/>
      <c r="S156" s="233" t="s">
        <v>724</v>
      </c>
      <c r="T156" s="164" t="s">
        <v>1030</v>
      </c>
      <c r="U156" s="233" t="s">
        <v>1287</v>
      </c>
      <c r="V156" s="164" t="s">
        <v>1031</v>
      </c>
      <c r="W156" s="187">
        <v>900199025</v>
      </c>
      <c r="X156" s="233" t="s">
        <v>1337</v>
      </c>
      <c r="Y156" s="233" t="s">
        <v>884</v>
      </c>
      <c r="Z156" s="164"/>
      <c r="AA156" s="167">
        <v>838</v>
      </c>
      <c r="AB156" s="173"/>
      <c r="AC156" s="167">
        <v>1014</v>
      </c>
      <c r="AD156" s="168">
        <v>52719000</v>
      </c>
      <c r="AE156" s="167"/>
      <c r="AF156" s="167"/>
      <c r="AG156" s="167"/>
      <c r="AH156" s="167"/>
      <c r="AI156" s="167">
        <v>0</v>
      </c>
      <c r="AJ156" s="167">
        <v>0</v>
      </c>
      <c r="AK156" s="167">
        <v>0</v>
      </c>
      <c r="AL156" s="167">
        <v>0</v>
      </c>
      <c r="AM156" s="167">
        <v>0</v>
      </c>
      <c r="AN156" s="167">
        <v>0</v>
      </c>
      <c r="AO156" s="167">
        <v>0</v>
      </c>
      <c r="AP156" s="167">
        <v>0</v>
      </c>
      <c r="AQ156" s="168">
        <f t="shared" si="31"/>
        <v>0</v>
      </c>
      <c r="AR156" s="168">
        <f t="shared" si="32"/>
        <v>52719000</v>
      </c>
      <c r="AS156" s="169">
        <f t="shared" si="33"/>
        <v>0</v>
      </c>
      <c r="AT156" s="236"/>
      <c r="AU156" s="346">
        <v>351</v>
      </c>
      <c r="AV156" s="346">
        <v>299</v>
      </c>
      <c r="AW156" s="345">
        <v>52719000</v>
      </c>
      <c r="AX156" s="345">
        <v>0</v>
      </c>
      <c r="AY156" s="345">
        <v>0</v>
      </c>
      <c r="AZ156" s="345">
        <v>0</v>
      </c>
      <c r="BA156" s="345">
        <v>0</v>
      </c>
      <c r="BB156" s="345">
        <v>0</v>
      </c>
      <c r="BC156" s="237">
        <v>0</v>
      </c>
      <c r="BD156" s="345">
        <v>52719000</v>
      </c>
      <c r="BE156" s="237"/>
      <c r="BF156" s="438"/>
      <c r="BG156" s="443"/>
      <c r="BH156" s="237"/>
      <c r="BI156" s="237"/>
      <c r="BJ156" s="344">
        <f t="shared" si="30"/>
        <v>52719000</v>
      </c>
      <c r="BK156" s="237">
        <f t="shared" si="28"/>
        <v>0</v>
      </c>
      <c r="BL156" s="435">
        <f t="shared" si="29"/>
        <v>1</v>
      </c>
      <c r="BM156" s="192"/>
      <c r="BN156" s="192"/>
      <c r="BO156" s="192"/>
      <c r="BP156" s="192"/>
      <c r="BQ156" s="192"/>
      <c r="BR156" s="192"/>
      <c r="BS156" s="192"/>
      <c r="BT156" s="192"/>
      <c r="BU156" s="192"/>
      <c r="BV156" s="192"/>
      <c r="BW156" s="192"/>
      <c r="BX156" s="192"/>
      <c r="BY156" s="192"/>
      <c r="BZ156" s="192"/>
      <c r="CA156" s="192"/>
      <c r="CB156" s="192"/>
      <c r="CC156" s="192"/>
      <c r="CD156" s="192"/>
    </row>
    <row r="157" spans="1:82" s="25" customFormat="1" x14ac:dyDescent="0.25">
      <c r="A157" s="62">
        <v>133</v>
      </c>
      <c r="B157" s="365" t="s">
        <v>210</v>
      </c>
      <c r="C157" s="62">
        <v>1177</v>
      </c>
      <c r="D157" s="63" t="s">
        <v>208</v>
      </c>
      <c r="E157" s="62">
        <v>2</v>
      </c>
      <c r="F157" s="559"/>
      <c r="G157" s="559"/>
      <c r="H157" s="559"/>
      <c r="I157" s="559"/>
      <c r="J157" s="620"/>
      <c r="K157" s="622"/>
      <c r="L157" s="166"/>
      <c r="M157" s="164"/>
      <c r="N157" s="195"/>
      <c r="O157" s="179"/>
      <c r="P157" s="166"/>
      <c r="Q157" s="180"/>
      <c r="R157" s="180"/>
      <c r="S157" s="166"/>
      <c r="T157" s="189"/>
      <c r="U157" s="199"/>
      <c r="V157" s="166"/>
      <c r="W157" s="189"/>
      <c r="X157" s="173"/>
      <c r="Y157" s="173"/>
      <c r="Z157" s="166"/>
      <c r="AA157" s="174"/>
      <c r="AB157" s="175"/>
      <c r="AC157" s="174"/>
      <c r="AD157" s="175"/>
      <c r="AE157" s="174"/>
      <c r="AF157" s="174"/>
      <c r="AG157" s="174"/>
      <c r="AH157" s="174"/>
      <c r="AI157" s="174"/>
      <c r="AJ157" s="174"/>
      <c r="AK157" s="174"/>
      <c r="AL157" s="174"/>
      <c r="AM157" s="174"/>
      <c r="AN157" s="174"/>
      <c r="AO157" s="174"/>
      <c r="AP157" s="174"/>
      <c r="AQ157" s="168">
        <f t="shared" si="31"/>
        <v>0</v>
      </c>
      <c r="AR157" s="168">
        <f t="shared" si="32"/>
        <v>0</v>
      </c>
      <c r="AS157" s="169" t="e">
        <f t="shared" si="33"/>
        <v>#DIV/0!</v>
      </c>
      <c r="AT157" s="236"/>
      <c r="AU157" s="346"/>
      <c r="AV157" s="346"/>
      <c r="AW157" s="345"/>
      <c r="AX157" s="345"/>
      <c r="AY157" s="345"/>
      <c r="AZ157" s="345"/>
      <c r="BA157" s="237"/>
      <c r="BB157" s="237"/>
      <c r="BC157" s="237"/>
      <c r="BD157" s="237"/>
      <c r="BE157" s="237"/>
      <c r="BF157" s="438"/>
      <c r="BG157" s="443"/>
      <c r="BH157" s="237"/>
      <c r="BI157" s="237"/>
      <c r="BJ157" s="344">
        <f t="shared" si="30"/>
        <v>0</v>
      </c>
      <c r="BK157" s="237">
        <f t="shared" si="28"/>
        <v>0</v>
      </c>
      <c r="BL157" s="435" t="e">
        <f t="shared" si="29"/>
        <v>#DIV/0!</v>
      </c>
      <c r="BM157" s="192"/>
      <c r="BN157" s="192"/>
      <c r="BO157" s="192"/>
      <c r="BP157" s="192"/>
      <c r="BQ157" s="192"/>
      <c r="BR157" s="192"/>
      <c r="BS157" s="192"/>
      <c r="BT157" s="192"/>
      <c r="BU157" s="192"/>
      <c r="BV157" s="192"/>
      <c r="BW157" s="192"/>
      <c r="BX157" s="192"/>
      <c r="BY157" s="192"/>
      <c r="BZ157" s="192"/>
      <c r="CA157" s="192"/>
      <c r="CB157" s="192"/>
      <c r="CC157" s="192"/>
      <c r="CD157" s="192"/>
    </row>
    <row r="158" spans="1:82" s="25" customFormat="1" ht="13.5" customHeight="1" x14ac:dyDescent="0.25">
      <c r="A158" s="62">
        <v>134</v>
      </c>
      <c r="B158" s="365" t="s">
        <v>215</v>
      </c>
      <c r="C158" s="62">
        <v>1177</v>
      </c>
      <c r="D158" s="63" t="s">
        <v>208</v>
      </c>
      <c r="E158" s="62">
        <v>3</v>
      </c>
      <c r="F158" s="584" t="s">
        <v>45</v>
      </c>
      <c r="G158" s="584">
        <v>15</v>
      </c>
      <c r="H158" s="584" t="s">
        <v>217</v>
      </c>
      <c r="I158" s="584" t="s">
        <v>218</v>
      </c>
      <c r="J158" s="619">
        <v>0</v>
      </c>
      <c r="K158" s="621">
        <v>0</v>
      </c>
      <c r="L158" s="164" t="s">
        <v>1032</v>
      </c>
      <c r="M158" s="164" t="s">
        <v>1119</v>
      </c>
      <c r="N158" s="196" t="s">
        <v>115</v>
      </c>
      <c r="O158" s="164" t="s">
        <v>329</v>
      </c>
      <c r="P158" s="164" t="s">
        <v>641</v>
      </c>
      <c r="Q158" s="165" t="s">
        <v>1033</v>
      </c>
      <c r="R158" s="165" t="s">
        <v>1033</v>
      </c>
      <c r="S158" s="233" t="s">
        <v>724</v>
      </c>
      <c r="T158" s="187" t="s">
        <v>1034</v>
      </c>
      <c r="U158" s="193" t="s">
        <v>711</v>
      </c>
      <c r="V158" s="164" t="s">
        <v>712</v>
      </c>
      <c r="W158" s="187">
        <v>900685238</v>
      </c>
      <c r="X158" s="233" t="s">
        <v>1338</v>
      </c>
      <c r="Y158" s="233" t="s">
        <v>483</v>
      </c>
      <c r="Z158" s="164"/>
      <c r="AA158" s="167">
        <v>524</v>
      </c>
      <c r="AB158" s="175"/>
      <c r="AC158" s="167">
        <v>560</v>
      </c>
      <c r="AD158" s="168">
        <v>36091427</v>
      </c>
      <c r="AE158" s="167">
        <v>0</v>
      </c>
      <c r="AF158" s="167">
        <v>0</v>
      </c>
      <c r="AG158" s="167">
        <v>0</v>
      </c>
      <c r="AH158" s="167">
        <v>0</v>
      </c>
      <c r="AI158" s="167">
        <v>0</v>
      </c>
      <c r="AJ158" s="167">
        <v>0</v>
      </c>
      <c r="AK158" s="167">
        <v>0</v>
      </c>
      <c r="AL158" s="167">
        <v>25253518</v>
      </c>
      <c r="AM158" s="167">
        <v>0</v>
      </c>
      <c r="AN158" s="167">
        <v>0</v>
      </c>
      <c r="AO158" s="167">
        <v>0</v>
      </c>
      <c r="AP158" s="167">
        <v>0</v>
      </c>
      <c r="AQ158" s="168">
        <f t="shared" si="31"/>
        <v>25253518</v>
      </c>
      <c r="AR158" s="168">
        <f t="shared" si="32"/>
        <v>10837909</v>
      </c>
      <c r="AS158" s="169">
        <f t="shared" si="33"/>
        <v>0.69970960139647564</v>
      </c>
      <c r="AT158" s="236"/>
      <c r="AU158" s="346">
        <v>166</v>
      </c>
      <c r="AV158" s="346">
        <v>133</v>
      </c>
      <c r="AW158" s="345">
        <v>10837909</v>
      </c>
      <c r="AX158" s="345">
        <v>0</v>
      </c>
      <c r="AY158" s="345">
        <v>0</v>
      </c>
      <c r="AZ158" s="345">
        <v>0</v>
      </c>
      <c r="BA158" s="345">
        <v>0</v>
      </c>
      <c r="BB158" s="345">
        <v>0</v>
      </c>
      <c r="BC158" s="237">
        <v>10837670</v>
      </c>
      <c r="BD158" s="237"/>
      <c r="BE158" s="237"/>
      <c r="BF158" s="438"/>
      <c r="BG158" s="443"/>
      <c r="BH158" s="237"/>
      <c r="BI158" s="237"/>
      <c r="BJ158" s="344">
        <f t="shared" si="30"/>
        <v>10837670</v>
      </c>
      <c r="BK158" s="237">
        <f t="shared" si="28"/>
        <v>239</v>
      </c>
      <c r="BL158" s="435">
        <f t="shared" si="29"/>
        <v>0.99997794777571947</v>
      </c>
      <c r="BM158" s="192"/>
      <c r="BN158" s="192"/>
      <c r="BO158" s="192"/>
      <c r="BP158" s="192"/>
      <c r="BQ158" s="192"/>
      <c r="BR158" s="192"/>
      <c r="BS158" s="192"/>
      <c r="BT158" s="192"/>
      <c r="BU158" s="192"/>
      <c r="BV158" s="192"/>
      <c r="BW158" s="192"/>
      <c r="BX158" s="192"/>
      <c r="BY158" s="192"/>
      <c r="BZ158" s="192"/>
      <c r="CA158" s="192"/>
      <c r="CB158" s="192"/>
      <c r="CC158" s="192"/>
      <c r="CD158" s="192"/>
    </row>
    <row r="159" spans="1:82" s="25" customFormat="1" x14ac:dyDescent="0.25">
      <c r="A159" s="62">
        <v>134</v>
      </c>
      <c r="B159" s="365" t="s">
        <v>215</v>
      </c>
      <c r="C159" s="62">
        <v>1177</v>
      </c>
      <c r="D159" s="63" t="s">
        <v>208</v>
      </c>
      <c r="E159" s="62">
        <v>3</v>
      </c>
      <c r="F159" s="585"/>
      <c r="G159" s="585"/>
      <c r="H159" s="585"/>
      <c r="I159" s="585"/>
      <c r="J159" s="620"/>
      <c r="K159" s="622"/>
      <c r="L159" s="164" t="s">
        <v>713</v>
      </c>
      <c r="M159" s="164" t="s">
        <v>1119</v>
      </c>
      <c r="N159" s="196" t="s">
        <v>115</v>
      </c>
      <c r="O159" s="187" t="s">
        <v>349</v>
      </c>
      <c r="P159" s="164" t="s">
        <v>320</v>
      </c>
      <c r="Q159" s="165" t="s">
        <v>1033</v>
      </c>
      <c r="R159" s="165" t="s">
        <v>1033</v>
      </c>
      <c r="S159" s="233" t="s">
        <v>867</v>
      </c>
      <c r="T159" s="187" t="s">
        <v>714</v>
      </c>
      <c r="U159" s="233" t="s">
        <v>798</v>
      </c>
      <c r="V159" s="164" t="s">
        <v>715</v>
      </c>
      <c r="W159" s="187">
        <v>93200589</v>
      </c>
      <c r="X159" s="166" t="s">
        <v>699</v>
      </c>
      <c r="Y159" s="166" t="s">
        <v>1028</v>
      </c>
      <c r="Z159" s="164"/>
      <c r="AA159" s="167">
        <v>525</v>
      </c>
      <c r="AB159" s="175"/>
      <c r="AC159" s="167">
        <v>561</v>
      </c>
      <c r="AD159" s="168">
        <v>5239333</v>
      </c>
      <c r="AE159" s="167">
        <v>0</v>
      </c>
      <c r="AF159" s="167">
        <v>0</v>
      </c>
      <c r="AG159" s="167">
        <v>0</v>
      </c>
      <c r="AH159" s="167">
        <v>0</v>
      </c>
      <c r="AI159" s="167">
        <v>0</v>
      </c>
      <c r="AJ159" s="167">
        <v>0</v>
      </c>
      <c r="AK159" s="167">
        <v>0</v>
      </c>
      <c r="AL159" s="167">
        <v>0</v>
      </c>
      <c r="AM159" s="167">
        <v>2619666</v>
      </c>
      <c r="AN159" s="167">
        <v>2619666</v>
      </c>
      <c r="AO159" s="167">
        <v>0</v>
      </c>
      <c r="AP159" s="167">
        <v>0</v>
      </c>
      <c r="AQ159" s="168">
        <f t="shared" si="31"/>
        <v>5239332</v>
      </c>
      <c r="AR159" s="168">
        <f t="shared" si="32"/>
        <v>1</v>
      </c>
      <c r="AS159" s="169">
        <f t="shared" si="33"/>
        <v>0.99999980913601028</v>
      </c>
      <c r="AT159" s="236"/>
      <c r="AU159" s="346">
        <v>167</v>
      </c>
      <c r="AV159" s="346">
        <v>134</v>
      </c>
      <c r="AW159" s="345">
        <v>1</v>
      </c>
      <c r="AX159" s="345">
        <v>0</v>
      </c>
      <c r="AY159" s="345">
        <v>0</v>
      </c>
      <c r="AZ159" s="345">
        <v>0</v>
      </c>
      <c r="BA159" s="345">
        <v>0</v>
      </c>
      <c r="BB159" s="345">
        <v>0</v>
      </c>
      <c r="BC159" s="237">
        <v>1</v>
      </c>
      <c r="BD159" s="237"/>
      <c r="BE159" s="237"/>
      <c r="BF159" s="438"/>
      <c r="BG159" s="443"/>
      <c r="BH159" s="237"/>
      <c r="BI159" s="237"/>
      <c r="BJ159" s="344">
        <f t="shared" si="30"/>
        <v>1</v>
      </c>
      <c r="BK159" s="237">
        <f t="shared" si="28"/>
        <v>0</v>
      </c>
      <c r="BL159" s="435">
        <f t="shared" si="29"/>
        <v>1</v>
      </c>
      <c r="BM159" s="192"/>
      <c r="BN159" s="192"/>
      <c r="BO159" s="192"/>
      <c r="BP159" s="192"/>
      <c r="BQ159" s="192"/>
      <c r="BR159" s="192"/>
      <c r="BS159" s="192"/>
      <c r="BT159" s="192"/>
      <c r="BU159" s="192"/>
      <c r="BV159" s="192"/>
      <c r="BW159" s="192"/>
      <c r="BX159" s="192"/>
      <c r="BY159" s="192"/>
      <c r="BZ159" s="192"/>
      <c r="CA159" s="192"/>
      <c r="CB159" s="192"/>
      <c r="CC159" s="192"/>
      <c r="CD159" s="192"/>
    </row>
    <row r="160" spans="1:82" s="25" customFormat="1" x14ac:dyDescent="0.25">
      <c r="A160" s="62">
        <v>134</v>
      </c>
      <c r="B160" s="365" t="s">
        <v>215</v>
      </c>
      <c r="C160" s="62">
        <v>1177</v>
      </c>
      <c r="D160" s="63" t="s">
        <v>208</v>
      </c>
      <c r="E160" s="62">
        <v>3</v>
      </c>
      <c r="F160" s="585"/>
      <c r="G160" s="585"/>
      <c r="H160" s="585"/>
      <c r="I160" s="585"/>
      <c r="J160" s="620"/>
      <c r="K160" s="622"/>
      <c r="L160" s="164" t="s">
        <v>1035</v>
      </c>
      <c r="M160" s="164" t="s">
        <v>1119</v>
      </c>
      <c r="N160" s="195" t="s">
        <v>115</v>
      </c>
      <c r="O160" s="254" t="s">
        <v>329</v>
      </c>
      <c r="P160" s="254" t="s">
        <v>320</v>
      </c>
      <c r="Q160" s="165">
        <v>41772</v>
      </c>
      <c r="R160" s="180" t="s">
        <v>914</v>
      </c>
      <c r="S160" s="188" t="s">
        <v>395</v>
      </c>
      <c r="T160" s="188" t="s">
        <v>757</v>
      </c>
      <c r="U160" s="188" t="s">
        <v>842</v>
      </c>
      <c r="V160" s="188" t="s">
        <v>759</v>
      </c>
      <c r="W160" s="233"/>
      <c r="X160" s="188" t="s">
        <v>90</v>
      </c>
      <c r="Y160" s="188" t="s">
        <v>875</v>
      </c>
      <c r="Z160" s="254"/>
      <c r="AA160" s="167">
        <v>526</v>
      </c>
      <c r="AB160" s="175"/>
      <c r="AC160" s="167">
        <v>527</v>
      </c>
      <c r="AD160" s="168">
        <v>2750000</v>
      </c>
      <c r="AE160" s="167">
        <v>0</v>
      </c>
      <c r="AF160" s="167">
        <v>0</v>
      </c>
      <c r="AG160" s="167">
        <v>0</v>
      </c>
      <c r="AH160" s="167">
        <v>0</v>
      </c>
      <c r="AI160" s="167">
        <v>0</v>
      </c>
      <c r="AJ160" s="167">
        <v>0</v>
      </c>
      <c r="AK160" s="167">
        <v>0</v>
      </c>
      <c r="AL160" s="167">
        <v>0</v>
      </c>
      <c r="AM160" s="167">
        <v>0</v>
      </c>
      <c r="AN160" s="167">
        <v>0</v>
      </c>
      <c r="AO160" s="167">
        <v>0</v>
      </c>
      <c r="AP160" s="167">
        <v>0</v>
      </c>
      <c r="AQ160" s="168">
        <f t="shared" si="31"/>
        <v>0</v>
      </c>
      <c r="AR160" s="168">
        <f t="shared" si="32"/>
        <v>2750000</v>
      </c>
      <c r="AS160" s="169">
        <f t="shared" si="33"/>
        <v>0</v>
      </c>
      <c r="AT160" s="236"/>
      <c r="AU160" s="346">
        <v>145</v>
      </c>
      <c r="AV160" s="346">
        <v>117</v>
      </c>
      <c r="AW160" s="345">
        <v>2750000</v>
      </c>
      <c r="AX160" s="345">
        <v>0</v>
      </c>
      <c r="AY160" s="345">
        <v>0</v>
      </c>
      <c r="AZ160" s="345">
        <v>0</v>
      </c>
      <c r="BA160" s="345">
        <v>0</v>
      </c>
      <c r="BB160" s="345">
        <v>0</v>
      </c>
      <c r="BC160" s="237">
        <v>0</v>
      </c>
      <c r="BD160" s="237"/>
      <c r="BE160" s="237"/>
      <c r="BF160" s="438"/>
      <c r="BG160" s="443"/>
      <c r="BH160" s="237"/>
      <c r="BI160" s="237">
        <v>2750000</v>
      </c>
      <c r="BJ160" s="344">
        <f t="shared" si="30"/>
        <v>2750000</v>
      </c>
      <c r="BK160" s="237">
        <f t="shared" ref="BK160:BK191" si="34">+AW160-BJ160</f>
        <v>0</v>
      </c>
      <c r="BL160" s="435">
        <f t="shared" ref="BL160:BL191" si="35">+BJ160/AW160</f>
        <v>1</v>
      </c>
      <c r="BM160" s="192"/>
      <c r="BN160" s="192"/>
      <c r="BO160" s="192"/>
      <c r="BP160" s="192"/>
      <c r="BQ160" s="192"/>
      <c r="BR160" s="192"/>
      <c r="BS160" s="192"/>
      <c r="BT160" s="192"/>
      <c r="BU160" s="192"/>
      <c r="BV160" s="192"/>
      <c r="BW160" s="192"/>
      <c r="BX160" s="192"/>
      <c r="BY160" s="192"/>
      <c r="BZ160" s="192"/>
      <c r="CA160" s="192"/>
      <c r="CB160" s="192"/>
      <c r="CC160" s="192"/>
      <c r="CD160" s="192"/>
    </row>
    <row r="161" spans="1:82" s="25" customFormat="1" x14ac:dyDescent="0.25">
      <c r="A161" s="62">
        <v>134</v>
      </c>
      <c r="B161" s="365" t="s">
        <v>215</v>
      </c>
      <c r="C161" s="62">
        <v>1177</v>
      </c>
      <c r="D161" s="63" t="s">
        <v>208</v>
      </c>
      <c r="E161" s="62">
        <v>3</v>
      </c>
      <c r="F161" s="585"/>
      <c r="G161" s="585"/>
      <c r="H161" s="585"/>
      <c r="I161" s="585"/>
      <c r="J161" s="620"/>
      <c r="K161" s="622"/>
      <c r="L161" s="164" t="s">
        <v>1036</v>
      </c>
      <c r="M161" s="164" t="s">
        <v>1119</v>
      </c>
      <c r="N161" s="195" t="s">
        <v>115</v>
      </c>
      <c r="O161" s="254" t="s">
        <v>329</v>
      </c>
      <c r="P161" s="254" t="s">
        <v>641</v>
      </c>
      <c r="Q161" s="233">
        <v>41997</v>
      </c>
      <c r="R161" s="268">
        <v>42011</v>
      </c>
      <c r="S161" s="233" t="s">
        <v>724</v>
      </c>
      <c r="T161" s="188" t="s">
        <v>1037</v>
      </c>
      <c r="U161" s="233" t="s">
        <v>1287</v>
      </c>
      <c r="V161" s="188" t="s">
        <v>1038</v>
      </c>
      <c r="W161" s="187">
        <v>19055241</v>
      </c>
      <c r="X161" s="188" t="s">
        <v>90</v>
      </c>
      <c r="Y161" s="188" t="s">
        <v>875</v>
      </c>
      <c r="Z161" s="254"/>
      <c r="AA161" s="167">
        <v>840</v>
      </c>
      <c r="AB161" s="173"/>
      <c r="AC161" s="167">
        <v>985</v>
      </c>
      <c r="AD161" s="168">
        <v>92000000</v>
      </c>
      <c r="AE161" s="167"/>
      <c r="AF161" s="167"/>
      <c r="AG161" s="167"/>
      <c r="AH161" s="167"/>
      <c r="AI161" s="167"/>
      <c r="AJ161" s="167"/>
      <c r="AK161" s="167"/>
      <c r="AL161" s="167"/>
      <c r="AM161" s="167"/>
      <c r="AN161" s="167">
        <v>0</v>
      </c>
      <c r="AO161" s="167">
        <v>0</v>
      </c>
      <c r="AP161" s="167">
        <v>0</v>
      </c>
      <c r="AQ161" s="168">
        <f t="shared" si="31"/>
        <v>0</v>
      </c>
      <c r="AR161" s="168">
        <f t="shared" si="32"/>
        <v>92000000</v>
      </c>
      <c r="AS161" s="169">
        <f t="shared" si="33"/>
        <v>0</v>
      </c>
      <c r="AT161" s="236"/>
      <c r="AU161" s="346">
        <v>334</v>
      </c>
      <c r="AV161" s="346">
        <v>282</v>
      </c>
      <c r="AW161" s="345">
        <v>92000000</v>
      </c>
      <c r="AX161" s="345">
        <v>36800000</v>
      </c>
      <c r="AY161" s="345">
        <v>0</v>
      </c>
      <c r="AZ161" s="345">
        <v>44045900</v>
      </c>
      <c r="BA161" s="345">
        <v>0</v>
      </c>
      <c r="BB161" s="345">
        <v>0</v>
      </c>
      <c r="BC161" s="237">
        <v>0</v>
      </c>
      <c r="BD161" s="237"/>
      <c r="BE161" s="345">
        <v>11154100</v>
      </c>
      <c r="BF161" s="438"/>
      <c r="BG161" s="443"/>
      <c r="BH161" s="237"/>
      <c r="BI161" s="237"/>
      <c r="BJ161" s="344">
        <f t="shared" si="30"/>
        <v>92000000</v>
      </c>
      <c r="BK161" s="237">
        <f t="shared" si="34"/>
        <v>0</v>
      </c>
      <c r="BL161" s="435">
        <f t="shared" si="35"/>
        <v>1</v>
      </c>
      <c r="BM161" s="192"/>
      <c r="BN161" s="192"/>
      <c r="BO161" s="192"/>
      <c r="BP161" s="192"/>
      <c r="BQ161" s="192"/>
      <c r="BR161" s="192"/>
      <c r="BS161" s="192"/>
      <c r="BT161" s="192"/>
      <c r="BU161" s="192"/>
      <c r="BV161" s="192"/>
      <c r="BW161" s="192"/>
      <c r="BX161" s="192"/>
      <c r="BY161" s="192"/>
      <c r="BZ161" s="192"/>
      <c r="CA161" s="192"/>
      <c r="CB161" s="192"/>
      <c r="CC161" s="192"/>
      <c r="CD161" s="192"/>
    </row>
    <row r="162" spans="1:82" s="25" customFormat="1" x14ac:dyDescent="0.25">
      <c r="A162" s="62">
        <v>134</v>
      </c>
      <c r="B162" s="365" t="s">
        <v>215</v>
      </c>
      <c r="C162" s="62">
        <v>1177</v>
      </c>
      <c r="D162" s="63" t="s">
        <v>208</v>
      </c>
      <c r="E162" s="62">
        <v>3</v>
      </c>
      <c r="F162" s="585"/>
      <c r="G162" s="585"/>
      <c r="H162" s="585"/>
      <c r="I162" s="585"/>
      <c r="J162" s="620"/>
      <c r="K162" s="622"/>
      <c r="L162" s="164" t="s">
        <v>1039</v>
      </c>
      <c r="M162" s="164" t="s">
        <v>1119</v>
      </c>
      <c r="N162" s="195" t="s">
        <v>115</v>
      </c>
      <c r="O162" s="233" t="s">
        <v>1339</v>
      </c>
      <c r="P162" s="254" t="s">
        <v>320</v>
      </c>
      <c r="Q162" s="233">
        <v>42361</v>
      </c>
      <c r="R162" s="268">
        <v>42011</v>
      </c>
      <c r="S162" s="233" t="s">
        <v>512</v>
      </c>
      <c r="T162" s="188" t="s">
        <v>1040</v>
      </c>
      <c r="U162" s="233" t="s">
        <v>798</v>
      </c>
      <c r="V162" s="188" t="s">
        <v>715</v>
      </c>
      <c r="W162" s="187">
        <v>93200589</v>
      </c>
      <c r="X162" s="166" t="s">
        <v>699</v>
      </c>
      <c r="Y162" s="166" t="s">
        <v>1028</v>
      </c>
      <c r="Z162" s="254"/>
      <c r="AA162" s="167">
        <v>854</v>
      </c>
      <c r="AB162" s="173"/>
      <c r="AC162" s="167">
        <v>995</v>
      </c>
      <c r="AD162" s="168">
        <v>7950000</v>
      </c>
      <c r="AE162" s="167"/>
      <c r="AF162" s="167"/>
      <c r="AG162" s="167"/>
      <c r="AH162" s="167"/>
      <c r="AI162" s="167"/>
      <c r="AJ162" s="167"/>
      <c r="AK162" s="167"/>
      <c r="AL162" s="167"/>
      <c r="AM162" s="167"/>
      <c r="AN162" s="167">
        <v>0</v>
      </c>
      <c r="AO162" s="167">
        <v>0</v>
      </c>
      <c r="AP162" s="167">
        <v>0</v>
      </c>
      <c r="AQ162" s="168">
        <f t="shared" si="31"/>
        <v>0</v>
      </c>
      <c r="AR162" s="168">
        <f t="shared" si="32"/>
        <v>7950000</v>
      </c>
      <c r="AS162" s="169">
        <f t="shared" si="33"/>
        <v>0</v>
      </c>
      <c r="AT162" s="236"/>
      <c r="AU162" s="346">
        <v>339</v>
      </c>
      <c r="AV162" s="346">
        <v>287</v>
      </c>
      <c r="AW162" s="345">
        <v>7950000</v>
      </c>
      <c r="AX162" s="345">
        <v>0</v>
      </c>
      <c r="AY162" s="345">
        <v>0</v>
      </c>
      <c r="AZ162" s="345">
        <v>1987500</v>
      </c>
      <c r="BA162" s="345">
        <v>1987500</v>
      </c>
      <c r="BB162" s="345">
        <v>0</v>
      </c>
      <c r="BC162" s="237">
        <v>0</v>
      </c>
      <c r="BD162" s="345">
        <v>1987500</v>
      </c>
      <c r="BE162" s="345">
        <v>1987500</v>
      </c>
      <c r="BF162" s="438"/>
      <c r="BG162" s="443"/>
      <c r="BH162" s="237"/>
      <c r="BI162" s="237"/>
      <c r="BJ162" s="344">
        <f t="shared" si="30"/>
        <v>7950000</v>
      </c>
      <c r="BK162" s="237">
        <f t="shared" si="34"/>
        <v>0</v>
      </c>
      <c r="BL162" s="435">
        <f t="shared" si="35"/>
        <v>1</v>
      </c>
      <c r="BM162" s="192"/>
      <c r="BN162" s="192"/>
      <c r="BO162" s="192"/>
      <c r="BP162" s="192"/>
      <c r="BQ162" s="192"/>
      <c r="BR162" s="192"/>
      <c r="BS162" s="192"/>
      <c r="BT162" s="192"/>
      <c r="BU162" s="192"/>
      <c r="BV162" s="192"/>
      <c r="BW162" s="192"/>
      <c r="BX162" s="192"/>
      <c r="BY162" s="192"/>
      <c r="BZ162" s="192"/>
      <c r="CA162" s="192"/>
      <c r="CB162" s="192"/>
      <c r="CC162" s="192"/>
      <c r="CD162" s="192"/>
    </row>
    <row r="163" spans="1:82" s="25" customFormat="1" x14ac:dyDescent="0.25">
      <c r="A163" s="62">
        <v>134</v>
      </c>
      <c r="B163" s="365" t="s">
        <v>215</v>
      </c>
      <c r="C163" s="62">
        <v>1177</v>
      </c>
      <c r="D163" s="63" t="s">
        <v>208</v>
      </c>
      <c r="E163" s="62">
        <v>3</v>
      </c>
      <c r="F163" s="585"/>
      <c r="G163" s="585"/>
      <c r="H163" s="585"/>
      <c r="I163" s="585"/>
      <c r="J163" s="620"/>
      <c r="K163" s="622"/>
      <c r="L163" s="164" t="s">
        <v>1041</v>
      </c>
      <c r="M163" s="164" t="s">
        <v>1119</v>
      </c>
      <c r="N163" s="195" t="s">
        <v>115</v>
      </c>
      <c r="O163" s="233" t="s">
        <v>1340</v>
      </c>
      <c r="P163" s="254" t="s">
        <v>309</v>
      </c>
      <c r="Q163" s="233">
        <v>41996</v>
      </c>
      <c r="R163" s="268"/>
      <c r="S163" s="233" t="s">
        <v>310</v>
      </c>
      <c r="T163" s="188" t="s">
        <v>1042</v>
      </c>
      <c r="U163" s="233" t="s">
        <v>1341</v>
      </c>
      <c r="V163" s="188" t="s">
        <v>1043</v>
      </c>
      <c r="W163" s="187">
        <v>860003735</v>
      </c>
      <c r="X163" s="166" t="s">
        <v>1342</v>
      </c>
      <c r="Y163" s="233" t="s">
        <v>1299</v>
      </c>
      <c r="Z163" s="254"/>
      <c r="AA163" s="167">
        <v>814</v>
      </c>
      <c r="AB163" s="175"/>
      <c r="AC163" s="167">
        <v>982</v>
      </c>
      <c r="AD163" s="168">
        <v>97019326</v>
      </c>
      <c r="AE163" s="167"/>
      <c r="AF163" s="167"/>
      <c r="AG163" s="167"/>
      <c r="AH163" s="167"/>
      <c r="AI163" s="167"/>
      <c r="AJ163" s="167"/>
      <c r="AK163" s="167"/>
      <c r="AL163" s="167"/>
      <c r="AM163" s="167"/>
      <c r="AN163" s="167">
        <v>0</v>
      </c>
      <c r="AO163" s="167">
        <v>0</v>
      </c>
      <c r="AP163" s="167">
        <v>0</v>
      </c>
      <c r="AQ163" s="168">
        <f t="shared" si="31"/>
        <v>0</v>
      </c>
      <c r="AR163" s="168">
        <f t="shared" si="32"/>
        <v>97019326</v>
      </c>
      <c r="AS163" s="169">
        <f t="shared" si="33"/>
        <v>0</v>
      </c>
      <c r="AT163" s="236"/>
      <c r="AU163" s="346">
        <v>331</v>
      </c>
      <c r="AV163" s="346">
        <v>279</v>
      </c>
      <c r="AW163" s="345">
        <v>97019326</v>
      </c>
      <c r="AX163" s="345">
        <v>0</v>
      </c>
      <c r="AY163" s="345">
        <v>0</v>
      </c>
      <c r="AZ163" s="345">
        <v>0</v>
      </c>
      <c r="BA163" s="345">
        <v>0</v>
      </c>
      <c r="BB163" s="345">
        <v>0</v>
      </c>
      <c r="BC163" s="345">
        <v>97019326</v>
      </c>
      <c r="BD163" s="237"/>
      <c r="BE163" s="237"/>
      <c r="BF163" s="438"/>
      <c r="BG163" s="443"/>
      <c r="BH163" s="237"/>
      <c r="BI163" s="237"/>
      <c r="BJ163" s="344">
        <f t="shared" si="30"/>
        <v>97019326</v>
      </c>
      <c r="BK163" s="237">
        <f t="shared" si="34"/>
        <v>0</v>
      </c>
      <c r="BL163" s="435">
        <f t="shared" si="35"/>
        <v>1</v>
      </c>
      <c r="BM163" s="192"/>
      <c r="BN163" s="192"/>
      <c r="BO163" s="192"/>
      <c r="BP163" s="192"/>
      <c r="BQ163" s="192"/>
      <c r="BR163" s="192"/>
      <c r="BS163" s="192"/>
      <c r="BT163" s="192"/>
      <c r="BU163" s="192"/>
      <c r="BV163" s="192"/>
      <c r="BW163" s="192"/>
      <c r="BX163" s="192"/>
      <c r="BY163" s="192"/>
      <c r="BZ163" s="192"/>
      <c r="CA163" s="192"/>
      <c r="CB163" s="192"/>
      <c r="CC163" s="192"/>
      <c r="CD163" s="192"/>
    </row>
    <row r="164" spans="1:82" s="25" customFormat="1" x14ac:dyDescent="0.25">
      <c r="A164" s="62">
        <v>135</v>
      </c>
      <c r="B164" s="365" t="s">
        <v>220</v>
      </c>
      <c r="C164" s="62">
        <v>1178</v>
      </c>
      <c r="D164" s="63" t="s">
        <v>222</v>
      </c>
      <c r="E164" s="62">
        <v>1</v>
      </c>
      <c r="F164" s="559" t="s">
        <v>53</v>
      </c>
      <c r="G164" s="559">
        <v>400</v>
      </c>
      <c r="H164" s="559" t="s">
        <v>61</v>
      </c>
      <c r="I164" s="559" t="s">
        <v>223</v>
      </c>
      <c r="J164" s="619">
        <v>0</v>
      </c>
      <c r="K164" s="621">
        <v>0</v>
      </c>
      <c r="L164" s="164"/>
      <c r="M164" s="164"/>
      <c r="N164" s="164"/>
      <c r="O164" s="164"/>
      <c r="P164" s="164"/>
      <c r="Q164" s="165"/>
      <c r="R164" s="165"/>
      <c r="S164" s="164"/>
      <c r="T164" s="164"/>
      <c r="U164" s="164"/>
      <c r="V164" s="164"/>
      <c r="W164" s="164"/>
      <c r="X164" s="164"/>
      <c r="Y164" s="164"/>
      <c r="Z164" s="164"/>
      <c r="AA164" s="167"/>
      <c r="AB164" s="175"/>
      <c r="AC164" s="167"/>
      <c r="AD164" s="168"/>
      <c r="AE164" s="167"/>
      <c r="AF164" s="167"/>
      <c r="AG164" s="167"/>
      <c r="AH164" s="167"/>
      <c r="AI164" s="167">
        <v>0</v>
      </c>
      <c r="AJ164" s="167">
        <v>0</v>
      </c>
      <c r="AK164" s="167">
        <v>0</v>
      </c>
      <c r="AL164" s="167">
        <v>0</v>
      </c>
      <c r="AM164" s="167">
        <v>0</v>
      </c>
      <c r="AN164" s="167">
        <v>0</v>
      </c>
      <c r="AO164" s="167">
        <v>0</v>
      </c>
      <c r="AP164" s="167">
        <v>0</v>
      </c>
      <c r="AQ164" s="168">
        <f t="shared" si="31"/>
        <v>0</v>
      </c>
      <c r="AR164" s="168">
        <f t="shared" si="32"/>
        <v>0</v>
      </c>
      <c r="AS164" s="169" t="e">
        <f t="shared" si="33"/>
        <v>#DIV/0!</v>
      </c>
      <c r="AT164" s="236"/>
      <c r="AU164" s="346"/>
      <c r="AV164" s="346"/>
      <c r="AW164" s="345"/>
      <c r="AX164" s="345"/>
      <c r="AY164" s="345"/>
      <c r="AZ164" s="345"/>
      <c r="BA164" s="237"/>
      <c r="BB164" s="237"/>
      <c r="BC164" s="237"/>
      <c r="BD164" s="237"/>
      <c r="BE164" s="237"/>
      <c r="BF164" s="438"/>
      <c r="BG164" s="443"/>
      <c r="BH164" s="237"/>
      <c r="BI164" s="237"/>
      <c r="BJ164" s="344">
        <f t="shared" si="30"/>
        <v>0</v>
      </c>
      <c r="BK164" s="237">
        <f t="shared" si="34"/>
        <v>0</v>
      </c>
      <c r="BL164" s="435" t="e">
        <f t="shared" si="35"/>
        <v>#DIV/0!</v>
      </c>
      <c r="BM164" s="192"/>
      <c r="BN164" s="192"/>
      <c r="BO164" s="192"/>
      <c r="BP164" s="192"/>
      <c r="BQ164" s="192"/>
      <c r="BR164" s="192"/>
      <c r="BS164" s="192"/>
      <c r="BT164" s="192"/>
      <c r="BU164" s="192"/>
      <c r="BV164" s="192"/>
      <c r="BW164" s="192"/>
      <c r="BX164" s="192"/>
      <c r="BY164" s="192"/>
      <c r="BZ164" s="192"/>
      <c r="CA164" s="192"/>
      <c r="CB164" s="192"/>
      <c r="CC164" s="192"/>
      <c r="CD164" s="192"/>
    </row>
    <row r="165" spans="1:82" s="25" customFormat="1" x14ac:dyDescent="0.25">
      <c r="A165" s="62">
        <v>135</v>
      </c>
      <c r="B165" s="365" t="s">
        <v>220</v>
      </c>
      <c r="C165" s="62">
        <v>1178</v>
      </c>
      <c r="D165" s="63" t="s">
        <v>222</v>
      </c>
      <c r="E165" s="62">
        <v>1</v>
      </c>
      <c r="F165" s="559"/>
      <c r="G165" s="559"/>
      <c r="H165" s="559"/>
      <c r="I165" s="559"/>
      <c r="J165" s="620"/>
      <c r="K165" s="622"/>
      <c r="L165" s="164"/>
      <c r="M165" s="164"/>
      <c r="N165" s="164"/>
      <c r="O165" s="164"/>
      <c r="P165" s="164"/>
      <c r="Q165" s="165"/>
      <c r="R165" s="165"/>
      <c r="S165" s="164"/>
      <c r="T165" s="164"/>
      <c r="U165" s="164"/>
      <c r="V165" s="164"/>
      <c r="W165" s="164"/>
      <c r="X165" s="164"/>
      <c r="Y165" s="164"/>
      <c r="Z165" s="164"/>
      <c r="AA165" s="167"/>
      <c r="AB165" s="175"/>
      <c r="AC165" s="167"/>
      <c r="AD165" s="168"/>
      <c r="AE165" s="167"/>
      <c r="AF165" s="167"/>
      <c r="AG165" s="167"/>
      <c r="AH165" s="167"/>
      <c r="AI165" s="167">
        <v>0</v>
      </c>
      <c r="AJ165" s="167">
        <v>0</v>
      </c>
      <c r="AK165" s="167">
        <v>0</v>
      </c>
      <c r="AL165" s="167">
        <v>0</v>
      </c>
      <c r="AM165" s="167">
        <v>0</v>
      </c>
      <c r="AN165" s="167">
        <v>0</v>
      </c>
      <c r="AO165" s="167">
        <v>0</v>
      </c>
      <c r="AP165" s="167">
        <v>0</v>
      </c>
      <c r="AQ165" s="168">
        <f t="shared" si="31"/>
        <v>0</v>
      </c>
      <c r="AR165" s="168">
        <f t="shared" si="32"/>
        <v>0</v>
      </c>
      <c r="AS165" s="169" t="e">
        <f t="shared" si="33"/>
        <v>#DIV/0!</v>
      </c>
      <c r="AT165" s="236"/>
      <c r="AU165" s="346"/>
      <c r="AV165" s="346"/>
      <c r="AW165" s="345"/>
      <c r="AX165" s="345"/>
      <c r="AY165" s="345"/>
      <c r="AZ165" s="345"/>
      <c r="BA165" s="237"/>
      <c r="BB165" s="237"/>
      <c r="BC165" s="237"/>
      <c r="BD165" s="237"/>
      <c r="BE165" s="237"/>
      <c r="BF165" s="438"/>
      <c r="BG165" s="443"/>
      <c r="BH165" s="237"/>
      <c r="BI165" s="237"/>
      <c r="BJ165" s="344">
        <f t="shared" si="30"/>
        <v>0</v>
      </c>
      <c r="BK165" s="237">
        <f t="shared" si="34"/>
        <v>0</v>
      </c>
      <c r="BL165" s="435" t="e">
        <f t="shared" si="35"/>
        <v>#DIV/0!</v>
      </c>
      <c r="BM165" s="192"/>
      <c r="BN165" s="192"/>
      <c r="BO165" s="192"/>
      <c r="BP165" s="192"/>
      <c r="BQ165" s="192"/>
      <c r="BR165" s="192"/>
      <c r="BS165" s="192"/>
      <c r="BT165" s="192"/>
      <c r="BU165" s="192"/>
      <c r="BV165" s="192"/>
      <c r="BW165" s="192"/>
      <c r="BX165" s="192"/>
      <c r="BY165" s="192"/>
      <c r="BZ165" s="192"/>
      <c r="CA165" s="192"/>
      <c r="CB165" s="192"/>
      <c r="CC165" s="192"/>
      <c r="CD165" s="192"/>
    </row>
    <row r="166" spans="1:82" s="25" customFormat="1" x14ac:dyDescent="0.25">
      <c r="A166" s="62">
        <v>135</v>
      </c>
      <c r="B166" s="365" t="s">
        <v>220</v>
      </c>
      <c r="C166" s="62">
        <v>1178</v>
      </c>
      <c r="D166" s="63" t="s">
        <v>222</v>
      </c>
      <c r="E166" s="62">
        <v>1</v>
      </c>
      <c r="F166" s="559"/>
      <c r="G166" s="559"/>
      <c r="H166" s="559"/>
      <c r="I166" s="559"/>
      <c r="J166" s="620"/>
      <c r="K166" s="622"/>
      <c r="L166" s="164"/>
      <c r="M166" s="164"/>
      <c r="N166" s="164"/>
      <c r="O166" s="164"/>
      <c r="P166" s="164"/>
      <c r="Q166" s="165"/>
      <c r="R166" s="165"/>
      <c r="S166" s="164"/>
      <c r="T166" s="164"/>
      <c r="U166" s="164"/>
      <c r="V166" s="164"/>
      <c r="W166" s="164"/>
      <c r="X166" s="164"/>
      <c r="Y166" s="164"/>
      <c r="Z166" s="164"/>
      <c r="AA166" s="167"/>
      <c r="AB166" s="175"/>
      <c r="AC166" s="167"/>
      <c r="AD166" s="168"/>
      <c r="AE166" s="167"/>
      <c r="AF166" s="167"/>
      <c r="AG166" s="167"/>
      <c r="AH166" s="167"/>
      <c r="AI166" s="167">
        <v>0</v>
      </c>
      <c r="AJ166" s="167">
        <v>0</v>
      </c>
      <c r="AK166" s="167">
        <v>0</v>
      </c>
      <c r="AL166" s="167">
        <v>0</v>
      </c>
      <c r="AM166" s="167">
        <v>0</v>
      </c>
      <c r="AN166" s="167">
        <v>0</v>
      </c>
      <c r="AO166" s="167">
        <v>0</v>
      </c>
      <c r="AP166" s="167">
        <v>0</v>
      </c>
      <c r="AQ166" s="168">
        <f t="shared" si="31"/>
        <v>0</v>
      </c>
      <c r="AR166" s="168">
        <f t="shared" si="32"/>
        <v>0</v>
      </c>
      <c r="AS166" s="169" t="e">
        <f t="shared" si="33"/>
        <v>#DIV/0!</v>
      </c>
      <c r="AT166" s="236"/>
      <c r="AU166" s="346"/>
      <c r="AV166" s="346"/>
      <c r="AW166" s="345"/>
      <c r="AX166" s="345"/>
      <c r="AY166" s="345"/>
      <c r="AZ166" s="345"/>
      <c r="BA166" s="237"/>
      <c r="BB166" s="237"/>
      <c r="BC166" s="237"/>
      <c r="BD166" s="237"/>
      <c r="BE166" s="237"/>
      <c r="BF166" s="438"/>
      <c r="BG166" s="443"/>
      <c r="BH166" s="237"/>
      <c r="BI166" s="237"/>
      <c r="BJ166" s="344">
        <f t="shared" si="30"/>
        <v>0</v>
      </c>
      <c r="BK166" s="237">
        <f t="shared" si="34"/>
        <v>0</v>
      </c>
      <c r="BL166" s="435" t="e">
        <f t="shared" si="35"/>
        <v>#DIV/0!</v>
      </c>
      <c r="BM166" s="192"/>
      <c r="BN166" s="192"/>
      <c r="BO166" s="192"/>
      <c r="BP166" s="192"/>
      <c r="BQ166" s="192"/>
      <c r="BR166" s="192"/>
      <c r="BS166" s="192"/>
      <c r="BT166" s="192"/>
      <c r="BU166" s="192"/>
      <c r="BV166" s="192"/>
      <c r="BW166" s="192"/>
      <c r="BX166" s="192"/>
      <c r="BY166" s="192"/>
      <c r="BZ166" s="192"/>
      <c r="CA166" s="192"/>
      <c r="CB166" s="192"/>
      <c r="CC166" s="192"/>
      <c r="CD166" s="192"/>
    </row>
    <row r="167" spans="1:82" s="25" customFormat="1" x14ac:dyDescent="0.25">
      <c r="A167" s="62">
        <v>136</v>
      </c>
      <c r="B167" s="365" t="s">
        <v>226</v>
      </c>
      <c r="C167" s="62">
        <v>1167</v>
      </c>
      <c r="D167" s="63" t="s">
        <v>228</v>
      </c>
      <c r="E167" s="62">
        <v>1</v>
      </c>
      <c r="F167" s="559" t="s">
        <v>53</v>
      </c>
      <c r="G167" s="559">
        <v>800</v>
      </c>
      <c r="H167" s="559" t="s">
        <v>61</v>
      </c>
      <c r="I167" s="584" t="s">
        <v>229</v>
      </c>
      <c r="J167" s="619">
        <v>0</v>
      </c>
      <c r="K167" s="621">
        <v>0</v>
      </c>
      <c r="L167" s="164" t="s">
        <v>1044</v>
      </c>
      <c r="M167" s="164" t="s">
        <v>1119</v>
      </c>
      <c r="N167" s="164" t="s">
        <v>115</v>
      </c>
      <c r="O167" s="255" t="s">
        <v>793</v>
      </c>
      <c r="P167" s="164" t="s">
        <v>400</v>
      </c>
      <c r="Q167" s="255">
        <v>41984</v>
      </c>
      <c r="R167" s="255"/>
      <c r="S167" s="255" t="s">
        <v>1343</v>
      </c>
      <c r="T167" s="187" t="s">
        <v>1045</v>
      </c>
      <c r="U167" s="255" t="s">
        <v>1287</v>
      </c>
      <c r="V167" s="164" t="s">
        <v>487</v>
      </c>
      <c r="W167" s="166" t="s">
        <v>1057</v>
      </c>
      <c r="X167" s="269">
        <v>200</v>
      </c>
      <c r="Y167" s="255" t="s">
        <v>808</v>
      </c>
      <c r="Z167" s="164"/>
      <c r="AA167" s="167">
        <v>836</v>
      </c>
      <c r="AB167" s="173"/>
      <c r="AC167" s="167">
        <v>958</v>
      </c>
      <c r="AD167" s="198">
        <v>182762000</v>
      </c>
      <c r="AE167" s="167">
        <v>0</v>
      </c>
      <c r="AF167" s="237"/>
      <c r="AG167" s="237"/>
      <c r="AH167" s="237"/>
      <c r="AI167" s="237"/>
      <c r="AJ167" s="237"/>
      <c r="AK167" s="237"/>
      <c r="AL167" s="237"/>
      <c r="AM167" s="237"/>
      <c r="AN167" s="167">
        <v>0</v>
      </c>
      <c r="AO167" s="167">
        <v>0</v>
      </c>
      <c r="AP167" s="167">
        <v>0</v>
      </c>
      <c r="AQ167" s="168">
        <f t="shared" si="31"/>
        <v>0</v>
      </c>
      <c r="AR167" s="168">
        <f t="shared" si="32"/>
        <v>182762000</v>
      </c>
      <c r="AS167" s="169">
        <f t="shared" si="33"/>
        <v>0</v>
      </c>
      <c r="AT167" s="236"/>
      <c r="AU167" s="346">
        <v>325</v>
      </c>
      <c r="AV167" s="346">
        <v>380</v>
      </c>
      <c r="AW167" s="345">
        <v>182762000</v>
      </c>
      <c r="AX167" s="345">
        <v>0</v>
      </c>
      <c r="AY167" s="345">
        <v>0</v>
      </c>
      <c r="AZ167" s="345">
        <v>0</v>
      </c>
      <c r="BA167" s="237">
        <v>0</v>
      </c>
      <c r="BB167" s="237">
        <v>0</v>
      </c>
      <c r="BC167" s="237">
        <v>0</v>
      </c>
      <c r="BD167" s="237"/>
      <c r="BE167" s="237"/>
      <c r="BF167" s="438"/>
      <c r="BG167" s="443"/>
      <c r="BH167" s="237"/>
      <c r="BI167" s="237"/>
      <c r="BJ167" s="344">
        <f t="shared" si="30"/>
        <v>0</v>
      </c>
      <c r="BK167" s="237">
        <f t="shared" si="34"/>
        <v>182762000</v>
      </c>
      <c r="BL167" s="435">
        <f t="shared" si="35"/>
        <v>0</v>
      </c>
      <c r="BM167" s="192"/>
      <c r="BN167" s="192"/>
      <c r="BO167" s="192"/>
      <c r="BP167" s="192"/>
      <c r="BQ167" s="192"/>
      <c r="BR167" s="192"/>
      <c r="BS167" s="192"/>
      <c r="BT167" s="192"/>
      <c r="BU167" s="192"/>
      <c r="BV167" s="192"/>
      <c r="BW167" s="192"/>
      <c r="BX167" s="192"/>
      <c r="BY167" s="192"/>
      <c r="BZ167" s="192"/>
      <c r="CA167" s="192"/>
      <c r="CB167" s="192"/>
      <c r="CC167" s="192"/>
      <c r="CD167" s="192"/>
    </row>
    <row r="168" spans="1:82" s="25" customFormat="1" x14ac:dyDescent="0.25">
      <c r="A168" s="62">
        <v>136</v>
      </c>
      <c r="B168" s="365" t="s">
        <v>226</v>
      </c>
      <c r="C168" s="62">
        <v>1167</v>
      </c>
      <c r="D168" s="63" t="s">
        <v>228</v>
      </c>
      <c r="E168" s="62">
        <v>1</v>
      </c>
      <c r="F168" s="559"/>
      <c r="G168" s="559"/>
      <c r="H168" s="559"/>
      <c r="I168" s="585"/>
      <c r="J168" s="620"/>
      <c r="K168" s="622"/>
      <c r="L168" s="164" t="s">
        <v>1046</v>
      </c>
      <c r="M168" s="164" t="s">
        <v>1119</v>
      </c>
      <c r="N168" s="164" t="s">
        <v>115</v>
      </c>
      <c r="O168" s="255" t="s">
        <v>1095</v>
      </c>
      <c r="P168" s="164" t="s">
        <v>320</v>
      </c>
      <c r="Q168" s="255">
        <v>41996</v>
      </c>
      <c r="R168" s="255"/>
      <c r="S168" s="255" t="s">
        <v>1292</v>
      </c>
      <c r="T168" s="187" t="s">
        <v>1047</v>
      </c>
      <c r="U168" s="255" t="s">
        <v>418</v>
      </c>
      <c r="V168" s="164" t="s">
        <v>1048</v>
      </c>
      <c r="W168" s="253" t="s">
        <v>1344</v>
      </c>
      <c r="X168" s="255" t="s">
        <v>90</v>
      </c>
      <c r="Y168" s="255" t="s">
        <v>808</v>
      </c>
      <c r="Z168" s="164"/>
      <c r="AA168" s="167">
        <v>837</v>
      </c>
      <c r="AB168" s="173"/>
      <c r="AC168" s="167">
        <v>974</v>
      </c>
      <c r="AD168" s="198">
        <v>13998000</v>
      </c>
      <c r="AE168" s="167">
        <v>0</v>
      </c>
      <c r="AF168" s="237"/>
      <c r="AG168" s="237"/>
      <c r="AH168" s="237"/>
      <c r="AI168" s="237"/>
      <c r="AJ168" s="237"/>
      <c r="AK168" s="237"/>
      <c r="AL168" s="237"/>
      <c r="AM168" s="237"/>
      <c r="AN168" s="167">
        <v>0</v>
      </c>
      <c r="AO168" s="167">
        <v>0</v>
      </c>
      <c r="AP168" s="167">
        <v>0</v>
      </c>
      <c r="AQ168" s="168">
        <f t="shared" si="31"/>
        <v>0</v>
      </c>
      <c r="AR168" s="168">
        <f t="shared" si="32"/>
        <v>13998000</v>
      </c>
      <c r="AS168" s="169">
        <f t="shared" si="33"/>
        <v>0</v>
      </c>
      <c r="AT168" s="236"/>
      <c r="AU168" s="346">
        <v>327</v>
      </c>
      <c r="AV168" s="346">
        <v>275</v>
      </c>
      <c r="AW168" s="345">
        <v>13998000</v>
      </c>
      <c r="AX168" s="345">
        <v>0</v>
      </c>
      <c r="AY168" s="345">
        <v>0</v>
      </c>
      <c r="AZ168" s="345">
        <v>0</v>
      </c>
      <c r="BA168" s="237">
        <v>0</v>
      </c>
      <c r="BB168" s="237">
        <v>0</v>
      </c>
      <c r="BC168" s="237">
        <v>0</v>
      </c>
      <c r="BD168" s="237"/>
      <c r="BE168" s="237"/>
      <c r="BF168" s="438"/>
      <c r="BG168" s="443"/>
      <c r="BH168" s="237"/>
      <c r="BI168" s="237"/>
      <c r="BJ168" s="344">
        <f t="shared" si="30"/>
        <v>0</v>
      </c>
      <c r="BK168" s="237">
        <f t="shared" si="34"/>
        <v>13998000</v>
      </c>
      <c r="BL168" s="435">
        <f t="shared" si="35"/>
        <v>0</v>
      </c>
      <c r="BM168" s="192"/>
      <c r="BN168" s="192"/>
      <c r="BO168" s="192"/>
      <c r="BP168" s="192"/>
      <c r="BQ168" s="192"/>
      <c r="BR168" s="192"/>
      <c r="BS168" s="192"/>
      <c r="BT168" s="192"/>
      <c r="BU168" s="192"/>
      <c r="BV168" s="192"/>
      <c r="BW168" s="192"/>
      <c r="BX168" s="192"/>
      <c r="BY168" s="192"/>
      <c r="BZ168" s="192"/>
      <c r="CA168" s="192"/>
      <c r="CB168" s="192"/>
      <c r="CC168" s="192"/>
      <c r="CD168" s="192"/>
    </row>
    <row r="169" spans="1:82" s="25" customFormat="1" x14ac:dyDescent="0.25">
      <c r="A169" s="62">
        <v>136</v>
      </c>
      <c r="B169" s="365" t="s">
        <v>226</v>
      </c>
      <c r="C169" s="62">
        <v>1167</v>
      </c>
      <c r="D169" s="63" t="s">
        <v>228</v>
      </c>
      <c r="E169" s="62">
        <v>1</v>
      </c>
      <c r="F169" s="559"/>
      <c r="G169" s="559"/>
      <c r="H169" s="559"/>
      <c r="I169" s="585"/>
      <c r="J169" s="620"/>
      <c r="K169" s="622"/>
      <c r="L169" s="164" t="s">
        <v>1049</v>
      </c>
      <c r="M169" s="164" t="s">
        <v>1119</v>
      </c>
      <c r="N169" s="164" t="s">
        <v>115</v>
      </c>
      <c r="O169" s="255" t="s">
        <v>1345</v>
      </c>
      <c r="P169" s="237" t="s">
        <v>309</v>
      </c>
      <c r="Q169" s="255">
        <v>41993</v>
      </c>
      <c r="R169" s="255"/>
      <c r="S169" s="255" t="s">
        <v>724</v>
      </c>
      <c r="T169" s="237" t="s">
        <v>1050</v>
      </c>
      <c r="U169" s="255" t="s">
        <v>1295</v>
      </c>
      <c r="V169" s="237" t="s">
        <v>1051</v>
      </c>
      <c r="W169" s="166">
        <v>830079122</v>
      </c>
      <c r="X169" s="255" t="s">
        <v>90</v>
      </c>
      <c r="Y169" s="255" t="s">
        <v>884</v>
      </c>
      <c r="Z169" s="237"/>
      <c r="AA169" s="167">
        <v>738</v>
      </c>
      <c r="AB169" s="173"/>
      <c r="AC169" s="167">
        <v>983</v>
      </c>
      <c r="AD169" s="198">
        <v>6047978</v>
      </c>
      <c r="AE169" s="167">
        <v>0</v>
      </c>
      <c r="AF169" s="237"/>
      <c r="AG169" s="237"/>
      <c r="AH169" s="237"/>
      <c r="AI169" s="237"/>
      <c r="AJ169" s="237"/>
      <c r="AK169" s="237"/>
      <c r="AL169" s="237"/>
      <c r="AM169" s="237"/>
      <c r="AN169" s="167">
        <v>0</v>
      </c>
      <c r="AO169" s="167">
        <v>0</v>
      </c>
      <c r="AP169" s="167">
        <v>0</v>
      </c>
      <c r="AQ169" s="168">
        <f t="shared" si="31"/>
        <v>0</v>
      </c>
      <c r="AR169" s="168">
        <f t="shared" si="32"/>
        <v>6047978</v>
      </c>
      <c r="AS169" s="169">
        <f t="shared" si="33"/>
        <v>0</v>
      </c>
      <c r="AT169" s="236"/>
      <c r="AU169" s="346">
        <v>332</v>
      </c>
      <c r="AV169" s="346">
        <v>280</v>
      </c>
      <c r="AW169" s="345">
        <v>6047978</v>
      </c>
      <c r="AX169" s="345">
        <v>0</v>
      </c>
      <c r="AY169" s="345">
        <v>0</v>
      </c>
      <c r="AZ169" s="345">
        <v>0</v>
      </c>
      <c r="BA169" s="345">
        <v>6047978</v>
      </c>
      <c r="BB169" s="237">
        <v>0</v>
      </c>
      <c r="BC169" s="237">
        <v>0</v>
      </c>
      <c r="BD169" s="237"/>
      <c r="BE169" s="237"/>
      <c r="BF169" s="438"/>
      <c r="BG169" s="443"/>
      <c r="BH169" s="237"/>
      <c r="BI169" s="237"/>
      <c r="BJ169" s="344">
        <f t="shared" si="30"/>
        <v>6047978</v>
      </c>
      <c r="BK169" s="237">
        <f t="shared" si="34"/>
        <v>0</v>
      </c>
      <c r="BL169" s="435">
        <f t="shared" si="35"/>
        <v>1</v>
      </c>
      <c r="BM169" s="192"/>
      <c r="BN169" s="192"/>
      <c r="BO169" s="192"/>
      <c r="BP169" s="192"/>
      <c r="BQ169" s="192"/>
      <c r="BR169" s="192"/>
      <c r="BS169" s="192"/>
      <c r="BT169" s="192"/>
      <c r="BU169" s="192"/>
      <c r="BV169" s="192"/>
      <c r="BW169" s="192"/>
      <c r="BX169" s="192"/>
      <c r="BY169" s="192"/>
      <c r="BZ169" s="192"/>
      <c r="CA169" s="192"/>
      <c r="CB169" s="192"/>
      <c r="CC169" s="192"/>
      <c r="CD169" s="192"/>
    </row>
    <row r="170" spans="1:82" s="25" customFormat="1" ht="13.5" customHeight="1" x14ac:dyDescent="0.25">
      <c r="A170" s="62">
        <v>137</v>
      </c>
      <c r="B170" s="365" t="s">
        <v>231</v>
      </c>
      <c r="C170" s="62">
        <v>1167</v>
      </c>
      <c r="D170" s="63" t="s">
        <v>228</v>
      </c>
      <c r="E170" s="62">
        <v>2</v>
      </c>
      <c r="F170" s="584" t="s">
        <v>53</v>
      </c>
      <c r="G170" s="584">
        <v>800</v>
      </c>
      <c r="H170" s="584" t="s">
        <v>61</v>
      </c>
      <c r="I170" s="584" t="s">
        <v>232</v>
      </c>
      <c r="J170" s="619">
        <v>0</v>
      </c>
      <c r="K170" s="621">
        <v>0</v>
      </c>
      <c r="L170" s="164" t="s">
        <v>1052</v>
      </c>
      <c r="M170" s="164" t="s">
        <v>1119</v>
      </c>
      <c r="N170" s="164" t="s">
        <v>115</v>
      </c>
      <c r="O170" s="241" t="s">
        <v>329</v>
      </c>
      <c r="P170" s="164" t="s">
        <v>356</v>
      </c>
      <c r="Q170" s="165" t="s">
        <v>1053</v>
      </c>
      <c r="R170" s="165">
        <v>41848</v>
      </c>
      <c r="S170" s="165" t="s">
        <v>1054</v>
      </c>
      <c r="T170" s="187" t="s">
        <v>1055</v>
      </c>
      <c r="U170" s="166" t="s">
        <v>1056</v>
      </c>
      <c r="V170" s="164" t="s">
        <v>415</v>
      </c>
      <c r="W170" s="166" t="s">
        <v>1057</v>
      </c>
      <c r="X170" s="166">
        <v>315</v>
      </c>
      <c r="Y170" s="166" t="s">
        <v>737</v>
      </c>
      <c r="Z170" s="164"/>
      <c r="AA170" s="167">
        <v>529</v>
      </c>
      <c r="AB170" s="198"/>
      <c r="AC170" s="167">
        <v>629</v>
      </c>
      <c r="AD170" s="198">
        <v>161807500</v>
      </c>
      <c r="AE170" s="167">
        <v>0</v>
      </c>
      <c r="AF170" s="167"/>
      <c r="AG170" s="167"/>
      <c r="AH170" s="167"/>
      <c r="AI170" s="167">
        <v>0</v>
      </c>
      <c r="AJ170" s="167">
        <v>0</v>
      </c>
      <c r="AK170" s="167">
        <v>0</v>
      </c>
      <c r="AL170" s="167">
        <v>0</v>
      </c>
      <c r="AM170" s="167">
        <v>0</v>
      </c>
      <c r="AN170" s="167">
        <v>4800000</v>
      </c>
      <c r="AO170" s="167">
        <v>34382500</v>
      </c>
      <c r="AP170" s="167">
        <v>122625000</v>
      </c>
      <c r="AQ170" s="168">
        <f t="shared" si="31"/>
        <v>161807500</v>
      </c>
      <c r="AR170" s="168">
        <f t="shared" si="32"/>
        <v>0</v>
      </c>
      <c r="AS170" s="169">
        <f t="shared" si="33"/>
        <v>1</v>
      </c>
      <c r="AT170" s="236"/>
      <c r="AU170" s="346"/>
      <c r="AV170" s="346"/>
      <c r="AW170" s="345"/>
      <c r="AX170" s="345"/>
      <c r="AY170" s="345"/>
      <c r="AZ170" s="345"/>
      <c r="BA170" s="345"/>
      <c r="BB170" s="345"/>
      <c r="BC170" s="237"/>
      <c r="BD170" s="237"/>
      <c r="BE170" s="237"/>
      <c r="BF170" s="438"/>
      <c r="BG170" s="443"/>
      <c r="BH170" s="237"/>
      <c r="BI170" s="237"/>
      <c r="BJ170" s="344">
        <f t="shared" si="30"/>
        <v>0</v>
      </c>
      <c r="BK170" s="237">
        <f t="shared" si="34"/>
        <v>0</v>
      </c>
      <c r="BL170" s="435" t="e">
        <f t="shared" si="35"/>
        <v>#DIV/0!</v>
      </c>
      <c r="BM170" s="192"/>
      <c r="BN170" s="192"/>
      <c r="BO170" s="192"/>
      <c r="BP170" s="192"/>
      <c r="BQ170" s="192"/>
      <c r="BR170" s="192"/>
      <c r="BS170" s="192"/>
      <c r="BT170" s="192"/>
      <c r="BU170" s="192"/>
      <c r="BV170" s="192"/>
      <c r="BW170" s="192"/>
      <c r="BX170" s="192"/>
      <c r="BY170" s="192"/>
      <c r="BZ170" s="192"/>
      <c r="CA170" s="192"/>
      <c r="CB170" s="192"/>
      <c r="CC170" s="192"/>
      <c r="CD170" s="192"/>
    </row>
    <row r="171" spans="1:82" s="25" customFormat="1" x14ac:dyDescent="0.25">
      <c r="A171" s="62">
        <v>137</v>
      </c>
      <c r="B171" s="365" t="s">
        <v>231</v>
      </c>
      <c r="C171" s="62">
        <v>1167</v>
      </c>
      <c r="D171" s="63" t="s">
        <v>228</v>
      </c>
      <c r="E171" s="62">
        <v>2</v>
      </c>
      <c r="F171" s="585"/>
      <c r="G171" s="585"/>
      <c r="H171" s="585"/>
      <c r="I171" s="585"/>
      <c r="J171" s="620"/>
      <c r="K171" s="622"/>
      <c r="L171" s="164" t="s">
        <v>1058</v>
      </c>
      <c r="M171" s="164" t="s">
        <v>1119</v>
      </c>
      <c r="N171" s="164" t="s">
        <v>115</v>
      </c>
      <c r="O171" s="241" t="s">
        <v>877</v>
      </c>
      <c r="P171" s="164" t="s">
        <v>320</v>
      </c>
      <c r="Q171" s="165">
        <v>41836</v>
      </c>
      <c r="R171" s="165">
        <v>41848</v>
      </c>
      <c r="S171" s="165" t="s">
        <v>500</v>
      </c>
      <c r="T171" s="187" t="s">
        <v>1059</v>
      </c>
      <c r="U171" s="166" t="s">
        <v>1060</v>
      </c>
      <c r="V171" s="164" t="s">
        <v>372</v>
      </c>
      <c r="W171" s="166">
        <v>17904681</v>
      </c>
      <c r="X171" s="166" t="s">
        <v>90</v>
      </c>
      <c r="Y171" s="166" t="s">
        <v>737</v>
      </c>
      <c r="Z171" s="164"/>
      <c r="AA171" s="167">
        <v>590</v>
      </c>
      <c r="AB171" s="198"/>
      <c r="AC171" s="167">
        <v>681</v>
      </c>
      <c r="AD171" s="198">
        <v>7600000</v>
      </c>
      <c r="AE171" s="167">
        <v>0</v>
      </c>
      <c r="AF171" s="167"/>
      <c r="AG171" s="167"/>
      <c r="AH171" s="167"/>
      <c r="AI171" s="167">
        <v>0</v>
      </c>
      <c r="AJ171" s="167">
        <v>0</v>
      </c>
      <c r="AK171" s="167">
        <v>0</v>
      </c>
      <c r="AL171" s="167">
        <v>0</v>
      </c>
      <c r="AM171" s="167">
        <v>0</v>
      </c>
      <c r="AN171" s="167">
        <v>1900000</v>
      </c>
      <c r="AO171" s="167">
        <v>1900000</v>
      </c>
      <c r="AP171" s="167">
        <v>3800000</v>
      </c>
      <c r="AQ171" s="168">
        <f t="shared" si="31"/>
        <v>7600000</v>
      </c>
      <c r="AR171" s="168">
        <f t="shared" si="32"/>
        <v>0</v>
      </c>
      <c r="AS171" s="169">
        <f t="shared" si="33"/>
        <v>1</v>
      </c>
      <c r="AT171" s="236"/>
      <c r="AU171" s="346"/>
      <c r="AV171" s="346"/>
      <c r="AW171" s="345"/>
      <c r="AX171" s="345"/>
      <c r="AY171" s="345"/>
      <c r="AZ171" s="345"/>
      <c r="BA171" s="345"/>
      <c r="BB171" s="345"/>
      <c r="BC171" s="237"/>
      <c r="BD171" s="237"/>
      <c r="BE171" s="237"/>
      <c r="BF171" s="438"/>
      <c r="BG171" s="443"/>
      <c r="BH171" s="237"/>
      <c r="BI171" s="237"/>
      <c r="BJ171" s="344">
        <f t="shared" si="30"/>
        <v>0</v>
      </c>
      <c r="BK171" s="237">
        <f t="shared" si="34"/>
        <v>0</v>
      </c>
      <c r="BL171" s="435" t="e">
        <f t="shared" si="35"/>
        <v>#DIV/0!</v>
      </c>
      <c r="BM171" s="192"/>
      <c r="BN171" s="192"/>
      <c r="BO171" s="192"/>
      <c r="BP171" s="192"/>
      <c r="BQ171" s="192"/>
      <c r="BR171" s="192"/>
      <c r="BS171" s="192"/>
      <c r="BT171" s="192"/>
      <c r="BU171" s="192"/>
      <c r="BV171" s="192"/>
      <c r="BW171" s="192"/>
      <c r="BX171" s="192"/>
      <c r="BY171" s="192"/>
      <c r="BZ171" s="192"/>
      <c r="CA171" s="192"/>
      <c r="CB171" s="192"/>
      <c r="CC171" s="192"/>
      <c r="CD171" s="192"/>
    </row>
    <row r="172" spans="1:82" s="25" customFormat="1" x14ac:dyDescent="0.25">
      <c r="A172" s="62">
        <v>137</v>
      </c>
      <c r="B172" s="365" t="s">
        <v>231</v>
      </c>
      <c r="C172" s="62">
        <v>1167</v>
      </c>
      <c r="D172" s="63" t="s">
        <v>228</v>
      </c>
      <c r="E172" s="62">
        <v>2</v>
      </c>
      <c r="F172" s="585"/>
      <c r="G172" s="585"/>
      <c r="H172" s="585"/>
      <c r="I172" s="585"/>
      <c r="J172" s="620"/>
      <c r="K172" s="622"/>
      <c r="L172" s="166" t="s">
        <v>1061</v>
      </c>
      <c r="M172" s="164" t="s">
        <v>1132</v>
      </c>
      <c r="N172" s="166" t="s">
        <v>115</v>
      </c>
      <c r="O172" s="166" t="s">
        <v>1062</v>
      </c>
      <c r="P172" s="166" t="s">
        <v>356</v>
      </c>
      <c r="Q172" s="255">
        <v>41985</v>
      </c>
      <c r="R172" s="255"/>
      <c r="S172" s="255" t="s">
        <v>512</v>
      </c>
      <c r="T172" s="189" t="s">
        <v>1063</v>
      </c>
      <c r="U172" s="166" t="s">
        <v>1064</v>
      </c>
      <c r="V172" s="166" t="s">
        <v>1065</v>
      </c>
      <c r="W172" s="166">
        <v>52958670</v>
      </c>
      <c r="X172" s="166" t="s">
        <v>90</v>
      </c>
      <c r="Y172" s="166" t="s">
        <v>737</v>
      </c>
      <c r="Z172" s="166"/>
      <c r="AA172" s="174">
        <v>754</v>
      </c>
      <c r="AB172" s="198"/>
      <c r="AC172" s="174">
        <v>809</v>
      </c>
      <c r="AD172" s="198">
        <v>10500000</v>
      </c>
      <c r="AE172" s="174">
        <v>0</v>
      </c>
      <c r="AF172" s="174"/>
      <c r="AG172" s="174"/>
      <c r="AH172" s="174"/>
      <c r="AI172" s="174">
        <v>0</v>
      </c>
      <c r="AJ172" s="174">
        <v>0</v>
      </c>
      <c r="AK172" s="174">
        <v>0</v>
      </c>
      <c r="AL172" s="174">
        <v>0</v>
      </c>
      <c r="AM172" s="174">
        <v>0</v>
      </c>
      <c r="AN172" s="174">
        <v>0</v>
      </c>
      <c r="AO172" s="174">
        <v>1983333</v>
      </c>
      <c r="AP172" s="174">
        <v>7000000</v>
      </c>
      <c r="AQ172" s="175">
        <f t="shared" si="31"/>
        <v>8983333</v>
      </c>
      <c r="AR172" s="175">
        <f t="shared" si="32"/>
        <v>1516667</v>
      </c>
      <c r="AS172" s="176">
        <f t="shared" si="33"/>
        <v>0.85555552380952382</v>
      </c>
      <c r="AT172" s="236"/>
      <c r="AU172" s="346">
        <v>256</v>
      </c>
      <c r="AV172" s="346">
        <v>217</v>
      </c>
      <c r="AW172" s="345">
        <v>1516667</v>
      </c>
      <c r="AX172" s="345">
        <v>0</v>
      </c>
      <c r="AY172" s="345">
        <v>0</v>
      </c>
      <c r="AZ172" s="345">
        <v>1516667</v>
      </c>
      <c r="BA172" s="345">
        <v>0</v>
      </c>
      <c r="BB172" s="237">
        <v>0</v>
      </c>
      <c r="BC172" s="237">
        <v>0</v>
      </c>
      <c r="BD172" s="237"/>
      <c r="BE172" s="237"/>
      <c r="BF172" s="438"/>
      <c r="BG172" s="443"/>
      <c r="BH172" s="237"/>
      <c r="BI172" s="237"/>
      <c r="BJ172" s="344">
        <f t="shared" si="30"/>
        <v>1516667</v>
      </c>
      <c r="BK172" s="237">
        <f t="shared" si="34"/>
        <v>0</v>
      </c>
      <c r="BL172" s="435">
        <f t="shared" si="35"/>
        <v>1</v>
      </c>
      <c r="BM172" s="192"/>
      <c r="BN172" s="192"/>
      <c r="BO172" s="192"/>
      <c r="BP172" s="192"/>
      <c r="BQ172" s="192"/>
      <c r="BR172" s="192"/>
      <c r="BS172" s="192"/>
      <c r="BT172" s="192"/>
      <c r="BU172" s="192"/>
      <c r="BV172" s="192"/>
      <c r="BW172" s="192"/>
      <c r="BX172" s="192"/>
      <c r="BY172" s="192"/>
      <c r="BZ172" s="192"/>
      <c r="CA172" s="192"/>
      <c r="CB172" s="192"/>
      <c r="CC172" s="192"/>
      <c r="CD172" s="192"/>
    </row>
    <row r="173" spans="1:82" s="25" customFormat="1" x14ac:dyDescent="0.25">
      <c r="A173" s="62">
        <v>137</v>
      </c>
      <c r="B173" s="365" t="s">
        <v>231</v>
      </c>
      <c r="C173" s="62">
        <v>1167</v>
      </c>
      <c r="D173" s="63" t="s">
        <v>228</v>
      </c>
      <c r="E173" s="62">
        <v>2</v>
      </c>
      <c r="F173" s="585"/>
      <c r="G173" s="585"/>
      <c r="H173" s="585"/>
      <c r="I173" s="585"/>
      <c r="J173" s="620"/>
      <c r="K173" s="622"/>
      <c r="L173" s="166" t="s">
        <v>1066</v>
      </c>
      <c r="M173" s="164" t="s">
        <v>1132</v>
      </c>
      <c r="N173" s="166" t="s">
        <v>115</v>
      </c>
      <c r="O173" s="166" t="s">
        <v>793</v>
      </c>
      <c r="P173" s="166" t="s">
        <v>356</v>
      </c>
      <c r="Q173" s="255">
        <v>41908</v>
      </c>
      <c r="R173" s="180"/>
      <c r="S173" s="255" t="s">
        <v>512</v>
      </c>
      <c r="T173" s="189" t="s">
        <v>1067</v>
      </c>
      <c r="U173" s="166" t="s">
        <v>1064</v>
      </c>
      <c r="V173" s="166" t="s">
        <v>1068</v>
      </c>
      <c r="W173" s="166">
        <v>1022362455</v>
      </c>
      <c r="X173" s="166" t="s">
        <v>90</v>
      </c>
      <c r="Y173" s="166" t="s">
        <v>737</v>
      </c>
      <c r="Z173" s="166"/>
      <c r="AA173" s="174">
        <v>753</v>
      </c>
      <c r="AB173" s="198"/>
      <c r="AC173" s="174">
        <v>807</v>
      </c>
      <c r="AD173" s="198">
        <v>6000000</v>
      </c>
      <c r="AE173" s="174">
        <v>0</v>
      </c>
      <c r="AF173" s="174"/>
      <c r="AG173" s="174"/>
      <c r="AH173" s="174"/>
      <c r="AI173" s="174">
        <v>0</v>
      </c>
      <c r="AJ173" s="174">
        <v>0</v>
      </c>
      <c r="AK173" s="174">
        <v>0</v>
      </c>
      <c r="AL173" s="174">
        <v>0</v>
      </c>
      <c r="AM173" s="174">
        <v>0</v>
      </c>
      <c r="AN173" s="174">
        <v>0</v>
      </c>
      <c r="AO173" s="174">
        <v>1333333</v>
      </c>
      <c r="AP173" s="174">
        <v>4000000</v>
      </c>
      <c r="AQ173" s="175">
        <f t="shared" si="31"/>
        <v>5333333</v>
      </c>
      <c r="AR173" s="175">
        <f t="shared" si="32"/>
        <v>666667</v>
      </c>
      <c r="AS173" s="176">
        <f t="shared" si="33"/>
        <v>0.88888883333333335</v>
      </c>
      <c r="AT173" s="236"/>
      <c r="AU173" s="346">
        <v>254</v>
      </c>
      <c r="AV173" s="346">
        <v>215</v>
      </c>
      <c r="AW173" s="345">
        <v>666667</v>
      </c>
      <c r="AX173" s="345">
        <v>0</v>
      </c>
      <c r="AY173" s="345">
        <v>0</v>
      </c>
      <c r="AZ173" s="345">
        <v>666667</v>
      </c>
      <c r="BA173" s="345">
        <v>0</v>
      </c>
      <c r="BB173" s="237">
        <v>0</v>
      </c>
      <c r="BC173" s="237">
        <v>0</v>
      </c>
      <c r="BD173" s="237"/>
      <c r="BE173" s="237"/>
      <c r="BF173" s="438"/>
      <c r="BG173" s="443"/>
      <c r="BH173" s="237"/>
      <c r="BI173" s="237"/>
      <c r="BJ173" s="344">
        <f t="shared" si="30"/>
        <v>666667</v>
      </c>
      <c r="BK173" s="237">
        <f t="shared" si="34"/>
        <v>0</v>
      </c>
      <c r="BL173" s="435">
        <f t="shared" si="35"/>
        <v>1</v>
      </c>
      <c r="BM173" s="192"/>
      <c r="BN173" s="192"/>
      <c r="BO173" s="192"/>
      <c r="BP173" s="192"/>
      <c r="BQ173" s="192"/>
      <c r="BR173" s="192"/>
      <c r="BS173" s="192"/>
      <c r="BT173" s="192"/>
      <c r="BU173" s="192"/>
      <c r="BV173" s="192"/>
      <c r="BW173" s="192"/>
      <c r="BX173" s="192"/>
      <c r="BY173" s="192"/>
      <c r="BZ173" s="192"/>
      <c r="CA173" s="192"/>
      <c r="CB173" s="192"/>
      <c r="CC173" s="192"/>
      <c r="CD173" s="192"/>
    </row>
    <row r="174" spans="1:82" s="68" customFormat="1" x14ac:dyDescent="0.25">
      <c r="A174" s="62">
        <v>137</v>
      </c>
      <c r="B174" s="365" t="s">
        <v>231</v>
      </c>
      <c r="C174" s="62">
        <v>1167</v>
      </c>
      <c r="D174" s="63" t="s">
        <v>228</v>
      </c>
      <c r="E174" s="62">
        <v>2</v>
      </c>
      <c r="F174" s="585"/>
      <c r="G174" s="585"/>
      <c r="H174" s="585"/>
      <c r="I174" s="585"/>
      <c r="J174" s="620"/>
      <c r="K174" s="622"/>
      <c r="L174" s="164" t="s">
        <v>1069</v>
      </c>
      <c r="M174" s="164" t="s">
        <v>1132</v>
      </c>
      <c r="N174" s="164" t="s">
        <v>115</v>
      </c>
      <c r="O174" s="241" t="s">
        <v>1062</v>
      </c>
      <c r="P174" s="164" t="s">
        <v>356</v>
      </c>
      <c r="Q174" s="255">
        <v>41913</v>
      </c>
      <c r="R174" s="255">
        <v>41914</v>
      </c>
      <c r="S174" s="255" t="s">
        <v>724</v>
      </c>
      <c r="T174" s="187" t="s">
        <v>1070</v>
      </c>
      <c r="U174" s="255" t="s">
        <v>798</v>
      </c>
      <c r="V174" s="164" t="s">
        <v>1071</v>
      </c>
      <c r="W174" s="270">
        <v>52887567</v>
      </c>
      <c r="X174" s="166" t="s">
        <v>90</v>
      </c>
      <c r="Y174" s="166" t="s">
        <v>737</v>
      </c>
      <c r="Z174" s="164"/>
      <c r="AA174" s="167">
        <v>755</v>
      </c>
      <c r="AB174" s="198"/>
      <c r="AC174" s="167">
        <v>843</v>
      </c>
      <c r="AD174" s="198">
        <v>10500000</v>
      </c>
      <c r="AE174" s="167">
        <v>0</v>
      </c>
      <c r="AF174" s="237"/>
      <c r="AG174" s="237"/>
      <c r="AH174" s="237"/>
      <c r="AI174" s="237"/>
      <c r="AJ174" s="237"/>
      <c r="AK174" s="237"/>
      <c r="AL174" s="237"/>
      <c r="AM174" s="237"/>
      <c r="AN174" s="167">
        <v>0</v>
      </c>
      <c r="AO174" s="167">
        <v>1516666</v>
      </c>
      <c r="AP174" s="167">
        <v>7000000</v>
      </c>
      <c r="AQ174" s="168">
        <f t="shared" si="31"/>
        <v>8516666</v>
      </c>
      <c r="AR174" s="168">
        <f t="shared" si="32"/>
        <v>1983334</v>
      </c>
      <c r="AS174" s="169">
        <f t="shared" si="33"/>
        <v>0.81111104761904762</v>
      </c>
      <c r="AT174" s="261"/>
      <c r="AU174" s="346">
        <v>270</v>
      </c>
      <c r="AV174" s="346">
        <v>231</v>
      </c>
      <c r="AW174" s="345">
        <v>1983334</v>
      </c>
      <c r="AX174" s="345">
        <v>0</v>
      </c>
      <c r="AY174" s="345">
        <v>0</v>
      </c>
      <c r="AZ174" s="345">
        <v>1983334</v>
      </c>
      <c r="BA174" s="345">
        <v>0</v>
      </c>
      <c r="BB174" s="237">
        <v>0</v>
      </c>
      <c r="BC174" s="192">
        <v>0</v>
      </c>
      <c r="BD174" s="192"/>
      <c r="BE174" s="192"/>
      <c r="BF174" s="440"/>
      <c r="BG174" s="445"/>
      <c r="BH174" s="192"/>
      <c r="BI174" s="192"/>
      <c r="BJ174" s="344">
        <f t="shared" si="30"/>
        <v>1983334</v>
      </c>
      <c r="BK174" s="237">
        <f t="shared" si="34"/>
        <v>0</v>
      </c>
      <c r="BL174" s="435">
        <f t="shared" si="35"/>
        <v>1</v>
      </c>
      <c r="BM174" s="192"/>
      <c r="BN174" s="192"/>
      <c r="BO174" s="192"/>
      <c r="BP174" s="192"/>
      <c r="BQ174" s="192"/>
      <c r="BR174" s="192"/>
      <c r="BS174" s="192"/>
      <c r="BT174" s="192"/>
      <c r="BU174" s="192"/>
      <c r="BV174" s="192"/>
      <c r="BW174" s="192"/>
      <c r="BX174" s="192"/>
      <c r="BY174" s="192"/>
      <c r="BZ174" s="192"/>
      <c r="CA174" s="192"/>
      <c r="CB174" s="192"/>
      <c r="CC174" s="192"/>
      <c r="CD174" s="192"/>
    </row>
    <row r="175" spans="1:82" s="68" customFormat="1" x14ac:dyDescent="0.25">
      <c r="A175" s="62">
        <v>137</v>
      </c>
      <c r="B175" s="365" t="s">
        <v>231</v>
      </c>
      <c r="C175" s="62">
        <v>1167</v>
      </c>
      <c r="D175" s="63" t="s">
        <v>228</v>
      </c>
      <c r="E175" s="62">
        <v>2</v>
      </c>
      <c r="F175" s="585"/>
      <c r="G175" s="585"/>
      <c r="H175" s="585"/>
      <c r="I175" s="585"/>
      <c r="J175" s="620"/>
      <c r="K175" s="622"/>
      <c r="L175" s="166" t="s">
        <v>1072</v>
      </c>
      <c r="M175" s="164" t="s">
        <v>1132</v>
      </c>
      <c r="N175" s="166" t="s">
        <v>115</v>
      </c>
      <c r="O175" s="241" t="s">
        <v>1062</v>
      </c>
      <c r="P175" s="166" t="s">
        <v>356</v>
      </c>
      <c r="Q175" s="255">
        <v>41985</v>
      </c>
      <c r="R175" s="255"/>
      <c r="S175" s="255" t="s">
        <v>512</v>
      </c>
      <c r="T175" s="189" t="s">
        <v>1070</v>
      </c>
      <c r="U175" s="255" t="s">
        <v>798</v>
      </c>
      <c r="V175" s="166" t="s">
        <v>1071</v>
      </c>
      <c r="W175" s="270">
        <v>52887567</v>
      </c>
      <c r="X175" s="166" t="s">
        <v>90</v>
      </c>
      <c r="Y175" s="166" t="s">
        <v>737</v>
      </c>
      <c r="Z175" s="166"/>
      <c r="AA175" s="174">
        <v>845</v>
      </c>
      <c r="AB175" s="271"/>
      <c r="AC175" s="174">
        <v>938</v>
      </c>
      <c r="AD175" s="198">
        <v>3500000</v>
      </c>
      <c r="AE175" s="174">
        <v>0</v>
      </c>
      <c r="AF175" s="192"/>
      <c r="AG175" s="192"/>
      <c r="AH175" s="192"/>
      <c r="AI175" s="192"/>
      <c r="AJ175" s="192"/>
      <c r="AK175" s="192"/>
      <c r="AL175" s="192"/>
      <c r="AM175" s="192"/>
      <c r="AN175" s="174">
        <v>0</v>
      </c>
      <c r="AO175" s="174">
        <v>0</v>
      </c>
      <c r="AP175" s="174">
        <v>0</v>
      </c>
      <c r="AQ175" s="175">
        <f t="shared" si="31"/>
        <v>0</v>
      </c>
      <c r="AR175" s="175">
        <f t="shared" si="32"/>
        <v>3500000</v>
      </c>
      <c r="AS175" s="176">
        <f t="shared" si="33"/>
        <v>0</v>
      </c>
      <c r="AT175" s="261"/>
      <c r="AU175" s="346">
        <v>315</v>
      </c>
      <c r="AV175" s="346">
        <v>269</v>
      </c>
      <c r="AW175" s="345">
        <v>3500000</v>
      </c>
      <c r="AX175" s="345">
        <v>0</v>
      </c>
      <c r="AY175" s="345">
        <v>3500000</v>
      </c>
      <c r="AZ175" s="345">
        <v>0</v>
      </c>
      <c r="BA175" s="345">
        <v>0</v>
      </c>
      <c r="BB175" s="237">
        <v>0</v>
      </c>
      <c r="BC175" s="192">
        <v>0</v>
      </c>
      <c r="BD175" s="192"/>
      <c r="BE175" s="192"/>
      <c r="BF175" s="440"/>
      <c r="BG175" s="445"/>
      <c r="BH175" s="192"/>
      <c r="BI175" s="192"/>
      <c r="BJ175" s="344">
        <f t="shared" si="30"/>
        <v>3500000</v>
      </c>
      <c r="BK175" s="237">
        <f t="shared" si="34"/>
        <v>0</v>
      </c>
      <c r="BL175" s="435">
        <f t="shared" si="35"/>
        <v>1</v>
      </c>
      <c r="BM175" s="192"/>
      <c r="BN175" s="192"/>
      <c r="BO175" s="192"/>
      <c r="BP175" s="192"/>
      <c r="BQ175" s="192"/>
      <c r="BR175" s="192"/>
      <c r="BS175" s="192"/>
      <c r="BT175" s="192"/>
      <c r="BU175" s="192"/>
      <c r="BV175" s="192"/>
      <c r="BW175" s="192"/>
      <c r="BX175" s="192"/>
      <c r="BY175" s="192"/>
      <c r="BZ175" s="192"/>
      <c r="CA175" s="192"/>
      <c r="CB175" s="192"/>
      <c r="CC175" s="192"/>
      <c r="CD175" s="192"/>
    </row>
    <row r="176" spans="1:82" s="25" customFormat="1" x14ac:dyDescent="0.25">
      <c r="A176" s="62">
        <v>137</v>
      </c>
      <c r="B176" s="365" t="s">
        <v>231</v>
      </c>
      <c r="C176" s="62">
        <v>1167</v>
      </c>
      <c r="D176" s="63" t="s">
        <v>228</v>
      </c>
      <c r="E176" s="62">
        <v>2</v>
      </c>
      <c r="F176" s="585"/>
      <c r="G176" s="585"/>
      <c r="H176" s="585"/>
      <c r="I176" s="585"/>
      <c r="J176" s="620"/>
      <c r="K176" s="622"/>
      <c r="L176" s="166" t="s">
        <v>1073</v>
      </c>
      <c r="M176" s="164" t="s">
        <v>1132</v>
      </c>
      <c r="N176" s="166" t="s">
        <v>115</v>
      </c>
      <c r="O176" s="241" t="s">
        <v>1062</v>
      </c>
      <c r="P176" s="166" t="s">
        <v>356</v>
      </c>
      <c r="Q176" s="255">
        <v>41985</v>
      </c>
      <c r="R176" s="255"/>
      <c r="S176" s="255" t="s">
        <v>1346</v>
      </c>
      <c r="T176" s="189" t="s">
        <v>1070</v>
      </c>
      <c r="U176" s="255" t="s">
        <v>798</v>
      </c>
      <c r="V176" s="166" t="s">
        <v>1071</v>
      </c>
      <c r="W176" s="270">
        <v>52887567</v>
      </c>
      <c r="X176" s="166" t="s">
        <v>90</v>
      </c>
      <c r="Y176" s="166" t="s">
        <v>737</v>
      </c>
      <c r="Z176" s="166"/>
      <c r="AA176" s="174">
        <v>902</v>
      </c>
      <c r="AB176" s="271"/>
      <c r="AC176" s="174">
        <v>1016</v>
      </c>
      <c r="AD176" s="198">
        <v>1750000</v>
      </c>
      <c r="AE176" s="174">
        <v>0</v>
      </c>
      <c r="AF176" s="192"/>
      <c r="AG176" s="192"/>
      <c r="AH176" s="192"/>
      <c r="AI176" s="192"/>
      <c r="AJ176" s="192"/>
      <c r="AK176" s="192"/>
      <c r="AL176" s="192"/>
      <c r="AM176" s="192"/>
      <c r="AN176" s="174">
        <v>0</v>
      </c>
      <c r="AO176" s="174">
        <v>0</v>
      </c>
      <c r="AP176" s="174">
        <v>0</v>
      </c>
      <c r="AQ176" s="175">
        <f t="shared" si="31"/>
        <v>0</v>
      </c>
      <c r="AR176" s="175">
        <f t="shared" si="32"/>
        <v>1750000</v>
      </c>
      <c r="AS176" s="176">
        <f t="shared" si="33"/>
        <v>0</v>
      </c>
      <c r="AT176" s="236"/>
      <c r="AU176" s="346">
        <v>353</v>
      </c>
      <c r="AV176" s="346">
        <v>301</v>
      </c>
      <c r="AW176" s="345">
        <v>1750000</v>
      </c>
      <c r="AX176" s="345">
        <v>0</v>
      </c>
      <c r="AY176" s="345">
        <v>0</v>
      </c>
      <c r="AZ176" s="345">
        <v>1516666</v>
      </c>
      <c r="BA176" s="345">
        <v>233334</v>
      </c>
      <c r="BB176" s="237">
        <v>0</v>
      </c>
      <c r="BC176" s="237">
        <v>0</v>
      </c>
      <c r="BD176" s="237"/>
      <c r="BE176" s="237"/>
      <c r="BF176" s="438"/>
      <c r="BG176" s="443"/>
      <c r="BH176" s="237"/>
      <c r="BI176" s="237"/>
      <c r="BJ176" s="344">
        <f t="shared" si="30"/>
        <v>1750000</v>
      </c>
      <c r="BK176" s="237">
        <f t="shared" si="34"/>
        <v>0</v>
      </c>
      <c r="BL176" s="435">
        <f t="shared" si="35"/>
        <v>1</v>
      </c>
      <c r="BM176" s="192"/>
      <c r="BN176" s="192"/>
      <c r="BO176" s="192"/>
      <c r="BP176" s="192"/>
      <c r="BQ176" s="192"/>
      <c r="BR176" s="192"/>
      <c r="BS176" s="192"/>
      <c r="BT176" s="192"/>
      <c r="BU176" s="192"/>
      <c r="BV176" s="192"/>
      <c r="BW176" s="192"/>
      <c r="BX176" s="192"/>
      <c r="BY176" s="192"/>
      <c r="BZ176" s="192"/>
      <c r="CA176" s="192"/>
      <c r="CB176" s="192"/>
      <c r="CC176" s="192"/>
      <c r="CD176" s="192"/>
    </row>
    <row r="177" spans="1:82" s="68" customFormat="1" x14ac:dyDescent="0.25">
      <c r="A177" s="62">
        <v>137</v>
      </c>
      <c r="B177" s="365" t="s">
        <v>231</v>
      </c>
      <c r="C177" s="62">
        <v>1167</v>
      </c>
      <c r="D177" s="63" t="s">
        <v>228</v>
      </c>
      <c r="E177" s="62">
        <v>2</v>
      </c>
      <c r="F177" s="585"/>
      <c r="G177" s="585"/>
      <c r="H177" s="585"/>
      <c r="I177" s="585"/>
      <c r="J177" s="620"/>
      <c r="K177" s="622"/>
      <c r="L177" s="164" t="s">
        <v>1074</v>
      </c>
      <c r="M177" s="164" t="s">
        <v>1119</v>
      </c>
      <c r="N177" s="164" t="s">
        <v>115</v>
      </c>
      <c r="O177" s="255" t="s">
        <v>1318</v>
      </c>
      <c r="P177" s="164" t="s">
        <v>356</v>
      </c>
      <c r="Q177" s="255">
        <v>42004</v>
      </c>
      <c r="R177" s="255">
        <v>42004</v>
      </c>
      <c r="S177" s="255" t="s">
        <v>395</v>
      </c>
      <c r="T177" s="187" t="s">
        <v>1055</v>
      </c>
      <c r="U177" s="255" t="s">
        <v>1287</v>
      </c>
      <c r="V177" s="164" t="s">
        <v>415</v>
      </c>
      <c r="W177" s="166" t="s">
        <v>1057</v>
      </c>
      <c r="X177" s="269">
        <v>315</v>
      </c>
      <c r="Y177" s="255" t="s">
        <v>1380</v>
      </c>
      <c r="Z177" s="164"/>
      <c r="AA177" s="167">
        <v>784</v>
      </c>
      <c r="AB177" s="271"/>
      <c r="AC177" s="167">
        <v>875</v>
      </c>
      <c r="AD177" s="198">
        <v>2175000</v>
      </c>
      <c r="AE177" s="167">
        <v>0</v>
      </c>
      <c r="AF177" s="237"/>
      <c r="AG177" s="237"/>
      <c r="AH177" s="237"/>
      <c r="AI177" s="237"/>
      <c r="AJ177" s="237"/>
      <c r="AK177" s="237"/>
      <c r="AL177" s="237"/>
      <c r="AM177" s="237"/>
      <c r="AN177" s="167">
        <v>0</v>
      </c>
      <c r="AO177" s="167">
        <v>0</v>
      </c>
      <c r="AP177" s="167">
        <v>2175000</v>
      </c>
      <c r="AQ177" s="168">
        <f t="shared" ref="AQ177:AQ199" si="36">SUM(AE177:AP177)</f>
        <v>2175000</v>
      </c>
      <c r="AR177" s="168">
        <f t="shared" ref="AR177:AR199" si="37">+AD177-AQ177</f>
        <v>0</v>
      </c>
      <c r="AS177" s="169">
        <f t="shared" ref="AS177:AS199" si="38">+AQ177/AD177</f>
        <v>1</v>
      </c>
      <c r="AT177" s="261"/>
      <c r="AU177" s="346"/>
      <c r="AV177" s="346"/>
      <c r="AW177" s="345"/>
      <c r="AX177" s="345"/>
      <c r="AY177" s="345"/>
      <c r="AZ177" s="345"/>
      <c r="BA177" s="345"/>
      <c r="BB177" s="345"/>
      <c r="BC177" s="192"/>
      <c r="BD177" s="192"/>
      <c r="BE177" s="192"/>
      <c r="BF177" s="440"/>
      <c r="BG177" s="445"/>
      <c r="BH177" s="192"/>
      <c r="BI177" s="192"/>
      <c r="BJ177" s="344">
        <f t="shared" si="30"/>
        <v>0</v>
      </c>
      <c r="BK177" s="237">
        <f t="shared" si="34"/>
        <v>0</v>
      </c>
      <c r="BL177" s="435" t="e">
        <f t="shared" si="35"/>
        <v>#DIV/0!</v>
      </c>
      <c r="BM177" s="192"/>
      <c r="BN177" s="192"/>
      <c r="BO177" s="192"/>
      <c r="BP177" s="192"/>
      <c r="BQ177" s="192"/>
      <c r="BR177" s="192"/>
      <c r="BS177" s="192"/>
      <c r="BT177" s="192"/>
      <c r="BU177" s="192"/>
      <c r="BV177" s="192"/>
      <c r="BW177" s="192"/>
      <c r="BX177" s="192"/>
      <c r="BY177" s="192"/>
      <c r="BZ177" s="192"/>
      <c r="CA177" s="192"/>
      <c r="CB177" s="192"/>
      <c r="CC177" s="192"/>
      <c r="CD177" s="192"/>
    </row>
    <row r="178" spans="1:82" s="68" customFormat="1" x14ac:dyDescent="0.25">
      <c r="A178" s="62">
        <v>137</v>
      </c>
      <c r="B178" s="365" t="s">
        <v>231</v>
      </c>
      <c r="C178" s="62">
        <v>1167</v>
      </c>
      <c r="D178" s="63" t="s">
        <v>228</v>
      </c>
      <c r="E178" s="62">
        <v>2</v>
      </c>
      <c r="F178" s="585"/>
      <c r="G178" s="585"/>
      <c r="H178" s="585"/>
      <c r="I178" s="585"/>
      <c r="J178" s="620"/>
      <c r="K178" s="622"/>
      <c r="L178" s="166" t="s">
        <v>1075</v>
      </c>
      <c r="M178" s="164" t="s">
        <v>1132</v>
      </c>
      <c r="N178" s="166" t="s">
        <v>115</v>
      </c>
      <c r="O178" s="241" t="s">
        <v>1062</v>
      </c>
      <c r="P178" s="166" t="s">
        <v>356</v>
      </c>
      <c r="Q178" s="255">
        <v>41907</v>
      </c>
      <c r="R178" s="255">
        <v>41907</v>
      </c>
      <c r="S178" s="255" t="s">
        <v>724</v>
      </c>
      <c r="T178" s="189" t="s">
        <v>1076</v>
      </c>
      <c r="U178" s="255" t="s">
        <v>798</v>
      </c>
      <c r="V178" s="166" t="s">
        <v>1068</v>
      </c>
      <c r="W178" s="272">
        <v>1022362455</v>
      </c>
      <c r="X178" s="166" t="s">
        <v>90</v>
      </c>
      <c r="Y178" s="166" t="s">
        <v>737</v>
      </c>
      <c r="Z178" s="166"/>
      <c r="AA178" s="174">
        <v>843</v>
      </c>
      <c r="AB178" s="271"/>
      <c r="AC178" s="174">
        <v>936</v>
      </c>
      <c r="AD178" s="198">
        <v>2000000</v>
      </c>
      <c r="AE178" s="174">
        <v>0</v>
      </c>
      <c r="AF178" s="192"/>
      <c r="AG178" s="192"/>
      <c r="AH178" s="192"/>
      <c r="AI178" s="192"/>
      <c r="AJ178" s="192"/>
      <c r="AK178" s="192"/>
      <c r="AL178" s="192"/>
      <c r="AM178" s="192"/>
      <c r="AN178" s="174">
        <v>0</v>
      </c>
      <c r="AO178" s="174">
        <v>0</v>
      </c>
      <c r="AP178" s="174">
        <v>0</v>
      </c>
      <c r="AQ178" s="175">
        <f t="shared" si="36"/>
        <v>0</v>
      </c>
      <c r="AR178" s="175">
        <f t="shared" si="37"/>
        <v>2000000</v>
      </c>
      <c r="AS178" s="176">
        <f t="shared" si="38"/>
        <v>0</v>
      </c>
      <c r="AT178" s="261"/>
      <c r="AU178" s="346">
        <v>313</v>
      </c>
      <c r="AV178" s="346">
        <v>267</v>
      </c>
      <c r="AW178" s="345">
        <v>2000000</v>
      </c>
      <c r="AX178" s="345">
        <v>0</v>
      </c>
      <c r="AY178" s="345">
        <v>2000000</v>
      </c>
      <c r="AZ178" s="345">
        <v>0</v>
      </c>
      <c r="BA178" s="345">
        <v>0</v>
      </c>
      <c r="BB178" s="237">
        <v>0</v>
      </c>
      <c r="BC178" s="192">
        <v>0</v>
      </c>
      <c r="BD178" s="192"/>
      <c r="BE178" s="192"/>
      <c r="BF178" s="440"/>
      <c r="BG178" s="445"/>
      <c r="BH178" s="192"/>
      <c r="BI178" s="192"/>
      <c r="BJ178" s="344">
        <f t="shared" si="30"/>
        <v>2000000</v>
      </c>
      <c r="BK178" s="237">
        <f t="shared" si="34"/>
        <v>0</v>
      </c>
      <c r="BL178" s="435">
        <f t="shared" si="35"/>
        <v>1</v>
      </c>
      <c r="BM178" s="192"/>
      <c r="BN178" s="192"/>
      <c r="BO178" s="192"/>
      <c r="BP178" s="192"/>
      <c r="BQ178" s="192"/>
      <c r="BR178" s="192"/>
      <c r="BS178" s="192"/>
      <c r="BT178" s="192"/>
      <c r="BU178" s="192"/>
      <c r="BV178" s="192"/>
      <c r="BW178" s="192"/>
      <c r="BX178" s="192"/>
      <c r="BY178" s="192"/>
      <c r="BZ178" s="192"/>
      <c r="CA178" s="192"/>
      <c r="CB178" s="192"/>
      <c r="CC178" s="192"/>
      <c r="CD178" s="192"/>
    </row>
    <row r="179" spans="1:82" s="25" customFormat="1" x14ac:dyDescent="0.25">
      <c r="A179" s="62">
        <v>137</v>
      </c>
      <c r="B179" s="365" t="s">
        <v>231</v>
      </c>
      <c r="C179" s="62">
        <v>1167</v>
      </c>
      <c r="D179" s="63" t="s">
        <v>228</v>
      </c>
      <c r="E179" s="62">
        <v>2</v>
      </c>
      <c r="F179" s="585"/>
      <c r="G179" s="585"/>
      <c r="H179" s="585"/>
      <c r="I179" s="585"/>
      <c r="J179" s="620"/>
      <c r="K179" s="622"/>
      <c r="L179" s="166" t="s">
        <v>1077</v>
      </c>
      <c r="M179" s="164" t="s">
        <v>1132</v>
      </c>
      <c r="N179" s="166" t="s">
        <v>115</v>
      </c>
      <c r="O179" s="166" t="s">
        <v>1062</v>
      </c>
      <c r="P179" s="166" t="s">
        <v>356</v>
      </c>
      <c r="Q179" s="255">
        <v>41908</v>
      </c>
      <c r="R179" s="255">
        <v>41911</v>
      </c>
      <c r="S179" s="255" t="s">
        <v>724</v>
      </c>
      <c r="T179" s="189" t="s">
        <v>1078</v>
      </c>
      <c r="U179" s="166" t="s">
        <v>1064</v>
      </c>
      <c r="V179" s="166" t="s">
        <v>1065</v>
      </c>
      <c r="W179" s="166">
        <v>52958670</v>
      </c>
      <c r="X179" s="166" t="s">
        <v>90</v>
      </c>
      <c r="Y179" s="166" t="s">
        <v>737</v>
      </c>
      <c r="Z179" s="166"/>
      <c r="AA179" s="174">
        <v>844</v>
      </c>
      <c r="AB179" s="173"/>
      <c r="AC179" s="174">
        <v>937</v>
      </c>
      <c r="AD179" s="198">
        <v>3500000</v>
      </c>
      <c r="AE179" s="174">
        <v>0</v>
      </c>
      <c r="AF179" s="192"/>
      <c r="AG179" s="192"/>
      <c r="AH179" s="192"/>
      <c r="AI179" s="192"/>
      <c r="AJ179" s="192"/>
      <c r="AK179" s="192"/>
      <c r="AL179" s="192"/>
      <c r="AM179" s="192"/>
      <c r="AN179" s="174">
        <v>0</v>
      </c>
      <c r="AO179" s="174">
        <v>0</v>
      </c>
      <c r="AP179" s="174">
        <v>0</v>
      </c>
      <c r="AQ179" s="175">
        <f t="shared" si="36"/>
        <v>0</v>
      </c>
      <c r="AR179" s="175">
        <f t="shared" si="37"/>
        <v>3500000</v>
      </c>
      <c r="AS179" s="176">
        <f t="shared" si="38"/>
        <v>0</v>
      </c>
      <c r="AT179" s="236"/>
      <c r="AU179" s="346">
        <v>314</v>
      </c>
      <c r="AV179" s="346">
        <v>268</v>
      </c>
      <c r="AW179" s="345">
        <v>3500000</v>
      </c>
      <c r="AX179" s="345">
        <v>0</v>
      </c>
      <c r="AY179" s="345">
        <v>3500000</v>
      </c>
      <c r="AZ179" s="345">
        <v>0</v>
      </c>
      <c r="BA179" s="345">
        <v>0</v>
      </c>
      <c r="BB179" s="237">
        <v>0</v>
      </c>
      <c r="BC179" s="237">
        <v>0</v>
      </c>
      <c r="BD179" s="237"/>
      <c r="BE179" s="237"/>
      <c r="BF179" s="438"/>
      <c r="BG179" s="443"/>
      <c r="BH179" s="237"/>
      <c r="BI179" s="237"/>
      <c r="BJ179" s="344">
        <f t="shared" si="30"/>
        <v>3500000</v>
      </c>
      <c r="BK179" s="237">
        <f t="shared" si="34"/>
        <v>0</v>
      </c>
      <c r="BL179" s="435">
        <f t="shared" si="35"/>
        <v>1</v>
      </c>
      <c r="BM179" s="192"/>
      <c r="BN179" s="192"/>
      <c r="BO179" s="192"/>
      <c r="BP179" s="192"/>
      <c r="BQ179" s="192"/>
      <c r="BR179" s="192"/>
      <c r="BS179" s="192"/>
      <c r="BT179" s="192"/>
      <c r="BU179" s="192"/>
      <c r="BV179" s="192"/>
      <c r="BW179" s="192"/>
      <c r="BX179" s="192"/>
      <c r="BY179" s="192"/>
      <c r="BZ179" s="192"/>
      <c r="CA179" s="192"/>
      <c r="CB179" s="192"/>
      <c r="CC179" s="192"/>
      <c r="CD179" s="192"/>
    </row>
    <row r="180" spans="1:82" s="68" customFormat="1" x14ac:dyDescent="0.25">
      <c r="A180" s="62">
        <v>137</v>
      </c>
      <c r="B180" s="365" t="s">
        <v>231</v>
      </c>
      <c r="C180" s="62">
        <v>1167</v>
      </c>
      <c r="D180" s="63" t="s">
        <v>228</v>
      </c>
      <c r="E180" s="62">
        <v>2</v>
      </c>
      <c r="F180" s="585"/>
      <c r="G180" s="585"/>
      <c r="H180" s="585"/>
      <c r="I180" s="585"/>
      <c r="J180" s="620"/>
      <c r="K180" s="622"/>
      <c r="L180" s="166" t="s">
        <v>1079</v>
      </c>
      <c r="M180" s="164" t="s">
        <v>1132</v>
      </c>
      <c r="N180" s="166" t="s">
        <v>115</v>
      </c>
      <c r="O180" s="166" t="s">
        <v>793</v>
      </c>
      <c r="P180" s="166" t="s">
        <v>356</v>
      </c>
      <c r="Q180" s="255">
        <v>41908</v>
      </c>
      <c r="R180" s="266"/>
      <c r="S180" s="255" t="s">
        <v>724</v>
      </c>
      <c r="T180" s="189" t="s">
        <v>1080</v>
      </c>
      <c r="U180" s="166" t="s">
        <v>1064</v>
      </c>
      <c r="V180" s="166" t="s">
        <v>1068</v>
      </c>
      <c r="W180" s="166">
        <v>1022362455</v>
      </c>
      <c r="X180" s="166" t="s">
        <v>90</v>
      </c>
      <c r="Y180" s="166" t="s">
        <v>737</v>
      </c>
      <c r="Z180" s="166"/>
      <c r="AA180" s="174">
        <v>901</v>
      </c>
      <c r="AB180" s="173"/>
      <c r="AC180" s="174">
        <v>1015</v>
      </c>
      <c r="AD180" s="198">
        <v>1000000</v>
      </c>
      <c r="AE180" s="174">
        <v>0</v>
      </c>
      <c r="AF180" s="192"/>
      <c r="AG180" s="192"/>
      <c r="AH180" s="192"/>
      <c r="AI180" s="192"/>
      <c r="AJ180" s="192"/>
      <c r="AK180" s="192"/>
      <c r="AL180" s="192"/>
      <c r="AM180" s="192"/>
      <c r="AN180" s="174">
        <v>0</v>
      </c>
      <c r="AO180" s="174">
        <v>0</v>
      </c>
      <c r="AP180" s="174">
        <v>0</v>
      </c>
      <c r="AQ180" s="175">
        <f t="shared" si="36"/>
        <v>0</v>
      </c>
      <c r="AR180" s="175">
        <f t="shared" si="37"/>
        <v>1000000</v>
      </c>
      <c r="AS180" s="176">
        <f t="shared" si="38"/>
        <v>0</v>
      </c>
      <c r="AT180" s="261"/>
      <c r="AU180" s="346">
        <v>352</v>
      </c>
      <c r="AV180" s="346">
        <v>300</v>
      </c>
      <c r="AW180" s="345">
        <v>1000000</v>
      </c>
      <c r="AX180" s="345">
        <v>0</v>
      </c>
      <c r="AY180" s="345">
        <v>0</v>
      </c>
      <c r="AZ180" s="345">
        <v>1000000</v>
      </c>
      <c r="BA180" s="345">
        <v>0</v>
      </c>
      <c r="BB180" s="237">
        <v>0</v>
      </c>
      <c r="BC180" s="192">
        <v>0</v>
      </c>
      <c r="BD180" s="192"/>
      <c r="BE180" s="192"/>
      <c r="BF180" s="440"/>
      <c r="BG180" s="445"/>
      <c r="BH180" s="192"/>
      <c r="BI180" s="192"/>
      <c r="BJ180" s="344">
        <f t="shared" si="30"/>
        <v>1000000</v>
      </c>
      <c r="BK180" s="237">
        <f t="shared" si="34"/>
        <v>0</v>
      </c>
      <c r="BL180" s="435">
        <f t="shared" si="35"/>
        <v>1</v>
      </c>
      <c r="BM180" s="192"/>
      <c r="BN180" s="192"/>
      <c r="BO180" s="192"/>
      <c r="BP180" s="192"/>
      <c r="BQ180" s="192"/>
      <c r="BR180" s="192"/>
      <c r="BS180" s="192"/>
      <c r="BT180" s="192"/>
      <c r="BU180" s="192"/>
      <c r="BV180" s="192"/>
      <c r="BW180" s="192"/>
      <c r="BX180" s="192"/>
      <c r="BY180" s="192"/>
      <c r="BZ180" s="192"/>
      <c r="CA180" s="192"/>
      <c r="CB180" s="192"/>
      <c r="CC180" s="192"/>
      <c r="CD180" s="192"/>
    </row>
    <row r="181" spans="1:82" s="68" customFormat="1" x14ac:dyDescent="0.25">
      <c r="A181" s="62">
        <v>137</v>
      </c>
      <c r="B181" s="365" t="s">
        <v>231</v>
      </c>
      <c r="C181" s="62">
        <v>1167</v>
      </c>
      <c r="D181" s="63" t="s">
        <v>228</v>
      </c>
      <c r="E181" s="62">
        <v>2</v>
      </c>
      <c r="F181" s="585"/>
      <c r="G181" s="585"/>
      <c r="H181" s="585"/>
      <c r="I181" s="585"/>
      <c r="J181" s="620"/>
      <c r="K181" s="622"/>
      <c r="L181" s="164" t="s">
        <v>1081</v>
      </c>
      <c r="M181" s="164" t="s">
        <v>1119</v>
      </c>
      <c r="N181" s="164" t="s">
        <v>115</v>
      </c>
      <c r="O181" s="237" t="s">
        <v>836</v>
      </c>
      <c r="P181" s="237" t="s">
        <v>836</v>
      </c>
      <c r="Q181" s="255"/>
      <c r="R181" s="255"/>
      <c r="S181" s="255"/>
      <c r="T181" s="237" t="s">
        <v>1082</v>
      </c>
      <c r="U181" s="255"/>
      <c r="V181" s="237" t="s">
        <v>648</v>
      </c>
      <c r="W181" s="166">
        <v>899999063</v>
      </c>
      <c r="X181" s="255"/>
      <c r="Y181" s="255"/>
      <c r="Z181" s="164"/>
      <c r="AA181" s="167">
        <v>892</v>
      </c>
      <c r="AB181" s="173"/>
      <c r="AC181" s="167">
        <v>1003</v>
      </c>
      <c r="AD181" s="273">
        <v>11860000</v>
      </c>
      <c r="AE181" s="167">
        <v>0</v>
      </c>
      <c r="AF181" s="167"/>
      <c r="AG181" s="167"/>
      <c r="AH181" s="167"/>
      <c r="AI181" s="167">
        <v>0</v>
      </c>
      <c r="AJ181" s="167">
        <v>0</v>
      </c>
      <c r="AK181" s="167">
        <v>0</v>
      </c>
      <c r="AL181" s="167">
        <v>0</v>
      </c>
      <c r="AM181" s="167">
        <v>0</v>
      </c>
      <c r="AN181" s="167">
        <v>0</v>
      </c>
      <c r="AO181" s="167">
        <v>0</v>
      </c>
      <c r="AP181" s="167">
        <v>0</v>
      </c>
      <c r="AQ181" s="168">
        <f t="shared" si="36"/>
        <v>0</v>
      </c>
      <c r="AR181" s="168">
        <f t="shared" si="37"/>
        <v>11860000</v>
      </c>
      <c r="AS181" s="169">
        <f t="shared" si="38"/>
        <v>0</v>
      </c>
      <c r="AT181" s="261"/>
      <c r="AU181" s="346">
        <v>347</v>
      </c>
      <c r="AV181" s="346">
        <v>295</v>
      </c>
      <c r="AW181" s="345">
        <v>11860000</v>
      </c>
      <c r="AX181" s="345">
        <v>0</v>
      </c>
      <c r="AY181" s="345">
        <v>11860000</v>
      </c>
      <c r="AZ181" s="345">
        <v>0</v>
      </c>
      <c r="BA181" s="345">
        <v>0</v>
      </c>
      <c r="BB181" s="237">
        <v>0</v>
      </c>
      <c r="BC181" s="192">
        <v>0</v>
      </c>
      <c r="BD181" s="192"/>
      <c r="BE181" s="192"/>
      <c r="BF181" s="440"/>
      <c r="BG181" s="445"/>
      <c r="BH181" s="192"/>
      <c r="BI181" s="192"/>
      <c r="BJ181" s="344">
        <f t="shared" si="30"/>
        <v>11860000</v>
      </c>
      <c r="BK181" s="237">
        <f t="shared" si="34"/>
        <v>0</v>
      </c>
      <c r="BL181" s="435">
        <f t="shared" si="35"/>
        <v>1</v>
      </c>
      <c r="BM181" s="192"/>
      <c r="BN181" s="192"/>
      <c r="BO181" s="192"/>
      <c r="BP181" s="192"/>
      <c r="BQ181" s="192"/>
      <c r="BR181" s="192"/>
      <c r="BS181" s="192"/>
      <c r="BT181" s="192"/>
      <c r="BU181" s="192"/>
      <c r="BV181" s="192"/>
      <c r="BW181" s="192"/>
      <c r="BX181" s="192"/>
      <c r="BY181" s="192"/>
      <c r="BZ181" s="192"/>
      <c r="CA181" s="192"/>
      <c r="CB181" s="192"/>
      <c r="CC181" s="192"/>
      <c r="CD181" s="192"/>
    </row>
    <row r="182" spans="1:82" s="68" customFormat="1" x14ac:dyDescent="0.25">
      <c r="A182" s="62">
        <v>137</v>
      </c>
      <c r="B182" s="365" t="s">
        <v>231</v>
      </c>
      <c r="C182" s="62">
        <v>1167</v>
      </c>
      <c r="D182" s="63" t="s">
        <v>228</v>
      </c>
      <c r="E182" s="62">
        <v>2</v>
      </c>
      <c r="F182" s="585"/>
      <c r="G182" s="585"/>
      <c r="H182" s="585"/>
      <c r="I182" s="585"/>
      <c r="J182" s="620"/>
      <c r="K182" s="622"/>
      <c r="L182" s="164" t="s">
        <v>1083</v>
      </c>
      <c r="M182" s="164" t="s">
        <v>1119</v>
      </c>
      <c r="N182" s="164" t="s">
        <v>115</v>
      </c>
      <c r="O182" s="241" t="s">
        <v>329</v>
      </c>
      <c r="P182" s="164" t="s">
        <v>356</v>
      </c>
      <c r="Q182" s="255">
        <v>41929</v>
      </c>
      <c r="R182" s="255">
        <v>42032</v>
      </c>
      <c r="S182" s="255" t="s">
        <v>500</v>
      </c>
      <c r="T182" s="241" t="s">
        <v>1084</v>
      </c>
      <c r="U182" s="255" t="s">
        <v>1287</v>
      </c>
      <c r="V182" s="274" t="s">
        <v>547</v>
      </c>
      <c r="W182" s="255" t="s">
        <v>1347</v>
      </c>
      <c r="X182" s="269">
        <v>80</v>
      </c>
      <c r="Y182" s="255" t="s">
        <v>737</v>
      </c>
      <c r="Z182" s="164"/>
      <c r="AA182" s="167">
        <v>622</v>
      </c>
      <c r="AB182" s="271"/>
      <c r="AC182" s="167">
        <v>846</v>
      </c>
      <c r="AD182" s="198">
        <v>32828000</v>
      </c>
      <c r="AE182" s="167">
        <v>0</v>
      </c>
      <c r="AF182" s="167">
        <v>0</v>
      </c>
      <c r="AG182" s="167">
        <v>0</v>
      </c>
      <c r="AH182" s="167">
        <v>0</v>
      </c>
      <c r="AI182" s="167">
        <v>0</v>
      </c>
      <c r="AJ182" s="167">
        <v>0</v>
      </c>
      <c r="AK182" s="167">
        <v>0</v>
      </c>
      <c r="AL182" s="167">
        <v>0</v>
      </c>
      <c r="AM182" s="167">
        <v>0</v>
      </c>
      <c r="AN182" s="167">
        <v>0</v>
      </c>
      <c r="AO182" s="167">
        <v>0</v>
      </c>
      <c r="AP182" s="167">
        <v>0</v>
      </c>
      <c r="AQ182" s="168">
        <f t="shared" si="36"/>
        <v>0</v>
      </c>
      <c r="AR182" s="168">
        <f t="shared" si="37"/>
        <v>32828000</v>
      </c>
      <c r="AS182" s="169">
        <f t="shared" si="38"/>
        <v>0</v>
      </c>
      <c r="AT182" s="261"/>
      <c r="AU182" s="346">
        <v>273</v>
      </c>
      <c r="AV182" s="346">
        <v>234</v>
      </c>
      <c r="AW182" s="345">
        <v>32828000</v>
      </c>
      <c r="AX182" s="345">
        <v>0</v>
      </c>
      <c r="AY182" s="345">
        <v>0</v>
      </c>
      <c r="AZ182" s="345">
        <v>0</v>
      </c>
      <c r="BA182" s="345">
        <v>0</v>
      </c>
      <c r="BB182" s="237">
        <v>0</v>
      </c>
      <c r="BC182" s="345">
        <f>4140000+6407000</f>
        <v>10547000</v>
      </c>
      <c r="BD182" s="192"/>
      <c r="BE182" s="192"/>
      <c r="BF182" s="440"/>
      <c r="BG182" s="445"/>
      <c r="BH182" s="192"/>
      <c r="BI182" s="192">
        <v>22281000</v>
      </c>
      <c r="BJ182" s="344">
        <f t="shared" si="30"/>
        <v>32828000</v>
      </c>
      <c r="BK182" s="237">
        <f t="shared" si="34"/>
        <v>0</v>
      </c>
      <c r="BL182" s="435">
        <f t="shared" si="35"/>
        <v>1</v>
      </c>
      <c r="BM182" s="192"/>
      <c r="BN182" s="192"/>
      <c r="BO182" s="192"/>
      <c r="BP182" s="192"/>
      <c r="BQ182" s="192"/>
      <c r="BR182" s="192"/>
      <c r="BS182" s="192"/>
      <c r="BT182" s="192"/>
      <c r="BU182" s="192"/>
      <c r="BV182" s="192"/>
      <c r="BW182" s="192"/>
      <c r="BX182" s="192"/>
      <c r="BY182" s="192"/>
      <c r="BZ182" s="192"/>
      <c r="CA182" s="192"/>
      <c r="CB182" s="192"/>
      <c r="CC182" s="192"/>
      <c r="CD182" s="192"/>
    </row>
    <row r="183" spans="1:82" s="25" customFormat="1" x14ac:dyDescent="0.25">
      <c r="A183" s="62">
        <v>137</v>
      </c>
      <c r="B183" s="365" t="s">
        <v>231</v>
      </c>
      <c r="C183" s="62">
        <v>1167</v>
      </c>
      <c r="D183" s="63" t="s">
        <v>228</v>
      </c>
      <c r="E183" s="62">
        <v>2</v>
      </c>
      <c r="F183" s="585"/>
      <c r="G183" s="585"/>
      <c r="H183" s="585"/>
      <c r="I183" s="585"/>
      <c r="J183" s="620"/>
      <c r="K183" s="622"/>
      <c r="L183" s="164" t="s">
        <v>1085</v>
      </c>
      <c r="M183" s="164" t="s">
        <v>1119</v>
      </c>
      <c r="N183" s="164" t="s">
        <v>115</v>
      </c>
      <c r="O183" s="255" t="s">
        <v>1095</v>
      </c>
      <c r="P183" s="164" t="s">
        <v>320</v>
      </c>
      <c r="Q183" s="255">
        <v>41938</v>
      </c>
      <c r="R183" s="255">
        <v>42032</v>
      </c>
      <c r="S183" s="255" t="s">
        <v>500</v>
      </c>
      <c r="T183" s="164" t="s">
        <v>1086</v>
      </c>
      <c r="U183" s="253" t="s">
        <v>798</v>
      </c>
      <c r="V183" s="164" t="s">
        <v>824</v>
      </c>
      <c r="W183" s="255" t="s">
        <v>1348</v>
      </c>
      <c r="X183" s="166" t="s">
        <v>90</v>
      </c>
      <c r="Y183" s="255" t="s">
        <v>737</v>
      </c>
      <c r="Z183" s="164"/>
      <c r="AA183" s="167">
        <v>802</v>
      </c>
      <c r="AB183" s="173"/>
      <c r="AC183" s="167">
        <v>916</v>
      </c>
      <c r="AD183" s="197">
        <v>7400000</v>
      </c>
      <c r="AE183" s="167">
        <v>0</v>
      </c>
      <c r="AF183" s="167"/>
      <c r="AG183" s="167"/>
      <c r="AH183" s="167"/>
      <c r="AI183" s="167">
        <v>0</v>
      </c>
      <c r="AJ183" s="167">
        <v>0</v>
      </c>
      <c r="AK183" s="167">
        <v>0</v>
      </c>
      <c r="AL183" s="167">
        <v>0</v>
      </c>
      <c r="AM183" s="167">
        <v>0</v>
      </c>
      <c r="AN183" s="167">
        <v>0</v>
      </c>
      <c r="AO183" s="167">
        <v>0</v>
      </c>
      <c r="AP183" s="167">
        <v>0</v>
      </c>
      <c r="AQ183" s="168">
        <f t="shared" si="36"/>
        <v>0</v>
      </c>
      <c r="AR183" s="168">
        <f t="shared" si="37"/>
        <v>7400000</v>
      </c>
      <c r="AS183" s="169">
        <f t="shared" si="38"/>
        <v>0</v>
      </c>
      <c r="AT183" s="236"/>
      <c r="AU183" s="346">
        <v>300</v>
      </c>
      <c r="AV183" s="346">
        <v>257</v>
      </c>
      <c r="AW183" s="345">
        <v>7400000</v>
      </c>
      <c r="AX183" s="345">
        <v>0</v>
      </c>
      <c r="AY183" s="345">
        <v>0</v>
      </c>
      <c r="AZ183" s="345">
        <v>0</v>
      </c>
      <c r="BA183" s="345">
        <v>0</v>
      </c>
      <c r="BB183" s="345">
        <v>1850000</v>
      </c>
      <c r="BC183" s="345">
        <v>1850000</v>
      </c>
      <c r="BD183" s="237"/>
      <c r="BE183" s="237"/>
      <c r="BF183" s="438"/>
      <c r="BG183" s="443"/>
      <c r="BH183" s="237"/>
      <c r="BI183" s="237">
        <v>3700000</v>
      </c>
      <c r="BJ183" s="344">
        <f t="shared" si="30"/>
        <v>7400000</v>
      </c>
      <c r="BK183" s="237">
        <f t="shared" si="34"/>
        <v>0</v>
      </c>
      <c r="BL183" s="435">
        <f t="shared" si="35"/>
        <v>1</v>
      </c>
      <c r="BM183" s="192"/>
      <c r="BN183" s="192"/>
      <c r="BO183" s="192"/>
      <c r="BP183" s="192"/>
      <c r="BQ183" s="192"/>
      <c r="BR183" s="192"/>
      <c r="BS183" s="192"/>
      <c r="BT183" s="192"/>
      <c r="BU183" s="192"/>
      <c r="BV183" s="192"/>
      <c r="BW183" s="192"/>
      <c r="BX183" s="192"/>
      <c r="BY183" s="192"/>
      <c r="BZ183" s="192"/>
      <c r="CA183" s="192"/>
      <c r="CB183" s="192"/>
      <c r="CC183" s="192"/>
      <c r="CD183" s="192"/>
    </row>
    <row r="184" spans="1:82" s="68" customFormat="1" x14ac:dyDescent="0.25">
      <c r="A184" s="62">
        <v>138</v>
      </c>
      <c r="B184" s="365" t="s">
        <v>233</v>
      </c>
      <c r="C184" s="62">
        <v>1167</v>
      </c>
      <c r="D184" s="63" t="s">
        <v>228</v>
      </c>
      <c r="E184" s="62">
        <v>3</v>
      </c>
      <c r="F184" s="559" t="s">
        <v>53</v>
      </c>
      <c r="G184" s="559">
        <v>800</v>
      </c>
      <c r="H184" s="559" t="s">
        <v>61</v>
      </c>
      <c r="I184" s="559" t="s">
        <v>234</v>
      </c>
      <c r="J184" s="619">
        <v>0</v>
      </c>
      <c r="K184" s="621">
        <v>0</v>
      </c>
      <c r="L184" s="166" t="s">
        <v>1087</v>
      </c>
      <c r="M184" s="164" t="s">
        <v>1119</v>
      </c>
      <c r="N184" s="164" t="s">
        <v>115</v>
      </c>
      <c r="O184" s="255" t="s">
        <v>793</v>
      </c>
      <c r="P184" s="166" t="s">
        <v>400</v>
      </c>
      <c r="Q184" s="255">
        <v>41963</v>
      </c>
      <c r="R184" s="255">
        <v>41983</v>
      </c>
      <c r="S184" s="255" t="s">
        <v>807</v>
      </c>
      <c r="T184" s="189" t="s">
        <v>1088</v>
      </c>
      <c r="U184" s="255" t="s">
        <v>1287</v>
      </c>
      <c r="V184" s="166" t="s">
        <v>786</v>
      </c>
      <c r="W184" s="253" t="s">
        <v>1349</v>
      </c>
      <c r="X184" s="269">
        <v>300</v>
      </c>
      <c r="Y184" s="255" t="s">
        <v>884</v>
      </c>
      <c r="Z184" s="166"/>
      <c r="AA184" s="167">
        <v>800</v>
      </c>
      <c r="AB184" s="271"/>
      <c r="AC184" s="167">
        <v>887</v>
      </c>
      <c r="AD184" s="197">
        <v>200000000</v>
      </c>
      <c r="AE184" s="259"/>
      <c r="AF184" s="237"/>
      <c r="AG184" s="237"/>
      <c r="AH184" s="237"/>
      <c r="AI184" s="237"/>
      <c r="AJ184" s="237"/>
      <c r="AK184" s="237"/>
      <c r="AL184" s="237"/>
      <c r="AM184" s="237"/>
      <c r="AN184" s="167">
        <v>0</v>
      </c>
      <c r="AO184" s="167">
        <v>0</v>
      </c>
      <c r="AP184" s="167">
        <v>0</v>
      </c>
      <c r="AQ184" s="168">
        <f t="shared" si="36"/>
        <v>0</v>
      </c>
      <c r="AR184" s="168">
        <f t="shared" si="37"/>
        <v>200000000</v>
      </c>
      <c r="AS184" s="169">
        <f t="shared" si="38"/>
        <v>0</v>
      </c>
      <c r="AT184" s="261"/>
      <c r="AU184" s="346">
        <v>289</v>
      </c>
      <c r="AV184" s="346">
        <v>371</v>
      </c>
      <c r="AW184" s="345">
        <v>200000000</v>
      </c>
      <c r="AX184" s="345">
        <v>0</v>
      </c>
      <c r="AY184" s="345">
        <v>0</v>
      </c>
      <c r="AZ184" s="345">
        <v>43510000</v>
      </c>
      <c r="BA184" s="345">
        <v>35774000</v>
      </c>
      <c r="BB184" s="345">
        <v>39407500</v>
      </c>
      <c r="BC184" s="345">
        <v>42018500</v>
      </c>
      <c r="BD184" s="345">
        <v>31900000</v>
      </c>
      <c r="BE184" s="345">
        <v>7390000</v>
      </c>
      <c r="BF184" s="440"/>
      <c r="BG184" s="445"/>
      <c r="BH184" s="192"/>
      <c r="BI184" s="192"/>
      <c r="BJ184" s="344">
        <f t="shared" si="30"/>
        <v>200000000</v>
      </c>
      <c r="BK184" s="237">
        <f t="shared" si="34"/>
        <v>0</v>
      </c>
      <c r="BL184" s="435">
        <f t="shared" si="35"/>
        <v>1</v>
      </c>
      <c r="BM184" s="192"/>
      <c r="BN184" s="192"/>
      <c r="BO184" s="192"/>
      <c r="BP184" s="192"/>
      <c r="BQ184" s="192"/>
      <c r="BR184" s="192"/>
      <c r="BS184" s="192"/>
      <c r="BT184" s="192"/>
      <c r="BU184" s="192"/>
      <c r="BV184" s="192"/>
      <c r="BW184" s="192"/>
      <c r="BX184" s="192"/>
      <c r="BY184" s="192"/>
      <c r="BZ184" s="192"/>
      <c r="CA184" s="192"/>
      <c r="CB184" s="192"/>
      <c r="CC184" s="192"/>
      <c r="CD184" s="192"/>
    </row>
    <row r="185" spans="1:82" s="68" customFormat="1" x14ac:dyDescent="0.25">
      <c r="A185" s="62">
        <v>138</v>
      </c>
      <c r="B185" s="365" t="s">
        <v>233</v>
      </c>
      <c r="C185" s="62">
        <v>1167</v>
      </c>
      <c r="D185" s="63" t="s">
        <v>228</v>
      </c>
      <c r="E185" s="62">
        <v>3</v>
      </c>
      <c r="F185" s="559"/>
      <c r="G185" s="559"/>
      <c r="H185" s="559"/>
      <c r="I185" s="559"/>
      <c r="J185" s="620"/>
      <c r="K185" s="622"/>
      <c r="L185" s="166" t="s">
        <v>1089</v>
      </c>
      <c r="M185" s="164" t="s">
        <v>1119</v>
      </c>
      <c r="N185" s="164" t="s">
        <v>115</v>
      </c>
      <c r="O185" s="255" t="s">
        <v>1293</v>
      </c>
      <c r="P185" s="166" t="s">
        <v>400</v>
      </c>
      <c r="Q185" s="255">
        <v>42003</v>
      </c>
      <c r="R185" s="255">
        <v>41983</v>
      </c>
      <c r="S185" s="255" t="s">
        <v>807</v>
      </c>
      <c r="T185" s="189" t="s">
        <v>1088</v>
      </c>
      <c r="U185" s="255" t="s">
        <v>1287</v>
      </c>
      <c r="V185" s="166" t="s">
        <v>786</v>
      </c>
      <c r="W185" s="253" t="s">
        <v>1349</v>
      </c>
      <c r="X185" s="269">
        <v>300</v>
      </c>
      <c r="Y185" s="255" t="s">
        <v>884</v>
      </c>
      <c r="Z185" s="166"/>
      <c r="AA185" s="167">
        <v>910</v>
      </c>
      <c r="AB185" s="173"/>
      <c r="AC185" s="167">
        <v>1031</v>
      </c>
      <c r="AD185" s="197">
        <v>9230000</v>
      </c>
      <c r="AE185" s="259"/>
      <c r="AF185" s="237"/>
      <c r="AG185" s="237"/>
      <c r="AH185" s="237"/>
      <c r="AI185" s="237"/>
      <c r="AJ185" s="237"/>
      <c r="AK185" s="237"/>
      <c r="AL185" s="237"/>
      <c r="AM185" s="237"/>
      <c r="AN185" s="167">
        <v>0</v>
      </c>
      <c r="AO185" s="167">
        <v>0</v>
      </c>
      <c r="AP185" s="167">
        <v>0</v>
      </c>
      <c r="AQ185" s="168">
        <f t="shared" si="36"/>
        <v>0</v>
      </c>
      <c r="AR185" s="168">
        <f t="shared" si="37"/>
        <v>9230000</v>
      </c>
      <c r="AS185" s="169">
        <f t="shared" si="38"/>
        <v>0</v>
      </c>
      <c r="AT185" s="261"/>
      <c r="AU185" s="346">
        <v>473</v>
      </c>
      <c r="AV185" s="346">
        <v>525</v>
      </c>
      <c r="AW185" s="345">
        <v>9230000</v>
      </c>
      <c r="AX185" s="345">
        <v>0</v>
      </c>
      <c r="AY185" s="345">
        <v>0</v>
      </c>
      <c r="AZ185" s="345">
        <v>0</v>
      </c>
      <c r="BA185" s="345">
        <v>0</v>
      </c>
      <c r="BB185" s="237">
        <v>0</v>
      </c>
      <c r="BC185" s="192">
        <v>0</v>
      </c>
      <c r="BD185" s="192"/>
      <c r="BE185" s="345">
        <v>9230000</v>
      </c>
      <c r="BF185" s="440"/>
      <c r="BG185" s="445"/>
      <c r="BH185" s="192"/>
      <c r="BI185" s="192"/>
      <c r="BJ185" s="344">
        <f t="shared" si="30"/>
        <v>9230000</v>
      </c>
      <c r="BK185" s="237">
        <f t="shared" si="34"/>
        <v>0</v>
      </c>
      <c r="BL185" s="435">
        <f t="shared" si="35"/>
        <v>1</v>
      </c>
      <c r="BM185" s="192"/>
      <c r="BN185" s="192"/>
      <c r="BO185" s="192"/>
      <c r="BP185" s="192"/>
      <c r="BQ185" s="192"/>
      <c r="BR185" s="192"/>
      <c r="BS185" s="192"/>
      <c r="BT185" s="192"/>
      <c r="BU185" s="192"/>
      <c r="BV185" s="192"/>
      <c r="BW185" s="192"/>
      <c r="BX185" s="192"/>
      <c r="BY185" s="192"/>
      <c r="BZ185" s="192"/>
      <c r="CA185" s="192"/>
      <c r="CB185" s="192"/>
      <c r="CC185" s="192"/>
      <c r="CD185" s="192"/>
    </row>
    <row r="186" spans="1:82" s="25" customFormat="1" x14ac:dyDescent="0.25">
      <c r="A186" s="62">
        <v>138</v>
      </c>
      <c r="B186" s="365" t="s">
        <v>233</v>
      </c>
      <c r="C186" s="62">
        <v>1167</v>
      </c>
      <c r="D186" s="63" t="s">
        <v>228</v>
      </c>
      <c r="E186" s="62">
        <v>3</v>
      </c>
      <c r="F186" s="559"/>
      <c r="G186" s="559"/>
      <c r="H186" s="559"/>
      <c r="I186" s="559"/>
      <c r="J186" s="620"/>
      <c r="K186" s="622"/>
      <c r="L186" s="164" t="s">
        <v>1090</v>
      </c>
      <c r="M186" s="164" t="s">
        <v>1119</v>
      </c>
      <c r="N186" s="164" t="s">
        <v>115</v>
      </c>
      <c r="O186" s="255" t="s">
        <v>793</v>
      </c>
      <c r="P186" s="237" t="s">
        <v>320</v>
      </c>
      <c r="Q186" s="255">
        <v>41969</v>
      </c>
      <c r="R186" s="255">
        <v>41983</v>
      </c>
      <c r="S186" s="255" t="s">
        <v>807</v>
      </c>
      <c r="T186" s="237" t="s">
        <v>1091</v>
      </c>
      <c r="U186" s="255" t="s">
        <v>1350</v>
      </c>
      <c r="V186" s="237" t="s">
        <v>1092</v>
      </c>
      <c r="W186" s="166">
        <v>80723342</v>
      </c>
      <c r="X186" s="255" t="s">
        <v>90</v>
      </c>
      <c r="Y186" s="255" t="s">
        <v>884</v>
      </c>
      <c r="Z186" s="237"/>
      <c r="AA186" s="167">
        <v>824</v>
      </c>
      <c r="AB186" s="271"/>
      <c r="AC186" s="167">
        <v>919</v>
      </c>
      <c r="AD186" s="197">
        <v>10000000</v>
      </c>
      <c r="AE186" s="259"/>
      <c r="AF186" s="237"/>
      <c r="AG186" s="237"/>
      <c r="AH186" s="237"/>
      <c r="AI186" s="237"/>
      <c r="AJ186" s="237"/>
      <c r="AK186" s="237"/>
      <c r="AL186" s="237"/>
      <c r="AM186" s="237"/>
      <c r="AN186" s="167">
        <v>0</v>
      </c>
      <c r="AO186" s="167">
        <v>0</v>
      </c>
      <c r="AP186" s="167">
        <v>0</v>
      </c>
      <c r="AQ186" s="168">
        <f t="shared" si="36"/>
        <v>0</v>
      </c>
      <c r="AR186" s="168">
        <f t="shared" si="37"/>
        <v>10000000</v>
      </c>
      <c r="AS186" s="169">
        <f t="shared" si="38"/>
        <v>0</v>
      </c>
      <c r="AT186" s="236"/>
      <c r="AU186" s="346">
        <v>302</v>
      </c>
      <c r="AV186" s="346">
        <v>259</v>
      </c>
      <c r="AW186" s="345">
        <v>10000000</v>
      </c>
      <c r="AX186" s="345">
        <v>0</v>
      </c>
      <c r="AY186" s="345">
        <v>0</v>
      </c>
      <c r="AZ186" s="345">
        <v>0</v>
      </c>
      <c r="BA186" s="345">
        <v>4999998</v>
      </c>
      <c r="BB186" s="237">
        <v>0</v>
      </c>
      <c r="BC186" s="237">
        <v>0</v>
      </c>
      <c r="BD186" s="237"/>
      <c r="BE186" s="237"/>
      <c r="BF186" s="438">
        <v>3333332</v>
      </c>
      <c r="BG186" s="447">
        <v>1666670</v>
      </c>
      <c r="BH186" s="237"/>
      <c r="BI186" s="237"/>
      <c r="BJ186" s="344">
        <f t="shared" si="30"/>
        <v>10000000</v>
      </c>
      <c r="BK186" s="237">
        <f t="shared" si="34"/>
        <v>0</v>
      </c>
      <c r="BL186" s="435">
        <f t="shared" si="35"/>
        <v>1</v>
      </c>
      <c r="BM186" s="192"/>
      <c r="BN186" s="192"/>
      <c r="BO186" s="192"/>
      <c r="BP186" s="192"/>
      <c r="BQ186" s="192"/>
      <c r="BR186" s="192"/>
      <c r="BS186" s="192"/>
      <c r="BT186" s="192"/>
      <c r="BU186" s="192"/>
      <c r="BV186" s="192"/>
      <c r="BW186" s="192"/>
      <c r="BX186" s="192"/>
      <c r="BY186" s="192"/>
      <c r="BZ186" s="192"/>
      <c r="CA186" s="192"/>
      <c r="CB186" s="192"/>
      <c r="CC186" s="192"/>
      <c r="CD186" s="192"/>
    </row>
    <row r="187" spans="1:82" s="25" customFormat="1" x14ac:dyDescent="0.25">
      <c r="A187" s="62">
        <v>139</v>
      </c>
      <c r="B187" s="365" t="s">
        <v>236</v>
      </c>
      <c r="C187" s="62">
        <v>1175</v>
      </c>
      <c r="D187" s="63" t="s">
        <v>237</v>
      </c>
      <c r="E187" s="62">
        <v>1</v>
      </c>
      <c r="F187" s="559" t="s">
        <v>212</v>
      </c>
      <c r="G187" s="559">
        <v>1</v>
      </c>
      <c r="H187" s="559" t="s">
        <v>238</v>
      </c>
      <c r="I187" s="559" t="s">
        <v>239</v>
      </c>
      <c r="J187" s="619">
        <v>0</v>
      </c>
      <c r="K187" s="621">
        <v>0</v>
      </c>
      <c r="L187" s="166"/>
      <c r="M187" s="164"/>
      <c r="N187" s="166"/>
      <c r="O187" s="189"/>
      <c r="P187" s="166"/>
      <c r="Q187" s="180"/>
      <c r="R187" s="180"/>
      <c r="S187" s="166"/>
      <c r="T187" s="189"/>
      <c r="U187" s="199"/>
      <c r="V187" s="166"/>
      <c r="W187" s="189"/>
      <c r="X187" s="173"/>
      <c r="Y187" s="173"/>
      <c r="Z187" s="166"/>
      <c r="AA187" s="174"/>
      <c r="AB187" s="175"/>
      <c r="AC187" s="174"/>
      <c r="AD187" s="175"/>
      <c r="AE187" s="174"/>
      <c r="AF187" s="174"/>
      <c r="AG187" s="174"/>
      <c r="AH187" s="174"/>
      <c r="AI187" s="174"/>
      <c r="AJ187" s="174"/>
      <c r="AK187" s="174"/>
      <c r="AL187" s="174"/>
      <c r="AM187" s="174"/>
      <c r="AN187" s="174"/>
      <c r="AO187" s="174"/>
      <c r="AP187" s="174"/>
      <c r="AQ187" s="168">
        <f t="shared" si="36"/>
        <v>0</v>
      </c>
      <c r="AR187" s="168">
        <f t="shared" si="37"/>
        <v>0</v>
      </c>
      <c r="AS187" s="169" t="e">
        <f t="shared" si="38"/>
        <v>#DIV/0!</v>
      </c>
      <c r="AT187" s="236"/>
      <c r="AU187" s="346"/>
      <c r="AV187" s="346"/>
      <c r="AW187" s="345"/>
      <c r="AX187" s="345"/>
      <c r="AY187" s="345"/>
      <c r="AZ187" s="345"/>
      <c r="BA187" s="237"/>
      <c r="BB187" s="237"/>
      <c r="BC187" s="237"/>
      <c r="BD187" s="237"/>
      <c r="BE187" s="237"/>
      <c r="BF187" s="438"/>
      <c r="BG187" s="443"/>
      <c r="BH187" s="237"/>
      <c r="BI187" s="237"/>
      <c r="BJ187" s="344">
        <f t="shared" si="30"/>
        <v>0</v>
      </c>
      <c r="BK187" s="237">
        <f t="shared" si="34"/>
        <v>0</v>
      </c>
      <c r="BL187" s="435" t="e">
        <f t="shared" si="35"/>
        <v>#DIV/0!</v>
      </c>
      <c r="BM187" s="192"/>
      <c r="BN187" s="192"/>
      <c r="BO187" s="192"/>
      <c r="BP187" s="192"/>
      <c r="BQ187" s="192"/>
      <c r="BR187" s="192"/>
      <c r="BS187" s="192"/>
      <c r="BT187" s="192"/>
      <c r="BU187" s="192"/>
      <c r="BV187" s="192"/>
      <c r="BW187" s="192"/>
      <c r="BX187" s="192"/>
      <c r="BY187" s="192"/>
      <c r="BZ187" s="192"/>
      <c r="CA187" s="192"/>
      <c r="CB187" s="192"/>
      <c r="CC187" s="192"/>
      <c r="CD187" s="192"/>
    </row>
    <row r="188" spans="1:82" s="25" customFormat="1" x14ac:dyDescent="0.25">
      <c r="A188" s="62">
        <v>139</v>
      </c>
      <c r="B188" s="365" t="s">
        <v>236</v>
      </c>
      <c r="C188" s="62">
        <v>1175</v>
      </c>
      <c r="D188" s="63" t="s">
        <v>237</v>
      </c>
      <c r="E188" s="62">
        <v>1</v>
      </c>
      <c r="F188" s="559"/>
      <c r="G188" s="559"/>
      <c r="H188" s="559"/>
      <c r="I188" s="559"/>
      <c r="J188" s="620"/>
      <c r="K188" s="622"/>
      <c r="L188" s="164"/>
      <c r="M188" s="164"/>
      <c r="N188" s="164"/>
      <c r="O188" s="164"/>
      <c r="P188" s="164"/>
      <c r="Q188" s="165"/>
      <c r="R188" s="165"/>
      <c r="S188" s="164"/>
      <c r="T188" s="164"/>
      <c r="U188" s="164"/>
      <c r="V188" s="164"/>
      <c r="W188" s="164"/>
      <c r="X188" s="164"/>
      <c r="Y188" s="164"/>
      <c r="Z188" s="164"/>
      <c r="AA188" s="167"/>
      <c r="AB188" s="175"/>
      <c r="AC188" s="167"/>
      <c r="AD188" s="168"/>
      <c r="AE188" s="167"/>
      <c r="AF188" s="167"/>
      <c r="AG188" s="167"/>
      <c r="AH188" s="167"/>
      <c r="AI188" s="167">
        <v>0</v>
      </c>
      <c r="AJ188" s="167">
        <v>0</v>
      </c>
      <c r="AK188" s="167">
        <v>0</v>
      </c>
      <c r="AL188" s="167">
        <v>0</v>
      </c>
      <c r="AM188" s="167">
        <v>0</v>
      </c>
      <c r="AN188" s="167">
        <v>0</v>
      </c>
      <c r="AO188" s="167">
        <v>0</v>
      </c>
      <c r="AP188" s="167">
        <v>0</v>
      </c>
      <c r="AQ188" s="168">
        <f t="shared" si="36"/>
        <v>0</v>
      </c>
      <c r="AR188" s="168">
        <f t="shared" si="37"/>
        <v>0</v>
      </c>
      <c r="AS188" s="169" t="e">
        <f t="shared" si="38"/>
        <v>#DIV/0!</v>
      </c>
      <c r="AT188" s="236"/>
      <c r="AU188" s="346"/>
      <c r="AV188" s="346"/>
      <c r="AW188" s="345"/>
      <c r="AX188" s="345"/>
      <c r="AY188" s="345"/>
      <c r="AZ188" s="345"/>
      <c r="BA188" s="237"/>
      <c r="BB188" s="237"/>
      <c r="BC188" s="237"/>
      <c r="BD188" s="237"/>
      <c r="BE188" s="237"/>
      <c r="BF188" s="438"/>
      <c r="BG188" s="443"/>
      <c r="BH188" s="237"/>
      <c r="BI188" s="237"/>
      <c r="BJ188" s="344">
        <f t="shared" si="30"/>
        <v>0</v>
      </c>
      <c r="BK188" s="237">
        <f t="shared" si="34"/>
        <v>0</v>
      </c>
      <c r="BL188" s="435" t="e">
        <f t="shared" si="35"/>
        <v>#DIV/0!</v>
      </c>
      <c r="BM188" s="192"/>
      <c r="BN188" s="192"/>
      <c r="BO188" s="192"/>
      <c r="BP188" s="192"/>
      <c r="BQ188" s="192"/>
      <c r="BR188" s="192"/>
      <c r="BS188" s="192"/>
      <c r="BT188" s="192"/>
      <c r="BU188" s="192"/>
      <c r="BV188" s="192"/>
      <c r="BW188" s="192"/>
      <c r="BX188" s="192"/>
      <c r="BY188" s="192"/>
      <c r="BZ188" s="192"/>
      <c r="CA188" s="192"/>
      <c r="CB188" s="192"/>
      <c r="CC188" s="192"/>
      <c r="CD188" s="192"/>
    </row>
    <row r="189" spans="1:82" s="25" customFormat="1" x14ac:dyDescent="0.25">
      <c r="A189" s="62">
        <v>139</v>
      </c>
      <c r="B189" s="365" t="s">
        <v>236</v>
      </c>
      <c r="C189" s="62">
        <v>1175</v>
      </c>
      <c r="D189" s="63" t="s">
        <v>237</v>
      </c>
      <c r="E189" s="62">
        <v>1</v>
      </c>
      <c r="F189" s="559"/>
      <c r="G189" s="559"/>
      <c r="H189" s="559"/>
      <c r="I189" s="559"/>
      <c r="J189" s="620"/>
      <c r="K189" s="622"/>
      <c r="L189" s="164"/>
      <c r="M189" s="164"/>
      <c r="N189" s="164"/>
      <c r="O189" s="164"/>
      <c r="P189" s="164"/>
      <c r="Q189" s="165"/>
      <c r="R189" s="165"/>
      <c r="S189" s="164"/>
      <c r="T189" s="164"/>
      <c r="U189" s="164"/>
      <c r="V189" s="164"/>
      <c r="W189" s="164"/>
      <c r="X189" s="164"/>
      <c r="Y189" s="164"/>
      <c r="Z189" s="164"/>
      <c r="AA189" s="167"/>
      <c r="AB189" s="175"/>
      <c r="AC189" s="167"/>
      <c r="AD189" s="168"/>
      <c r="AE189" s="167"/>
      <c r="AF189" s="167"/>
      <c r="AG189" s="167"/>
      <c r="AH189" s="167"/>
      <c r="AI189" s="167">
        <v>0</v>
      </c>
      <c r="AJ189" s="167">
        <v>0</v>
      </c>
      <c r="AK189" s="167">
        <v>0</v>
      </c>
      <c r="AL189" s="167">
        <v>0</v>
      </c>
      <c r="AM189" s="167">
        <v>0</v>
      </c>
      <c r="AN189" s="167">
        <v>0</v>
      </c>
      <c r="AO189" s="167">
        <v>0</v>
      </c>
      <c r="AP189" s="167">
        <v>0</v>
      </c>
      <c r="AQ189" s="168">
        <f t="shared" si="36"/>
        <v>0</v>
      </c>
      <c r="AR189" s="168">
        <f t="shared" si="37"/>
        <v>0</v>
      </c>
      <c r="AS189" s="169" t="e">
        <f t="shared" si="38"/>
        <v>#DIV/0!</v>
      </c>
      <c r="AT189" s="236"/>
      <c r="AU189" s="346"/>
      <c r="AV189" s="346"/>
      <c r="AW189" s="345"/>
      <c r="AX189" s="345"/>
      <c r="AY189" s="345"/>
      <c r="AZ189" s="345"/>
      <c r="BA189" s="237"/>
      <c r="BB189" s="237"/>
      <c r="BC189" s="237"/>
      <c r="BD189" s="237"/>
      <c r="BE189" s="237"/>
      <c r="BF189" s="438"/>
      <c r="BG189" s="443"/>
      <c r="BH189" s="237"/>
      <c r="BI189" s="237"/>
      <c r="BJ189" s="344">
        <f t="shared" si="30"/>
        <v>0</v>
      </c>
      <c r="BK189" s="237">
        <f t="shared" si="34"/>
        <v>0</v>
      </c>
      <c r="BL189" s="435" t="e">
        <f t="shared" si="35"/>
        <v>#DIV/0!</v>
      </c>
      <c r="BM189" s="192"/>
      <c r="BN189" s="192"/>
      <c r="BO189" s="192"/>
      <c r="BP189" s="192"/>
      <c r="BQ189" s="192"/>
      <c r="BR189" s="192"/>
      <c r="BS189" s="192"/>
      <c r="BT189" s="192"/>
      <c r="BU189" s="192"/>
      <c r="BV189" s="192"/>
      <c r="BW189" s="192"/>
      <c r="BX189" s="192"/>
      <c r="BY189" s="192"/>
      <c r="BZ189" s="192"/>
      <c r="CA189" s="192"/>
      <c r="CB189" s="192"/>
      <c r="CC189" s="192"/>
      <c r="CD189" s="192"/>
    </row>
    <row r="190" spans="1:82" s="25" customFormat="1" ht="15" customHeight="1" x14ac:dyDescent="0.25">
      <c r="A190" s="64">
        <v>140</v>
      </c>
      <c r="B190" s="365" t="s">
        <v>241</v>
      </c>
      <c r="C190" s="64">
        <v>1171</v>
      </c>
      <c r="D190" s="65" t="s">
        <v>243</v>
      </c>
      <c r="E190" s="64">
        <v>1</v>
      </c>
      <c r="F190" s="584" t="s">
        <v>130</v>
      </c>
      <c r="G190" s="584">
        <v>1</v>
      </c>
      <c r="H190" s="584" t="s">
        <v>244</v>
      </c>
      <c r="I190" s="584" t="s">
        <v>245</v>
      </c>
      <c r="J190" s="632">
        <v>0</v>
      </c>
      <c r="K190" s="634">
        <v>0</v>
      </c>
      <c r="L190" s="164" t="s">
        <v>1093</v>
      </c>
      <c r="M190" s="164" t="s">
        <v>1121</v>
      </c>
      <c r="N190" s="164" t="s">
        <v>115</v>
      </c>
      <c r="O190" s="164" t="s">
        <v>336</v>
      </c>
      <c r="P190" s="164" t="s">
        <v>356</v>
      </c>
      <c r="Q190" s="165" t="s">
        <v>90</v>
      </c>
      <c r="R190" s="165" t="s">
        <v>90</v>
      </c>
      <c r="S190" s="164" t="s">
        <v>90</v>
      </c>
      <c r="T190" s="164" t="s">
        <v>90</v>
      </c>
      <c r="U190" s="194" t="s">
        <v>745</v>
      </c>
      <c r="V190" s="164" t="s">
        <v>90</v>
      </c>
      <c r="W190" s="164" t="s">
        <v>90</v>
      </c>
      <c r="X190" s="164" t="s">
        <v>699</v>
      </c>
      <c r="Y190" s="166" t="s">
        <v>315</v>
      </c>
      <c r="Z190" s="164"/>
      <c r="AA190" s="167" t="s">
        <v>90</v>
      </c>
      <c r="AB190" s="175"/>
      <c r="AC190" s="167" t="s">
        <v>334</v>
      </c>
      <c r="AD190" s="168">
        <v>1818018664</v>
      </c>
      <c r="AE190" s="174"/>
      <c r="AF190" s="174"/>
      <c r="AG190" s="174">
        <v>12643332</v>
      </c>
      <c r="AH190" s="174">
        <v>20800000</v>
      </c>
      <c r="AI190" s="174">
        <v>23426667</v>
      </c>
      <c r="AJ190" s="174">
        <v>182344994</v>
      </c>
      <c r="AK190" s="174">
        <v>0</v>
      </c>
      <c r="AL190" s="174">
        <v>122018332</v>
      </c>
      <c r="AM190" s="174">
        <v>130468328</v>
      </c>
      <c r="AN190" s="167">
        <v>144793332</v>
      </c>
      <c r="AO190" s="167">
        <v>146045000</v>
      </c>
      <c r="AP190" s="167">
        <v>293493329</v>
      </c>
      <c r="AQ190" s="168">
        <f t="shared" si="36"/>
        <v>1076033314</v>
      </c>
      <c r="AR190" s="168">
        <f t="shared" si="37"/>
        <v>741985350</v>
      </c>
      <c r="AS190" s="169">
        <f t="shared" si="38"/>
        <v>0.5918714341647705</v>
      </c>
      <c r="AT190" s="275"/>
      <c r="AU190" s="350"/>
      <c r="AV190" s="350"/>
      <c r="AW190" s="349">
        <v>741985350</v>
      </c>
      <c r="AX190" s="345"/>
      <c r="AY190" s="345">
        <v>155532267</v>
      </c>
      <c r="AZ190" s="345">
        <v>160071601</v>
      </c>
      <c r="BA190" s="345">
        <f>389417203-AZ190-AY190+10645166</f>
        <v>84458501</v>
      </c>
      <c r="BB190" s="345">
        <f>95812037-30491594-10252442</f>
        <v>55068001</v>
      </c>
      <c r="BC190" s="349">
        <f>97422324-17747028</f>
        <v>79675296</v>
      </c>
      <c r="BD190" s="349">
        <v>41001667</v>
      </c>
      <c r="BE190" s="349">
        <f>45879330-BE198</f>
        <v>43878800</v>
      </c>
      <c r="BF190" s="438">
        <v>17585000</v>
      </c>
      <c r="BG190" s="447">
        <v>5994801</v>
      </c>
      <c r="BH190" s="237">
        <v>3976242</v>
      </c>
      <c r="BI190" s="237">
        <v>4000000</v>
      </c>
      <c r="BJ190" s="344">
        <f t="shared" si="30"/>
        <v>651242176</v>
      </c>
      <c r="BK190" s="237">
        <f t="shared" si="34"/>
        <v>90743174</v>
      </c>
      <c r="BL190" s="435">
        <f t="shared" si="35"/>
        <v>0.87770220261087362</v>
      </c>
      <c r="BM190" s="192"/>
      <c r="BN190" s="192"/>
      <c r="BO190" s="192"/>
      <c r="BP190" s="192"/>
      <c r="BQ190" s="192"/>
      <c r="BR190" s="192"/>
      <c r="BS190" s="192"/>
      <c r="BT190" s="192"/>
      <c r="BU190" s="192"/>
      <c r="BV190" s="192"/>
      <c r="BW190" s="192"/>
      <c r="BX190" s="192"/>
      <c r="BY190" s="192"/>
      <c r="BZ190" s="192"/>
      <c r="CA190" s="192"/>
      <c r="CB190" s="192"/>
      <c r="CC190" s="192"/>
      <c r="CD190" s="192"/>
    </row>
    <row r="191" spans="1:82" s="25" customFormat="1" x14ac:dyDescent="0.25">
      <c r="A191" s="64">
        <v>140</v>
      </c>
      <c r="B191" s="365" t="s">
        <v>241</v>
      </c>
      <c r="C191" s="64">
        <v>1171</v>
      </c>
      <c r="D191" s="65" t="s">
        <v>243</v>
      </c>
      <c r="E191" s="64">
        <v>1</v>
      </c>
      <c r="F191" s="585"/>
      <c r="G191" s="585"/>
      <c r="H191" s="585"/>
      <c r="I191" s="585"/>
      <c r="J191" s="633"/>
      <c r="K191" s="635"/>
      <c r="L191" s="164" t="s">
        <v>1094</v>
      </c>
      <c r="M191" s="164" t="s">
        <v>1121</v>
      </c>
      <c r="N191" s="164" t="s">
        <v>115</v>
      </c>
      <c r="O191" s="348" t="s">
        <v>1095</v>
      </c>
      <c r="P191" s="164" t="s">
        <v>1015</v>
      </c>
      <c r="Q191" s="266">
        <v>41851</v>
      </c>
      <c r="R191" s="266">
        <v>41953</v>
      </c>
      <c r="S191" s="241" t="s">
        <v>337</v>
      </c>
      <c r="T191" s="187" t="s">
        <v>1096</v>
      </c>
      <c r="U191" s="347" t="s">
        <v>1379</v>
      </c>
      <c r="V191" s="164" t="s">
        <v>1097</v>
      </c>
      <c r="W191" s="164">
        <v>1015394880</v>
      </c>
      <c r="X191" s="164" t="s">
        <v>699</v>
      </c>
      <c r="Y191" s="166" t="s">
        <v>315</v>
      </c>
      <c r="Z191" s="164"/>
      <c r="AA191" s="167">
        <v>705</v>
      </c>
      <c r="AB191" s="175"/>
      <c r="AC191" s="167">
        <v>723</v>
      </c>
      <c r="AD191" s="168">
        <v>6341330</v>
      </c>
      <c r="AE191" s="167"/>
      <c r="AF191" s="167"/>
      <c r="AG191" s="167"/>
      <c r="AH191" s="167"/>
      <c r="AI191" s="167">
        <v>0</v>
      </c>
      <c r="AJ191" s="167">
        <v>0</v>
      </c>
      <c r="AK191" s="167">
        <v>0</v>
      </c>
      <c r="AL191" s="167">
        <v>0</v>
      </c>
      <c r="AM191" s="167">
        <v>0</v>
      </c>
      <c r="AN191" s="167">
        <v>0</v>
      </c>
      <c r="AO191" s="167">
        <v>6341330</v>
      </c>
      <c r="AP191" s="167">
        <v>0</v>
      </c>
      <c r="AQ191" s="168">
        <f t="shared" si="36"/>
        <v>6341330</v>
      </c>
      <c r="AR191" s="168">
        <f t="shared" si="37"/>
        <v>0</v>
      </c>
      <c r="AS191" s="169">
        <f t="shared" si="38"/>
        <v>1</v>
      </c>
      <c r="AT191" s="236"/>
      <c r="AU191" s="346"/>
      <c r="AV191" s="346"/>
      <c r="AW191" s="345"/>
      <c r="AX191" s="345"/>
      <c r="AY191" s="345"/>
      <c r="AZ191" s="345"/>
      <c r="BA191" s="345"/>
      <c r="BB191" s="345"/>
      <c r="BC191" s="237"/>
      <c r="BD191" s="237"/>
      <c r="BE191" s="237"/>
      <c r="BF191" s="438"/>
      <c r="BG191" s="443"/>
      <c r="BH191" s="237"/>
      <c r="BI191" s="237"/>
      <c r="BJ191" s="344">
        <f t="shared" si="30"/>
        <v>0</v>
      </c>
      <c r="BK191" s="237">
        <f t="shared" si="34"/>
        <v>0</v>
      </c>
      <c r="BL191" s="435" t="e">
        <f t="shared" si="35"/>
        <v>#DIV/0!</v>
      </c>
      <c r="BM191" s="192"/>
      <c r="BN191" s="192"/>
      <c r="BO191" s="192"/>
      <c r="BP191" s="192"/>
      <c r="BQ191" s="192"/>
      <c r="BR191" s="192"/>
      <c r="BS191" s="192"/>
      <c r="BT191" s="192"/>
      <c r="BU191" s="192"/>
      <c r="BV191" s="192"/>
      <c r="BW191" s="192"/>
      <c r="BX191" s="192"/>
      <c r="BY191" s="192"/>
      <c r="BZ191" s="192"/>
      <c r="CA191" s="192"/>
      <c r="CB191" s="192"/>
      <c r="CC191" s="192"/>
      <c r="CD191" s="192"/>
    </row>
    <row r="192" spans="1:82" s="25" customFormat="1" x14ac:dyDescent="0.25">
      <c r="A192" s="64">
        <v>140</v>
      </c>
      <c r="B192" s="365" t="s">
        <v>241</v>
      </c>
      <c r="C192" s="64">
        <v>1171</v>
      </c>
      <c r="D192" s="65" t="s">
        <v>243</v>
      </c>
      <c r="E192" s="64">
        <v>1</v>
      </c>
      <c r="F192" s="585"/>
      <c r="G192" s="585"/>
      <c r="H192" s="585"/>
      <c r="I192" s="585"/>
      <c r="J192" s="633"/>
      <c r="K192" s="635"/>
      <c r="L192" s="164" t="s">
        <v>1098</v>
      </c>
      <c r="M192" s="164" t="s">
        <v>1121</v>
      </c>
      <c r="N192" s="164" t="s">
        <v>115</v>
      </c>
      <c r="O192" s="249" t="s">
        <v>1314</v>
      </c>
      <c r="P192" s="164" t="s">
        <v>1015</v>
      </c>
      <c r="Q192" s="266">
        <v>41968</v>
      </c>
      <c r="R192" s="249"/>
      <c r="S192" s="249" t="s">
        <v>1351</v>
      </c>
      <c r="T192" s="187">
        <v>139</v>
      </c>
      <c r="U192" s="249" t="s">
        <v>1295</v>
      </c>
      <c r="V192" s="164" t="s">
        <v>1099</v>
      </c>
      <c r="W192" s="164">
        <v>80734653</v>
      </c>
      <c r="X192" s="164" t="s">
        <v>699</v>
      </c>
      <c r="Y192" s="166" t="s">
        <v>315</v>
      </c>
      <c r="Z192" s="164"/>
      <c r="AA192" s="167">
        <v>804</v>
      </c>
      <c r="AB192" s="175"/>
      <c r="AC192" s="167">
        <v>906</v>
      </c>
      <c r="AD192" s="168">
        <v>5970000</v>
      </c>
      <c r="AE192" s="167"/>
      <c r="AF192" s="167"/>
      <c r="AG192" s="167"/>
      <c r="AH192" s="167"/>
      <c r="AI192" s="167"/>
      <c r="AJ192" s="167"/>
      <c r="AK192" s="167"/>
      <c r="AL192" s="167"/>
      <c r="AM192" s="167"/>
      <c r="AN192" s="167">
        <v>0</v>
      </c>
      <c r="AO192" s="167">
        <v>0</v>
      </c>
      <c r="AP192" s="167">
        <v>0</v>
      </c>
      <c r="AQ192" s="168">
        <f t="shared" si="36"/>
        <v>0</v>
      </c>
      <c r="AR192" s="168">
        <f t="shared" si="37"/>
        <v>5970000</v>
      </c>
      <c r="AS192" s="169">
        <f t="shared" si="38"/>
        <v>0</v>
      </c>
      <c r="AT192" s="236"/>
      <c r="AU192" s="346">
        <v>290</v>
      </c>
      <c r="AV192" s="346">
        <v>248</v>
      </c>
      <c r="AW192" s="345">
        <v>5970000</v>
      </c>
      <c r="AX192" s="345">
        <v>0</v>
      </c>
      <c r="AY192" s="345">
        <v>0</v>
      </c>
      <c r="AZ192" s="345">
        <v>0</v>
      </c>
      <c r="BA192" s="345">
        <v>5970000</v>
      </c>
      <c r="BB192" s="345">
        <v>0</v>
      </c>
      <c r="BC192" s="237">
        <v>0</v>
      </c>
      <c r="BD192" s="237"/>
      <c r="BE192" s="237"/>
      <c r="BF192" s="438"/>
      <c r="BG192" s="443"/>
      <c r="BH192" s="237"/>
      <c r="BI192" s="237"/>
      <c r="BJ192" s="344">
        <f t="shared" si="30"/>
        <v>5970000</v>
      </c>
      <c r="BK192" s="237">
        <f t="shared" ref="BK192:BK207" si="39">+AW192-BJ192</f>
        <v>0</v>
      </c>
      <c r="BL192" s="435">
        <f t="shared" ref="BL192:BL207" si="40">+BJ192/AW192</f>
        <v>1</v>
      </c>
      <c r="BM192" s="192"/>
      <c r="BN192" s="192"/>
      <c r="BO192" s="192"/>
      <c r="BP192" s="192"/>
      <c r="BQ192" s="192"/>
      <c r="BR192" s="192"/>
      <c r="BS192" s="192"/>
      <c r="BT192" s="192"/>
      <c r="BU192" s="192"/>
      <c r="BV192" s="192"/>
      <c r="BW192" s="192"/>
      <c r="BX192" s="192"/>
      <c r="BY192" s="192"/>
      <c r="BZ192" s="192"/>
      <c r="CA192" s="192"/>
      <c r="CB192" s="192"/>
      <c r="CC192" s="192"/>
      <c r="CD192" s="192"/>
    </row>
    <row r="193" spans="1:249" s="25" customFormat="1" x14ac:dyDescent="0.25">
      <c r="A193" s="64">
        <v>140</v>
      </c>
      <c r="B193" s="365" t="s">
        <v>241</v>
      </c>
      <c r="C193" s="64">
        <v>1171</v>
      </c>
      <c r="D193" s="65" t="s">
        <v>243</v>
      </c>
      <c r="E193" s="64">
        <v>1</v>
      </c>
      <c r="F193" s="585"/>
      <c r="G193" s="585"/>
      <c r="H193" s="585"/>
      <c r="I193" s="585"/>
      <c r="J193" s="633"/>
      <c r="K193" s="635"/>
      <c r="L193" s="164" t="s">
        <v>1100</v>
      </c>
      <c r="M193" s="164" t="s">
        <v>1121</v>
      </c>
      <c r="N193" s="164" t="s">
        <v>115</v>
      </c>
      <c r="O193" s="249" t="s">
        <v>1352</v>
      </c>
      <c r="P193" s="164" t="s">
        <v>1015</v>
      </c>
      <c r="Q193" s="249">
        <v>41990</v>
      </c>
      <c r="R193" s="249">
        <v>41990</v>
      </c>
      <c r="S193" s="249" t="s">
        <v>1353</v>
      </c>
      <c r="T193" s="187">
        <v>968</v>
      </c>
      <c r="U193" s="249" t="s">
        <v>1295</v>
      </c>
      <c r="V193" s="164" t="s">
        <v>1101</v>
      </c>
      <c r="W193" s="164">
        <v>860536250</v>
      </c>
      <c r="X193" s="164" t="s">
        <v>699</v>
      </c>
      <c r="Y193" s="166" t="s">
        <v>315</v>
      </c>
      <c r="Z193" s="164"/>
      <c r="AA193" s="167">
        <v>737</v>
      </c>
      <c r="AB193" s="175"/>
      <c r="AC193" s="167">
        <v>947</v>
      </c>
      <c r="AD193" s="168">
        <v>110000000</v>
      </c>
      <c r="AE193" s="167"/>
      <c r="AF193" s="167"/>
      <c r="AG193" s="167"/>
      <c r="AH193" s="167"/>
      <c r="AI193" s="167"/>
      <c r="AJ193" s="167"/>
      <c r="AK193" s="167"/>
      <c r="AL193" s="167"/>
      <c r="AM193" s="167"/>
      <c r="AN193" s="167">
        <v>0</v>
      </c>
      <c r="AO193" s="167">
        <v>0</v>
      </c>
      <c r="AP193" s="167">
        <v>0</v>
      </c>
      <c r="AQ193" s="168">
        <f t="shared" si="36"/>
        <v>0</v>
      </c>
      <c r="AR193" s="168">
        <f t="shared" si="37"/>
        <v>110000000</v>
      </c>
      <c r="AS193" s="169">
        <f t="shared" si="38"/>
        <v>0</v>
      </c>
      <c r="AT193" s="236"/>
      <c r="AU193" s="346">
        <v>317</v>
      </c>
      <c r="AV193" s="346">
        <v>271</v>
      </c>
      <c r="AW193" s="345">
        <v>110000000</v>
      </c>
      <c r="AX193" s="345">
        <v>110000000</v>
      </c>
      <c r="AY193" s="345">
        <v>0</v>
      </c>
      <c r="AZ193" s="345">
        <v>0</v>
      </c>
      <c r="BA193" s="25">
        <v>0</v>
      </c>
      <c r="BB193" s="345">
        <v>0</v>
      </c>
      <c r="BC193" s="237">
        <v>0</v>
      </c>
      <c r="BD193" s="237"/>
      <c r="BE193" s="237"/>
      <c r="BF193" s="438"/>
      <c r="BG193" s="443"/>
      <c r="BH193" s="237"/>
      <c r="BI193" s="237"/>
      <c r="BJ193" s="344">
        <f t="shared" si="30"/>
        <v>110000000</v>
      </c>
      <c r="BK193" s="237">
        <f t="shared" si="39"/>
        <v>0</v>
      </c>
      <c r="BL193" s="435">
        <f t="shared" si="40"/>
        <v>1</v>
      </c>
      <c r="BM193" s="192"/>
      <c r="BN193" s="192"/>
      <c r="BO193" s="192"/>
      <c r="BP193" s="192"/>
      <c r="BQ193" s="192"/>
      <c r="BR193" s="192"/>
      <c r="BS193" s="192"/>
      <c r="BT193" s="192"/>
      <c r="BU193" s="192"/>
      <c r="BV193" s="192"/>
      <c r="BW193" s="192"/>
      <c r="BX193" s="192"/>
      <c r="BY193" s="192"/>
      <c r="BZ193" s="192"/>
      <c r="CA193" s="192"/>
      <c r="CB193" s="192"/>
      <c r="CC193" s="192"/>
      <c r="CD193" s="192"/>
    </row>
    <row r="194" spans="1:249" s="68" customFormat="1" x14ac:dyDescent="0.25">
      <c r="A194" s="64">
        <v>140</v>
      </c>
      <c r="B194" s="365" t="s">
        <v>241</v>
      </c>
      <c r="C194" s="64">
        <v>1171</v>
      </c>
      <c r="D194" s="65" t="s">
        <v>243</v>
      </c>
      <c r="E194" s="64">
        <v>1</v>
      </c>
      <c r="F194" s="585"/>
      <c r="G194" s="585"/>
      <c r="H194" s="585"/>
      <c r="I194" s="585"/>
      <c r="J194" s="633"/>
      <c r="K194" s="635"/>
      <c r="L194" s="164" t="s">
        <v>1100</v>
      </c>
      <c r="M194" s="164" t="s">
        <v>1121</v>
      </c>
      <c r="N194" s="164" t="s">
        <v>115</v>
      </c>
      <c r="O194" s="249" t="s">
        <v>1352</v>
      </c>
      <c r="P194" s="164" t="s">
        <v>1015</v>
      </c>
      <c r="Q194" s="249">
        <v>41990</v>
      </c>
      <c r="R194" s="249">
        <v>41990</v>
      </c>
      <c r="S194" s="249" t="s">
        <v>1353</v>
      </c>
      <c r="T194" s="187">
        <v>968</v>
      </c>
      <c r="U194" s="249" t="s">
        <v>1295</v>
      </c>
      <c r="V194" s="164" t="s">
        <v>1101</v>
      </c>
      <c r="W194" s="164">
        <v>860536250</v>
      </c>
      <c r="X194" s="164" t="s">
        <v>699</v>
      </c>
      <c r="Y194" s="166" t="s">
        <v>315</v>
      </c>
      <c r="Z194" s="164"/>
      <c r="AA194" s="167">
        <v>825</v>
      </c>
      <c r="AB194" s="175"/>
      <c r="AC194" s="167">
        <v>948</v>
      </c>
      <c r="AD194" s="168">
        <v>7967400</v>
      </c>
      <c r="AE194" s="167"/>
      <c r="AF194" s="167"/>
      <c r="AG194" s="167"/>
      <c r="AH194" s="167"/>
      <c r="AI194" s="167"/>
      <c r="AJ194" s="167"/>
      <c r="AK194" s="167"/>
      <c r="AL194" s="167"/>
      <c r="AM194" s="167"/>
      <c r="AN194" s="167">
        <v>0</v>
      </c>
      <c r="AO194" s="167">
        <v>0</v>
      </c>
      <c r="AP194" s="167">
        <v>0</v>
      </c>
      <c r="AQ194" s="168">
        <f t="shared" si="36"/>
        <v>0</v>
      </c>
      <c r="AR194" s="168">
        <f t="shared" si="37"/>
        <v>7967400</v>
      </c>
      <c r="AS194" s="169">
        <f t="shared" si="38"/>
        <v>0</v>
      </c>
      <c r="AT194" s="261"/>
      <c r="AU194" s="346">
        <v>318</v>
      </c>
      <c r="AV194" s="346">
        <v>272</v>
      </c>
      <c r="AW194" s="345">
        <v>7967400</v>
      </c>
      <c r="AX194" s="345">
        <v>7967400</v>
      </c>
      <c r="AY194" s="345">
        <v>0</v>
      </c>
      <c r="AZ194" s="345">
        <v>0</v>
      </c>
      <c r="BA194" s="345">
        <v>0</v>
      </c>
      <c r="BB194" s="345">
        <v>0</v>
      </c>
      <c r="BC194" s="192">
        <v>0</v>
      </c>
      <c r="BD194" s="192"/>
      <c r="BE194" s="192"/>
      <c r="BF194" s="440"/>
      <c r="BG194" s="445"/>
      <c r="BH194" s="192"/>
      <c r="BI194" s="192"/>
      <c r="BJ194" s="344">
        <f t="shared" si="30"/>
        <v>7967400</v>
      </c>
      <c r="BK194" s="237">
        <f t="shared" si="39"/>
        <v>0</v>
      </c>
      <c r="BL194" s="435">
        <f t="shared" si="40"/>
        <v>1</v>
      </c>
      <c r="BM194" s="192"/>
      <c r="BN194" s="192"/>
      <c r="BO194" s="192"/>
      <c r="BP194" s="192"/>
      <c r="BQ194" s="192"/>
      <c r="BR194" s="192"/>
      <c r="BS194" s="192"/>
      <c r="BT194" s="192"/>
      <c r="BU194" s="192"/>
      <c r="BV194" s="192"/>
      <c r="BW194" s="192"/>
      <c r="BX194" s="192"/>
      <c r="BY194" s="192"/>
      <c r="BZ194" s="192"/>
      <c r="CA194" s="192"/>
      <c r="CB194" s="192"/>
      <c r="CC194" s="192"/>
      <c r="CD194" s="192"/>
    </row>
    <row r="195" spans="1:249" s="25" customFormat="1" x14ac:dyDescent="0.25">
      <c r="A195" s="64">
        <v>140</v>
      </c>
      <c r="B195" s="365" t="s">
        <v>241</v>
      </c>
      <c r="C195" s="64">
        <v>1171</v>
      </c>
      <c r="D195" s="65" t="s">
        <v>243</v>
      </c>
      <c r="E195" s="64">
        <v>1</v>
      </c>
      <c r="F195" s="585"/>
      <c r="G195" s="585"/>
      <c r="H195" s="585"/>
      <c r="I195" s="585"/>
      <c r="J195" s="633"/>
      <c r="K195" s="635"/>
      <c r="L195" s="164" t="s">
        <v>1102</v>
      </c>
      <c r="M195" s="164" t="s">
        <v>1121</v>
      </c>
      <c r="N195" s="164" t="s">
        <v>115</v>
      </c>
      <c r="O195" s="249" t="s">
        <v>1287</v>
      </c>
      <c r="P195" s="164" t="s">
        <v>309</v>
      </c>
      <c r="Q195" s="249">
        <v>41996</v>
      </c>
      <c r="R195" s="249"/>
      <c r="S195" s="249" t="s">
        <v>1292</v>
      </c>
      <c r="T195" s="187">
        <v>173</v>
      </c>
      <c r="U195" s="249" t="s">
        <v>1295</v>
      </c>
      <c r="V195" s="164" t="s">
        <v>1051</v>
      </c>
      <c r="W195" s="164">
        <v>880249315</v>
      </c>
      <c r="X195" s="164" t="s">
        <v>699</v>
      </c>
      <c r="Y195" s="166" t="s">
        <v>315</v>
      </c>
      <c r="Z195" s="164"/>
      <c r="AA195" s="167">
        <v>743</v>
      </c>
      <c r="AB195" s="175"/>
      <c r="AC195" s="167">
        <v>984</v>
      </c>
      <c r="AD195" s="168">
        <v>61482000</v>
      </c>
      <c r="AE195" s="167"/>
      <c r="AF195" s="167"/>
      <c r="AG195" s="167"/>
      <c r="AH195" s="167"/>
      <c r="AI195" s="167"/>
      <c r="AJ195" s="167"/>
      <c r="AK195" s="167"/>
      <c r="AL195" s="167"/>
      <c r="AM195" s="167"/>
      <c r="AN195" s="167">
        <v>0</v>
      </c>
      <c r="AO195" s="167">
        <v>0</v>
      </c>
      <c r="AP195" s="167">
        <v>0</v>
      </c>
      <c r="AQ195" s="168">
        <f t="shared" si="36"/>
        <v>0</v>
      </c>
      <c r="AR195" s="168">
        <f t="shared" si="37"/>
        <v>61482000</v>
      </c>
      <c r="AS195" s="169">
        <f t="shared" si="38"/>
        <v>0</v>
      </c>
      <c r="AT195" s="236"/>
      <c r="AU195" s="346">
        <v>333</v>
      </c>
      <c r="AV195" s="346">
        <v>281</v>
      </c>
      <c r="AW195" s="345">
        <v>61482000</v>
      </c>
      <c r="AX195" s="345">
        <v>0</v>
      </c>
      <c r="AY195" s="345">
        <v>0</v>
      </c>
      <c r="AZ195" s="345">
        <v>0</v>
      </c>
      <c r="BA195" s="345">
        <v>61482000</v>
      </c>
      <c r="BB195" s="345">
        <v>0</v>
      </c>
      <c r="BC195" s="237">
        <v>0</v>
      </c>
      <c r="BD195" s="237"/>
      <c r="BE195" s="237"/>
      <c r="BF195" s="438"/>
      <c r="BG195" s="443"/>
      <c r="BH195" s="237"/>
      <c r="BI195" s="237"/>
      <c r="BJ195" s="344">
        <f t="shared" ref="BJ195:BJ207" si="41">SUM(AX195:BI195)</f>
        <v>61482000</v>
      </c>
      <c r="BK195" s="237">
        <f t="shared" si="39"/>
        <v>0</v>
      </c>
      <c r="BL195" s="435">
        <f t="shared" si="40"/>
        <v>1</v>
      </c>
      <c r="BM195" s="192"/>
      <c r="BN195" s="192"/>
      <c r="BO195" s="192"/>
      <c r="BP195" s="192"/>
      <c r="BQ195" s="192"/>
      <c r="BR195" s="192"/>
      <c r="BS195" s="192"/>
      <c r="BT195" s="192"/>
      <c r="BU195" s="192"/>
      <c r="BV195" s="192"/>
      <c r="BW195" s="192"/>
      <c r="BX195" s="192"/>
      <c r="BY195" s="192"/>
      <c r="BZ195" s="192"/>
      <c r="CA195" s="192"/>
      <c r="CB195" s="192"/>
      <c r="CC195" s="192"/>
      <c r="CD195" s="192"/>
    </row>
    <row r="196" spans="1:249" s="25" customFormat="1" x14ac:dyDescent="0.25">
      <c r="A196" s="64">
        <v>140</v>
      </c>
      <c r="B196" s="365" t="s">
        <v>241</v>
      </c>
      <c r="C196" s="64">
        <v>1171</v>
      </c>
      <c r="D196" s="65" t="s">
        <v>243</v>
      </c>
      <c r="E196" s="64">
        <v>1</v>
      </c>
      <c r="F196" s="585"/>
      <c r="G196" s="585"/>
      <c r="H196" s="585"/>
      <c r="I196" s="585"/>
      <c r="J196" s="633"/>
      <c r="K196" s="635"/>
      <c r="L196" s="164" t="s">
        <v>1103</v>
      </c>
      <c r="M196" s="164" t="s">
        <v>1121</v>
      </c>
      <c r="N196" s="164" t="s">
        <v>115</v>
      </c>
      <c r="O196" s="249" t="s">
        <v>1354</v>
      </c>
      <c r="P196" s="164" t="s">
        <v>320</v>
      </c>
      <c r="Q196" s="249">
        <v>41996</v>
      </c>
      <c r="R196" s="249">
        <v>42011</v>
      </c>
      <c r="S196" s="249" t="s">
        <v>1336</v>
      </c>
      <c r="T196" s="187">
        <v>170</v>
      </c>
      <c r="U196" s="249" t="s">
        <v>745</v>
      </c>
      <c r="V196" s="164" t="s">
        <v>715</v>
      </c>
      <c r="W196" s="164">
        <v>93200589</v>
      </c>
      <c r="X196" s="164" t="s">
        <v>699</v>
      </c>
      <c r="Y196" s="166" t="s">
        <v>315</v>
      </c>
      <c r="Z196" s="164"/>
      <c r="AA196" s="167">
        <v>855</v>
      </c>
      <c r="AB196" s="175"/>
      <c r="AC196" s="167">
        <v>994</v>
      </c>
      <c r="AD196" s="168">
        <v>14250000</v>
      </c>
      <c r="AE196" s="167"/>
      <c r="AF196" s="167"/>
      <c r="AG196" s="167"/>
      <c r="AH196" s="167"/>
      <c r="AI196" s="167"/>
      <c r="AJ196" s="167"/>
      <c r="AK196" s="167"/>
      <c r="AL196" s="167"/>
      <c r="AM196" s="167"/>
      <c r="AN196" s="167">
        <v>0</v>
      </c>
      <c r="AO196" s="167">
        <v>0</v>
      </c>
      <c r="AP196" s="167">
        <v>0</v>
      </c>
      <c r="AQ196" s="168">
        <f t="shared" si="36"/>
        <v>0</v>
      </c>
      <c r="AR196" s="168">
        <f t="shared" si="37"/>
        <v>14250000</v>
      </c>
      <c r="AS196" s="169">
        <f t="shared" si="38"/>
        <v>0</v>
      </c>
      <c r="AT196" s="236"/>
      <c r="AU196" s="346">
        <v>338</v>
      </c>
      <c r="AV196" s="346">
        <v>286</v>
      </c>
      <c r="AW196" s="345">
        <v>14250000</v>
      </c>
      <c r="AX196" s="345">
        <v>0</v>
      </c>
      <c r="AY196" s="345">
        <v>0</v>
      </c>
      <c r="AZ196" s="345">
        <v>2850000</v>
      </c>
      <c r="BA196" s="345">
        <v>2850000</v>
      </c>
      <c r="BB196" s="345">
        <v>0</v>
      </c>
      <c r="BC196" s="237">
        <v>0</v>
      </c>
      <c r="BD196" s="237"/>
      <c r="BE196" s="349"/>
      <c r="BF196" s="438"/>
      <c r="BG196" s="443"/>
      <c r="BH196" s="237"/>
      <c r="BI196" s="237"/>
      <c r="BJ196" s="344">
        <f t="shared" si="41"/>
        <v>5700000</v>
      </c>
      <c r="BK196" s="237">
        <f t="shared" si="39"/>
        <v>8550000</v>
      </c>
      <c r="BL196" s="435">
        <f t="shared" si="40"/>
        <v>0.4</v>
      </c>
      <c r="BM196" s="192"/>
      <c r="BN196" s="192"/>
      <c r="BO196" s="192"/>
      <c r="BP196" s="192"/>
      <c r="BQ196" s="192"/>
      <c r="BR196" s="192"/>
      <c r="BS196" s="192"/>
      <c r="BT196" s="192"/>
      <c r="BU196" s="192"/>
      <c r="BV196" s="192"/>
      <c r="BW196" s="192"/>
      <c r="BX196" s="192"/>
      <c r="BY196" s="192"/>
      <c r="BZ196" s="192"/>
      <c r="CA196" s="192"/>
      <c r="CB196" s="192"/>
      <c r="CC196" s="192"/>
      <c r="CD196" s="192"/>
    </row>
    <row r="197" spans="1:249" s="68" customFormat="1" x14ac:dyDescent="0.25">
      <c r="A197" s="64">
        <v>140</v>
      </c>
      <c r="B197" s="365" t="s">
        <v>241</v>
      </c>
      <c r="C197" s="64">
        <v>1171</v>
      </c>
      <c r="D197" s="65" t="s">
        <v>243</v>
      </c>
      <c r="E197" s="64">
        <v>1</v>
      </c>
      <c r="F197" s="585"/>
      <c r="G197" s="585"/>
      <c r="H197" s="585"/>
      <c r="I197" s="585"/>
      <c r="J197" s="633"/>
      <c r="K197" s="635"/>
      <c r="L197" s="164" t="s">
        <v>1104</v>
      </c>
      <c r="M197" s="164" t="s">
        <v>1121</v>
      </c>
      <c r="N197" s="164" t="s">
        <v>115</v>
      </c>
      <c r="O197" s="249" t="s">
        <v>801</v>
      </c>
      <c r="P197" s="164" t="s">
        <v>641</v>
      </c>
      <c r="Q197" s="249">
        <v>42003</v>
      </c>
      <c r="R197" s="249">
        <v>42011</v>
      </c>
      <c r="S197" s="249" t="s">
        <v>1054</v>
      </c>
      <c r="T197" s="187">
        <v>181</v>
      </c>
      <c r="U197" s="249" t="s">
        <v>1287</v>
      </c>
      <c r="V197" s="164" t="s">
        <v>1105</v>
      </c>
      <c r="W197" s="164">
        <v>900351680</v>
      </c>
      <c r="X197" s="164" t="s">
        <v>699</v>
      </c>
      <c r="Y197" s="166" t="s">
        <v>315</v>
      </c>
      <c r="Z197" s="164"/>
      <c r="AA197" s="167">
        <v>831</v>
      </c>
      <c r="AB197" s="175"/>
      <c r="AC197" s="167">
        <v>1026</v>
      </c>
      <c r="AD197" s="168">
        <v>130000000</v>
      </c>
      <c r="AE197" s="167"/>
      <c r="AF197" s="167"/>
      <c r="AG197" s="167"/>
      <c r="AH197" s="167"/>
      <c r="AI197" s="167"/>
      <c r="AJ197" s="167"/>
      <c r="AK197" s="167"/>
      <c r="AL197" s="167"/>
      <c r="AM197" s="167"/>
      <c r="AN197" s="167">
        <v>0</v>
      </c>
      <c r="AO197" s="167">
        <v>0</v>
      </c>
      <c r="AP197" s="167">
        <v>0</v>
      </c>
      <c r="AQ197" s="168">
        <f t="shared" si="36"/>
        <v>0</v>
      </c>
      <c r="AR197" s="168">
        <f t="shared" si="37"/>
        <v>130000000</v>
      </c>
      <c r="AS197" s="169">
        <f t="shared" si="38"/>
        <v>0</v>
      </c>
      <c r="AT197" s="261"/>
      <c r="AU197" s="346">
        <v>361</v>
      </c>
      <c r="AV197" s="346">
        <v>309</v>
      </c>
      <c r="AW197" s="345">
        <v>130000000</v>
      </c>
      <c r="AX197" s="345">
        <v>64000000</v>
      </c>
      <c r="AY197" s="345">
        <v>0</v>
      </c>
      <c r="AZ197" s="345">
        <v>12431625</v>
      </c>
      <c r="BA197" s="345">
        <v>12431625</v>
      </c>
      <c r="BB197" s="345">
        <v>30491594</v>
      </c>
      <c r="BC197" s="192">
        <v>0</v>
      </c>
      <c r="BD197" s="192"/>
      <c r="BE197" s="349"/>
      <c r="BF197" s="440"/>
      <c r="BG197" s="445"/>
      <c r="BH197" s="192"/>
      <c r="BI197" s="192"/>
      <c r="BJ197" s="344">
        <f t="shared" si="41"/>
        <v>119354844</v>
      </c>
      <c r="BK197" s="237">
        <f t="shared" si="39"/>
        <v>10645156</v>
      </c>
      <c r="BL197" s="435">
        <f t="shared" si="40"/>
        <v>0.91811418461538463</v>
      </c>
      <c r="BM197" s="192"/>
      <c r="BN197" s="192"/>
      <c r="BO197" s="192"/>
      <c r="BP197" s="192"/>
      <c r="BQ197" s="192"/>
      <c r="BR197" s="192"/>
      <c r="BS197" s="192"/>
      <c r="BT197" s="192"/>
      <c r="BU197" s="192"/>
      <c r="BV197" s="192"/>
      <c r="BW197" s="192"/>
      <c r="BX197" s="192"/>
      <c r="BY197" s="192"/>
      <c r="BZ197" s="192"/>
      <c r="CA197" s="192"/>
      <c r="CB197" s="192"/>
      <c r="CC197" s="192"/>
      <c r="CD197" s="192"/>
    </row>
    <row r="198" spans="1:249" s="25" customFormat="1" x14ac:dyDescent="0.25">
      <c r="A198" s="64">
        <v>140</v>
      </c>
      <c r="B198" s="365" t="s">
        <v>241</v>
      </c>
      <c r="C198" s="64">
        <v>1171</v>
      </c>
      <c r="D198" s="65" t="s">
        <v>243</v>
      </c>
      <c r="E198" s="64">
        <v>1</v>
      </c>
      <c r="F198" s="585"/>
      <c r="G198" s="585"/>
      <c r="H198" s="585"/>
      <c r="I198" s="585"/>
      <c r="J198" s="633"/>
      <c r="K198" s="635"/>
      <c r="L198" s="164" t="s">
        <v>1104</v>
      </c>
      <c r="M198" s="164" t="s">
        <v>1121</v>
      </c>
      <c r="N198" s="164" t="s">
        <v>115</v>
      </c>
      <c r="O198" s="249" t="s">
        <v>801</v>
      </c>
      <c r="P198" s="164" t="s">
        <v>641</v>
      </c>
      <c r="Q198" s="249">
        <v>42003</v>
      </c>
      <c r="R198" s="249">
        <v>42011</v>
      </c>
      <c r="S198" s="249" t="s">
        <v>1054</v>
      </c>
      <c r="T198" s="187">
        <v>181</v>
      </c>
      <c r="U198" s="249" t="s">
        <v>1287</v>
      </c>
      <c r="V198" s="164" t="s">
        <v>1105</v>
      </c>
      <c r="W198" s="164">
        <v>900351680</v>
      </c>
      <c r="X198" s="164" t="s">
        <v>699</v>
      </c>
      <c r="Y198" s="166" t="s">
        <v>315</v>
      </c>
      <c r="Z198" s="164"/>
      <c r="AA198" s="167">
        <v>835</v>
      </c>
      <c r="AB198" s="175"/>
      <c r="AC198" s="167">
        <v>1027</v>
      </c>
      <c r="AD198" s="168">
        <v>30000000</v>
      </c>
      <c r="AE198" s="167"/>
      <c r="AF198" s="167"/>
      <c r="AG198" s="167"/>
      <c r="AH198" s="167"/>
      <c r="AI198" s="167"/>
      <c r="AJ198" s="167"/>
      <c r="AK198" s="167"/>
      <c r="AL198" s="167"/>
      <c r="AM198" s="167"/>
      <c r="AN198" s="167">
        <v>0</v>
      </c>
      <c r="AO198" s="167">
        <v>0</v>
      </c>
      <c r="AP198" s="167">
        <v>0</v>
      </c>
      <c r="AQ198" s="168">
        <f t="shared" si="36"/>
        <v>0</v>
      </c>
      <c r="AR198" s="168">
        <f t="shared" si="37"/>
        <v>30000000</v>
      </c>
      <c r="AS198" s="169">
        <f t="shared" si="38"/>
        <v>0</v>
      </c>
      <c r="AT198" s="236"/>
      <c r="AU198" s="346">
        <v>472</v>
      </c>
      <c r="AV198" s="346">
        <v>524</v>
      </c>
      <c r="AW198" s="345">
        <v>30000000</v>
      </c>
      <c r="AX198" s="345">
        <v>0</v>
      </c>
      <c r="AY198" s="345">
        <v>0</v>
      </c>
      <c r="AZ198" s="345">
        <v>0</v>
      </c>
      <c r="BA198" s="345">
        <v>0</v>
      </c>
      <c r="BB198" s="345">
        <v>10252442</v>
      </c>
      <c r="BC198" s="345">
        <v>17747028</v>
      </c>
      <c r="BD198" s="237"/>
      <c r="BE198" s="349">
        <v>2000530</v>
      </c>
      <c r="BF198" s="438"/>
      <c r="BG198" s="443"/>
      <c r="BH198" s="237"/>
      <c r="BI198" s="237"/>
      <c r="BJ198" s="344">
        <f t="shared" si="41"/>
        <v>30000000</v>
      </c>
      <c r="BK198" s="344">
        <f t="shared" si="39"/>
        <v>0</v>
      </c>
      <c r="BL198" s="435">
        <f t="shared" si="40"/>
        <v>1</v>
      </c>
      <c r="BM198" s="192"/>
      <c r="BN198" s="192"/>
      <c r="BO198" s="192"/>
      <c r="BP198" s="192"/>
      <c r="BQ198" s="192"/>
      <c r="BR198" s="192"/>
      <c r="BS198" s="192"/>
      <c r="BT198" s="192"/>
      <c r="BU198" s="192"/>
      <c r="BV198" s="192"/>
      <c r="BW198" s="192"/>
      <c r="BX198" s="192"/>
      <c r="BY198" s="192"/>
      <c r="BZ198" s="192"/>
      <c r="CA198" s="192"/>
      <c r="CB198" s="192"/>
      <c r="CC198" s="192"/>
      <c r="CD198" s="192"/>
    </row>
    <row r="199" spans="1:249" s="25" customFormat="1" x14ac:dyDescent="0.25">
      <c r="A199" s="62">
        <v>141</v>
      </c>
      <c r="B199" s="365" t="s">
        <v>247</v>
      </c>
      <c r="C199" s="62">
        <v>1171</v>
      </c>
      <c r="D199" s="63" t="s">
        <v>243</v>
      </c>
      <c r="E199" s="62">
        <v>2</v>
      </c>
      <c r="F199" s="559" t="s">
        <v>130</v>
      </c>
      <c r="G199" s="559">
        <v>7</v>
      </c>
      <c r="H199" s="559" t="s">
        <v>249</v>
      </c>
      <c r="I199" s="559" t="s">
        <v>250</v>
      </c>
      <c r="J199" s="619">
        <v>0</v>
      </c>
      <c r="K199" s="621">
        <v>0</v>
      </c>
      <c r="L199" s="164" t="s">
        <v>1106</v>
      </c>
      <c r="M199" s="164" t="s">
        <v>1121</v>
      </c>
      <c r="N199" s="164" t="s">
        <v>115</v>
      </c>
      <c r="O199" s="200" t="s">
        <v>90</v>
      </c>
      <c r="P199" s="200" t="s">
        <v>90</v>
      </c>
      <c r="Q199" s="200" t="s">
        <v>90</v>
      </c>
      <c r="R199" s="200" t="s">
        <v>90</v>
      </c>
      <c r="S199" s="200" t="s">
        <v>90</v>
      </c>
      <c r="T199" s="200" t="s">
        <v>90</v>
      </c>
      <c r="U199" s="194" t="s">
        <v>745</v>
      </c>
      <c r="V199" s="164" t="s">
        <v>90</v>
      </c>
      <c r="W199" s="164" t="s">
        <v>90</v>
      </c>
      <c r="X199" s="164" t="s">
        <v>90</v>
      </c>
      <c r="Y199" s="166" t="s">
        <v>315</v>
      </c>
      <c r="Z199" s="164"/>
      <c r="AA199" s="167" t="s">
        <v>90</v>
      </c>
      <c r="AB199" s="175"/>
      <c r="AC199" s="167" t="s">
        <v>90</v>
      </c>
      <c r="AD199" s="168">
        <v>430995825</v>
      </c>
      <c r="AE199" s="174">
        <v>30709560</v>
      </c>
      <c r="AF199" s="174">
        <v>32945208</v>
      </c>
      <c r="AG199" s="174"/>
      <c r="AH199" s="174">
        <v>37131948</v>
      </c>
      <c r="AI199" s="174">
        <v>37131948</v>
      </c>
      <c r="AJ199" s="174">
        <v>70285473</v>
      </c>
      <c r="AK199" s="174">
        <v>0</v>
      </c>
      <c r="AL199" s="174">
        <v>37131948</v>
      </c>
      <c r="AM199" s="174">
        <v>37131948</v>
      </c>
      <c r="AN199" s="167">
        <v>37131948</v>
      </c>
      <c r="AO199" s="167">
        <v>37131948</v>
      </c>
      <c r="AP199" s="167">
        <v>74263896</v>
      </c>
      <c r="AQ199" s="168">
        <f t="shared" si="36"/>
        <v>430995825</v>
      </c>
      <c r="AR199" s="168">
        <f t="shared" si="37"/>
        <v>0</v>
      </c>
      <c r="AS199" s="169">
        <f t="shared" si="38"/>
        <v>1</v>
      </c>
      <c r="AT199" s="236"/>
      <c r="AU199" s="346"/>
      <c r="AV199" s="346"/>
      <c r="AW199" s="345"/>
      <c r="AX199" s="345"/>
      <c r="AY199" s="345"/>
      <c r="AZ199" s="345"/>
      <c r="BA199" s="345"/>
      <c r="BB199" s="345"/>
      <c r="BC199" s="237"/>
      <c r="BD199" s="237"/>
      <c r="BE199" s="237"/>
      <c r="BF199" s="438"/>
      <c r="BG199" s="443"/>
      <c r="BH199" s="237"/>
      <c r="BI199" s="237"/>
      <c r="BJ199" s="344">
        <f t="shared" si="41"/>
        <v>0</v>
      </c>
      <c r="BK199" s="237">
        <f t="shared" si="39"/>
        <v>0</v>
      </c>
      <c r="BL199" s="435" t="e">
        <f t="shared" si="40"/>
        <v>#DIV/0!</v>
      </c>
      <c r="BM199" s="192"/>
      <c r="BN199" s="192"/>
      <c r="BO199" s="192"/>
      <c r="BP199" s="192"/>
      <c r="BQ199" s="192"/>
      <c r="BR199" s="192"/>
      <c r="BS199" s="192"/>
      <c r="BT199" s="192"/>
      <c r="BU199" s="192"/>
      <c r="BV199" s="192"/>
      <c r="BW199" s="192"/>
      <c r="BX199" s="192"/>
      <c r="BY199" s="192"/>
      <c r="BZ199" s="192"/>
      <c r="CA199" s="192"/>
      <c r="CB199" s="192"/>
      <c r="CC199" s="192"/>
      <c r="CD199" s="192"/>
    </row>
    <row r="200" spans="1:249" s="25" customFormat="1" x14ac:dyDescent="0.25">
      <c r="A200" s="62">
        <v>141</v>
      </c>
      <c r="B200" s="365" t="s">
        <v>247</v>
      </c>
      <c r="C200" s="62">
        <v>1171</v>
      </c>
      <c r="D200" s="63" t="s">
        <v>243</v>
      </c>
      <c r="E200" s="62">
        <v>2</v>
      </c>
      <c r="F200" s="559"/>
      <c r="G200" s="559"/>
      <c r="H200" s="559"/>
      <c r="I200" s="559"/>
      <c r="J200" s="620"/>
      <c r="K200" s="622"/>
      <c r="L200" s="237"/>
      <c r="M200" s="164"/>
      <c r="N200" s="237"/>
      <c r="O200" s="237"/>
      <c r="P200" s="237"/>
      <c r="Q200" s="237"/>
      <c r="R200" s="237"/>
      <c r="S200" s="237"/>
      <c r="T200" s="237"/>
      <c r="U200" s="237"/>
      <c r="V200" s="237"/>
      <c r="W200" s="237"/>
      <c r="X200" s="237"/>
      <c r="Y200" s="237"/>
      <c r="Z200" s="237"/>
      <c r="AA200" s="237"/>
      <c r="AB200" s="192"/>
      <c r="AC200" s="237"/>
      <c r="AD200" s="237"/>
      <c r="AE200" s="237"/>
      <c r="AF200" s="237"/>
      <c r="AG200" s="237"/>
      <c r="AH200" s="237"/>
      <c r="AI200" s="237"/>
      <c r="AJ200" s="237"/>
      <c r="AK200" s="237"/>
      <c r="AL200" s="237"/>
      <c r="AM200" s="237"/>
      <c r="AN200" s="237"/>
      <c r="AO200" s="237"/>
      <c r="AP200" s="237"/>
      <c r="AQ200" s="237"/>
      <c r="AR200" s="237"/>
      <c r="AS200" s="237"/>
      <c r="AT200" s="236"/>
      <c r="AU200" s="346"/>
      <c r="AV200" s="346"/>
      <c r="AW200" s="345"/>
      <c r="AX200" s="345"/>
      <c r="AY200" s="345"/>
      <c r="AZ200" s="345"/>
      <c r="BA200" s="345"/>
      <c r="BB200" s="345"/>
      <c r="BC200" s="237"/>
      <c r="BD200" s="237"/>
      <c r="BE200" s="237"/>
      <c r="BF200" s="438"/>
      <c r="BG200" s="443"/>
      <c r="BH200" s="237"/>
      <c r="BI200" s="237"/>
      <c r="BJ200" s="344">
        <f t="shared" si="41"/>
        <v>0</v>
      </c>
      <c r="BK200" s="237">
        <f t="shared" si="39"/>
        <v>0</v>
      </c>
      <c r="BL200" s="435" t="e">
        <f t="shared" si="40"/>
        <v>#DIV/0!</v>
      </c>
      <c r="BM200" s="192"/>
      <c r="BN200" s="192"/>
      <c r="BO200" s="192"/>
      <c r="BP200" s="192"/>
      <c r="BQ200" s="192"/>
      <c r="BR200" s="192"/>
      <c r="BS200" s="192"/>
      <c r="BT200" s="192"/>
      <c r="BU200" s="192"/>
      <c r="BV200" s="192"/>
      <c r="BW200" s="192"/>
      <c r="BX200" s="192"/>
      <c r="BY200" s="192"/>
      <c r="BZ200" s="192"/>
      <c r="CA200" s="192"/>
      <c r="CB200" s="192"/>
      <c r="CC200" s="192"/>
      <c r="CD200" s="192"/>
    </row>
    <row r="201" spans="1:249" s="25" customFormat="1" x14ac:dyDescent="0.25">
      <c r="A201" s="62">
        <v>141</v>
      </c>
      <c r="B201" s="365" t="s">
        <v>247</v>
      </c>
      <c r="C201" s="62">
        <v>1171</v>
      </c>
      <c r="D201" s="63" t="s">
        <v>243</v>
      </c>
      <c r="E201" s="62">
        <v>2</v>
      </c>
      <c r="F201" s="559"/>
      <c r="G201" s="559"/>
      <c r="H201" s="559"/>
      <c r="I201" s="559"/>
      <c r="J201" s="620"/>
      <c r="K201" s="622"/>
      <c r="L201" s="164"/>
      <c r="M201" s="164"/>
      <c r="N201" s="164"/>
      <c r="O201" s="164"/>
      <c r="P201" s="164"/>
      <c r="Q201" s="165"/>
      <c r="R201" s="165"/>
      <c r="S201" s="164"/>
      <c r="T201" s="164"/>
      <c r="U201" s="164"/>
      <c r="V201" s="164"/>
      <c r="W201" s="164"/>
      <c r="X201" s="164"/>
      <c r="Y201" s="164"/>
      <c r="Z201" s="164"/>
      <c r="AA201" s="167"/>
      <c r="AB201" s="175"/>
      <c r="AC201" s="167"/>
      <c r="AD201" s="168"/>
      <c r="AE201" s="167"/>
      <c r="AF201" s="167"/>
      <c r="AG201" s="167"/>
      <c r="AH201" s="167"/>
      <c r="AI201" s="167">
        <v>0</v>
      </c>
      <c r="AJ201" s="167">
        <v>0</v>
      </c>
      <c r="AK201" s="167">
        <v>0</v>
      </c>
      <c r="AL201" s="167">
        <v>0</v>
      </c>
      <c r="AM201" s="167">
        <v>0</v>
      </c>
      <c r="AN201" s="167">
        <v>0</v>
      </c>
      <c r="AO201" s="167">
        <v>0</v>
      </c>
      <c r="AP201" s="167">
        <v>0</v>
      </c>
      <c r="AQ201" s="168">
        <f t="shared" ref="AQ201:AQ207" si="42">SUM(AE201:AP201)</f>
        <v>0</v>
      </c>
      <c r="AR201" s="168">
        <f t="shared" ref="AR201:AR207" si="43">+AD201-AQ201</f>
        <v>0</v>
      </c>
      <c r="AS201" s="169" t="e">
        <f t="shared" ref="AS201:AS207" si="44">+AQ201/AD201</f>
        <v>#DIV/0!</v>
      </c>
      <c r="AT201" s="236"/>
      <c r="AU201" s="346"/>
      <c r="AV201" s="346"/>
      <c r="AW201" s="345"/>
      <c r="AX201" s="345"/>
      <c r="AY201" s="345"/>
      <c r="AZ201" s="345"/>
      <c r="BA201" s="345"/>
      <c r="BB201" s="345"/>
      <c r="BC201" s="237"/>
      <c r="BD201" s="237"/>
      <c r="BE201" s="237"/>
      <c r="BF201" s="438"/>
      <c r="BG201" s="443"/>
      <c r="BH201" s="237"/>
      <c r="BI201" s="237"/>
      <c r="BJ201" s="344">
        <f t="shared" si="41"/>
        <v>0</v>
      </c>
      <c r="BK201" s="237">
        <f t="shared" si="39"/>
        <v>0</v>
      </c>
      <c r="BL201" s="435" t="e">
        <f t="shared" si="40"/>
        <v>#DIV/0!</v>
      </c>
      <c r="BM201" s="192"/>
      <c r="BN201" s="192"/>
      <c r="BO201" s="192"/>
      <c r="BP201" s="192"/>
      <c r="BQ201" s="192"/>
      <c r="BR201" s="192"/>
      <c r="BS201" s="192"/>
      <c r="BT201" s="192"/>
      <c r="BU201" s="192"/>
      <c r="BV201" s="192"/>
      <c r="BW201" s="192"/>
      <c r="BX201" s="192"/>
      <c r="BY201" s="192"/>
      <c r="BZ201" s="192"/>
      <c r="CA201" s="192"/>
      <c r="CB201" s="192"/>
      <c r="CC201" s="192"/>
      <c r="CD201" s="192"/>
    </row>
    <row r="202" spans="1:249" s="25" customFormat="1" x14ac:dyDescent="0.25">
      <c r="A202" s="62">
        <v>142</v>
      </c>
      <c r="B202" s="365" t="s">
        <v>251</v>
      </c>
      <c r="C202" s="62">
        <v>1171</v>
      </c>
      <c r="D202" s="63" t="s">
        <v>243</v>
      </c>
      <c r="E202" s="62">
        <v>3</v>
      </c>
      <c r="F202" s="559" t="s">
        <v>252</v>
      </c>
      <c r="G202" s="559">
        <v>1</v>
      </c>
      <c r="H202" s="559" t="s">
        <v>253</v>
      </c>
      <c r="I202" s="559" t="s">
        <v>254</v>
      </c>
      <c r="J202" s="619">
        <v>0</v>
      </c>
      <c r="K202" s="621">
        <v>0</v>
      </c>
      <c r="L202" s="164"/>
      <c r="M202" s="164"/>
      <c r="N202" s="164"/>
      <c r="O202" s="164"/>
      <c r="P202" s="164"/>
      <c r="Q202" s="165"/>
      <c r="R202" s="165"/>
      <c r="S202" s="164"/>
      <c r="T202" s="164"/>
      <c r="U202" s="164"/>
      <c r="V202" s="164"/>
      <c r="W202" s="164"/>
      <c r="X202" s="164"/>
      <c r="Y202" s="164"/>
      <c r="Z202" s="164"/>
      <c r="AA202" s="167"/>
      <c r="AB202" s="175"/>
      <c r="AC202" s="167"/>
      <c r="AD202" s="168"/>
      <c r="AE202" s="167"/>
      <c r="AF202" s="167"/>
      <c r="AG202" s="167"/>
      <c r="AH202" s="167"/>
      <c r="AI202" s="167">
        <v>0</v>
      </c>
      <c r="AJ202" s="167">
        <v>0</v>
      </c>
      <c r="AK202" s="167">
        <v>0</v>
      </c>
      <c r="AL202" s="167">
        <v>0</v>
      </c>
      <c r="AM202" s="167">
        <v>0</v>
      </c>
      <c r="AN202" s="167">
        <v>0</v>
      </c>
      <c r="AO202" s="167">
        <v>0</v>
      </c>
      <c r="AP202" s="167">
        <v>0</v>
      </c>
      <c r="AQ202" s="168">
        <f t="shared" si="42"/>
        <v>0</v>
      </c>
      <c r="AR202" s="168">
        <f t="shared" si="43"/>
        <v>0</v>
      </c>
      <c r="AS202" s="169" t="e">
        <f t="shared" si="44"/>
        <v>#DIV/0!</v>
      </c>
      <c r="AT202" s="236"/>
      <c r="AU202" s="346"/>
      <c r="AV202" s="346"/>
      <c r="AW202" s="345"/>
      <c r="AX202" s="345"/>
      <c r="AY202" s="345"/>
      <c r="AZ202" s="345"/>
      <c r="BA202" s="237"/>
      <c r="BB202" s="237"/>
      <c r="BC202" s="237"/>
      <c r="BD202" s="237"/>
      <c r="BE202" s="237"/>
      <c r="BF202" s="438"/>
      <c r="BG202" s="443"/>
      <c r="BH202" s="237"/>
      <c r="BI202" s="237"/>
      <c r="BJ202" s="344">
        <f t="shared" si="41"/>
        <v>0</v>
      </c>
      <c r="BK202" s="237">
        <f t="shared" si="39"/>
        <v>0</v>
      </c>
      <c r="BL202" s="435" t="e">
        <f t="shared" si="40"/>
        <v>#DIV/0!</v>
      </c>
      <c r="BM202" s="192"/>
      <c r="BN202" s="192"/>
      <c r="BO202" s="192"/>
      <c r="BP202" s="192"/>
      <c r="BQ202" s="192"/>
      <c r="BR202" s="192"/>
      <c r="BS202" s="192"/>
      <c r="BT202" s="192"/>
      <c r="BU202" s="192"/>
      <c r="BV202" s="192"/>
      <c r="BW202" s="192"/>
      <c r="BX202" s="192"/>
      <c r="BY202" s="192"/>
      <c r="BZ202" s="192"/>
      <c r="CA202" s="192"/>
      <c r="CB202" s="192"/>
      <c r="CC202" s="192"/>
      <c r="CD202" s="192"/>
    </row>
    <row r="203" spans="1:249" s="25" customFormat="1" x14ac:dyDescent="0.25">
      <c r="A203" s="62">
        <v>142</v>
      </c>
      <c r="B203" s="365" t="s">
        <v>251</v>
      </c>
      <c r="C203" s="62">
        <v>1171</v>
      </c>
      <c r="D203" s="63" t="s">
        <v>243</v>
      </c>
      <c r="E203" s="62">
        <v>3</v>
      </c>
      <c r="F203" s="559"/>
      <c r="G203" s="559"/>
      <c r="H203" s="559"/>
      <c r="I203" s="559"/>
      <c r="J203" s="620"/>
      <c r="K203" s="622"/>
      <c r="L203" s="164"/>
      <c r="M203" s="164"/>
      <c r="N203" s="164"/>
      <c r="O203" s="164"/>
      <c r="P203" s="164"/>
      <c r="Q203" s="165"/>
      <c r="R203" s="165"/>
      <c r="S203" s="164"/>
      <c r="T203" s="164"/>
      <c r="U203" s="164"/>
      <c r="V203" s="164"/>
      <c r="W203" s="164"/>
      <c r="X203" s="164"/>
      <c r="Y203" s="164"/>
      <c r="Z203" s="164"/>
      <c r="AA203" s="167"/>
      <c r="AB203" s="175"/>
      <c r="AC203" s="167"/>
      <c r="AD203" s="168"/>
      <c r="AE203" s="167"/>
      <c r="AF203" s="167"/>
      <c r="AG203" s="167"/>
      <c r="AH203" s="167"/>
      <c r="AI203" s="167">
        <v>0</v>
      </c>
      <c r="AJ203" s="167">
        <v>0</v>
      </c>
      <c r="AK203" s="167">
        <v>0</v>
      </c>
      <c r="AL203" s="167">
        <v>0</v>
      </c>
      <c r="AM203" s="167">
        <v>0</v>
      </c>
      <c r="AN203" s="167">
        <v>0</v>
      </c>
      <c r="AO203" s="167">
        <v>0</v>
      </c>
      <c r="AP203" s="167">
        <v>0</v>
      </c>
      <c r="AQ203" s="168">
        <f t="shared" si="42"/>
        <v>0</v>
      </c>
      <c r="AR203" s="168">
        <f t="shared" si="43"/>
        <v>0</v>
      </c>
      <c r="AS203" s="169" t="e">
        <f t="shared" si="44"/>
        <v>#DIV/0!</v>
      </c>
      <c r="AT203" s="236"/>
      <c r="AU203" s="346"/>
      <c r="AV203" s="346"/>
      <c r="AW203" s="345"/>
      <c r="AX203" s="345"/>
      <c r="AY203" s="345"/>
      <c r="AZ203" s="345"/>
      <c r="BA203" s="237"/>
      <c r="BB203" s="237"/>
      <c r="BC203" s="237"/>
      <c r="BD203" s="237"/>
      <c r="BE203" s="237"/>
      <c r="BF203" s="438"/>
      <c r="BG203" s="443"/>
      <c r="BH203" s="237"/>
      <c r="BI203" s="237"/>
      <c r="BJ203" s="344">
        <f t="shared" si="41"/>
        <v>0</v>
      </c>
      <c r="BK203" s="237">
        <f t="shared" si="39"/>
        <v>0</v>
      </c>
      <c r="BL203" s="435" t="e">
        <f t="shared" si="40"/>
        <v>#DIV/0!</v>
      </c>
      <c r="BM203" s="192"/>
      <c r="BN203" s="192"/>
      <c r="BO203" s="192"/>
      <c r="BP203" s="192"/>
      <c r="BQ203" s="192"/>
      <c r="BR203" s="192"/>
      <c r="BS203" s="192"/>
      <c r="BT203" s="192"/>
      <c r="BU203" s="192"/>
      <c r="BV203" s="192"/>
      <c r="BW203" s="192"/>
      <c r="BX203" s="192"/>
      <c r="BY203" s="192"/>
      <c r="BZ203" s="192"/>
      <c r="CA203" s="192"/>
      <c r="CB203" s="192"/>
      <c r="CC203" s="192"/>
      <c r="CD203" s="192"/>
    </row>
    <row r="204" spans="1:249" s="25" customFormat="1" x14ac:dyDescent="0.25">
      <c r="A204" s="62">
        <v>142</v>
      </c>
      <c r="B204" s="365" t="s">
        <v>251</v>
      </c>
      <c r="C204" s="62">
        <v>1171</v>
      </c>
      <c r="D204" s="63" t="s">
        <v>243</v>
      </c>
      <c r="E204" s="62">
        <v>3</v>
      </c>
      <c r="F204" s="559"/>
      <c r="G204" s="559"/>
      <c r="H204" s="559"/>
      <c r="I204" s="559"/>
      <c r="J204" s="620"/>
      <c r="K204" s="622"/>
      <c r="L204" s="164"/>
      <c r="M204" s="164"/>
      <c r="N204" s="164"/>
      <c r="O204" s="164"/>
      <c r="P204" s="164"/>
      <c r="Q204" s="165"/>
      <c r="R204" s="165"/>
      <c r="S204" s="164"/>
      <c r="T204" s="164"/>
      <c r="U204" s="164"/>
      <c r="V204" s="164"/>
      <c r="W204" s="164"/>
      <c r="X204" s="164"/>
      <c r="Y204" s="164"/>
      <c r="Z204" s="164"/>
      <c r="AA204" s="167"/>
      <c r="AB204" s="175"/>
      <c r="AC204" s="167"/>
      <c r="AD204" s="168"/>
      <c r="AE204" s="167"/>
      <c r="AF204" s="167"/>
      <c r="AG204" s="167"/>
      <c r="AH204" s="167"/>
      <c r="AI204" s="167">
        <v>0</v>
      </c>
      <c r="AJ204" s="167">
        <v>0</v>
      </c>
      <c r="AK204" s="167">
        <v>0</v>
      </c>
      <c r="AL204" s="167">
        <v>0</v>
      </c>
      <c r="AM204" s="167">
        <v>0</v>
      </c>
      <c r="AN204" s="167">
        <v>0</v>
      </c>
      <c r="AO204" s="167">
        <v>0</v>
      </c>
      <c r="AP204" s="167">
        <v>0</v>
      </c>
      <c r="AQ204" s="168">
        <f t="shared" si="42"/>
        <v>0</v>
      </c>
      <c r="AR204" s="168">
        <f t="shared" si="43"/>
        <v>0</v>
      </c>
      <c r="AS204" s="169" t="e">
        <f t="shared" si="44"/>
        <v>#DIV/0!</v>
      </c>
      <c r="AT204" s="236"/>
      <c r="AU204" s="346"/>
      <c r="AV204" s="346"/>
      <c r="AW204" s="345"/>
      <c r="AX204" s="345"/>
      <c r="AY204" s="345"/>
      <c r="AZ204" s="345"/>
      <c r="BA204" s="237"/>
      <c r="BB204" s="237"/>
      <c r="BC204" s="237"/>
      <c r="BD204" s="237"/>
      <c r="BE204" s="237"/>
      <c r="BF204" s="438"/>
      <c r="BG204" s="443"/>
      <c r="BH204" s="237"/>
      <c r="BI204" s="237"/>
      <c r="BJ204" s="344">
        <f t="shared" si="41"/>
        <v>0</v>
      </c>
      <c r="BK204" s="237">
        <f t="shared" si="39"/>
        <v>0</v>
      </c>
      <c r="BL204" s="435" t="e">
        <f t="shared" si="40"/>
        <v>#DIV/0!</v>
      </c>
      <c r="BM204" s="192"/>
      <c r="BN204" s="192"/>
      <c r="BO204" s="192"/>
      <c r="BP204" s="192"/>
      <c r="BQ204" s="192"/>
      <c r="BR204" s="192"/>
      <c r="BS204" s="192"/>
      <c r="BT204" s="192"/>
      <c r="BU204" s="192"/>
      <c r="BV204" s="192"/>
      <c r="BW204" s="192"/>
      <c r="BX204" s="192"/>
      <c r="BY204" s="192"/>
      <c r="BZ204" s="192"/>
      <c r="CA204" s="192"/>
      <c r="CB204" s="192"/>
      <c r="CC204" s="192"/>
      <c r="CD204" s="192"/>
    </row>
    <row r="205" spans="1:249" s="25" customFormat="1" x14ac:dyDescent="0.25">
      <c r="A205" s="62">
        <v>143</v>
      </c>
      <c r="B205" s="365" t="s">
        <v>256</v>
      </c>
      <c r="C205" s="62">
        <v>1173</v>
      </c>
      <c r="D205" s="63" t="s">
        <v>257</v>
      </c>
      <c r="E205" s="62">
        <v>1</v>
      </c>
      <c r="F205" s="559" t="s">
        <v>53</v>
      </c>
      <c r="G205" s="559">
        <v>4000</v>
      </c>
      <c r="H205" s="559" t="s">
        <v>61</v>
      </c>
      <c r="I205" s="559" t="s">
        <v>258</v>
      </c>
      <c r="J205" s="619">
        <v>0</v>
      </c>
      <c r="K205" s="621">
        <v>0</v>
      </c>
      <c r="L205" s="166"/>
      <c r="M205" s="164"/>
      <c r="N205" s="166"/>
      <c r="O205" s="189"/>
      <c r="P205" s="166"/>
      <c r="Q205" s="180"/>
      <c r="R205" s="180"/>
      <c r="S205" s="166"/>
      <c r="T205" s="189"/>
      <c r="U205" s="199"/>
      <c r="V205" s="166"/>
      <c r="W205" s="189"/>
      <c r="X205" s="185"/>
      <c r="Y205" s="185"/>
      <c r="Z205" s="166"/>
      <c r="AA205" s="174"/>
      <c r="AB205" s="175"/>
      <c r="AC205" s="174"/>
      <c r="AD205" s="175"/>
      <c r="AE205" s="174"/>
      <c r="AF205" s="174"/>
      <c r="AG205" s="174"/>
      <c r="AH205" s="174"/>
      <c r="AI205" s="174"/>
      <c r="AJ205" s="174"/>
      <c r="AK205" s="174"/>
      <c r="AL205" s="174"/>
      <c r="AM205" s="174"/>
      <c r="AN205" s="174"/>
      <c r="AO205" s="174"/>
      <c r="AP205" s="174"/>
      <c r="AQ205" s="168">
        <f t="shared" si="42"/>
        <v>0</v>
      </c>
      <c r="AR205" s="168">
        <f t="shared" si="43"/>
        <v>0</v>
      </c>
      <c r="AS205" s="169" t="e">
        <f t="shared" si="44"/>
        <v>#DIV/0!</v>
      </c>
      <c r="AT205" s="236"/>
      <c r="AU205" s="346"/>
      <c r="AV205" s="346"/>
      <c r="AW205" s="345"/>
      <c r="AX205" s="345"/>
      <c r="AY205" s="345"/>
      <c r="AZ205" s="345"/>
      <c r="BA205" s="237"/>
      <c r="BB205" s="237"/>
      <c r="BC205" s="237"/>
      <c r="BD205" s="237"/>
      <c r="BE205" s="237"/>
      <c r="BF205" s="438"/>
      <c r="BG205" s="443"/>
      <c r="BH205" s="237"/>
      <c r="BI205" s="237"/>
      <c r="BJ205" s="344">
        <f t="shared" si="41"/>
        <v>0</v>
      </c>
      <c r="BK205" s="237">
        <f t="shared" si="39"/>
        <v>0</v>
      </c>
      <c r="BL205" s="435" t="e">
        <f t="shared" si="40"/>
        <v>#DIV/0!</v>
      </c>
      <c r="BM205" s="192"/>
      <c r="BN205" s="192"/>
      <c r="BO205" s="192"/>
      <c r="BP205" s="192"/>
      <c r="BQ205" s="192"/>
      <c r="BR205" s="192"/>
      <c r="BS205" s="192"/>
      <c r="BT205" s="192"/>
      <c r="BU205" s="192"/>
      <c r="BV205" s="192"/>
      <c r="BW205" s="192"/>
      <c r="BX205" s="192"/>
      <c r="BY205" s="192"/>
      <c r="BZ205" s="192"/>
      <c r="CA205" s="192"/>
      <c r="CB205" s="192"/>
      <c r="CC205" s="192"/>
      <c r="CD205" s="192"/>
    </row>
    <row r="206" spans="1:249" s="25" customFormat="1" x14ac:dyDescent="0.25">
      <c r="A206" s="62">
        <v>143</v>
      </c>
      <c r="B206" s="365" t="s">
        <v>256</v>
      </c>
      <c r="C206" s="62">
        <v>1173</v>
      </c>
      <c r="D206" s="63" t="s">
        <v>257</v>
      </c>
      <c r="E206" s="62">
        <v>1</v>
      </c>
      <c r="F206" s="559"/>
      <c r="G206" s="559"/>
      <c r="H206" s="559"/>
      <c r="I206" s="559"/>
      <c r="J206" s="620"/>
      <c r="K206" s="622"/>
      <c r="L206" s="166"/>
      <c r="M206" s="164"/>
      <c r="N206" s="166"/>
      <c r="O206" s="189"/>
      <c r="P206" s="166"/>
      <c r="Q206" s="180"/>
      <c r="R206" s="180"/>
      <c r="S206" s="166"/>
      <c r="T206" s="189"/>
      <c r="U206" s="199"/>
      <c r="V206" s="166"/>
      <c r="W206" s="189"/>
      <c r="X206" s="185"/>
      <c r="Y206" s="185"/>
      <c r="Z206" s="166"/>
      <c r="AA206" s="174"/>
      <c r="AB206" s="175"/>
      <c r="AC206" s="174"/>
      <c r="AD206" s="175"/>
      <c r="AE206" s="174"/>
      <c r="AF206" s="174"/>
      <c r="AG206" s="174"/>
      <c r="AH206" s="174"/>
      <c r="AI206" s="174"/>
      <c r="AJ206" s="174"/>
      <c r="AK206" s="174"/>
      <c r="AL206" s="174"/>
      <c r="AM206" s="174"/>
      <c r="AN206" s="174"/>
      <c r="AO206" s="174"/>
      <c r="AP206" s="174"/>
      <c r="AQ206" s="168">
        <f t="shared" si="42"/>
        <v>0</v>
      </c>
      <c r="AR206" s="168">
        <f t="shared" si="43"/>
        <v>0</v>
      </c>
      <c r="AS206" s="169" t="e">
        <f t="shared" si="44"/>
        <v>#DIV/0!</v>
      </c>
      <c r="AT206" s="236"/>
      <c r="AU206" s="346"/>
      <c r="AV206" s="346"/>
      <c r="AW206" s="345"/>
      <c r="AX206" s="345"/>
      <c r="AY206" s="345"/>
      <c r="AZ206" s="345"/>
      <c r="BA206" s="237"/>
      <c r="BB206" s="237"/>
      <c r="BC206" s="237"/>
      <c r="BD206" s="237"/>
      <c r="BE206" s="237"/>
      <c r="BF206" s="438"/>
      <c r="BG206" s="443"/>
      <c r="BH206" s="237"/>
      <c r="BI206" s="237"/>
      <c r="BJ206" s="344">
        <f t="shared" si="41"/>
        <v>0</v>
      </c>
      <c r="BK206" s="237">
        <f t="shared" si="39"/>
        <v>0</v>
      </c>
      <c r="BL206" s="435" t="e">
        <f t="shared" si="40"/>
        <v>#DIV/0!</v>
      </c>
      <c r="BM206" s="192"/>
      <c r="BN206" s="192"/>
      <c r="BO206" s="192"/>
      <c r="BP206" s="192"/>
      <c r="BQ206" s="192"/>
      <c r="BR206" s="192"/>
      <c r="BS206" s="192"/>
      <c r="BT206" s="192"/>
      <c r="BU206" s="192"/>
      <c r="BV206" s="192"/>
      <c r="BW206" s="192"/>
      <c r="BX206" s="192"/>
      <c r="BY206" s="192"/>
      <c r="BZ206" s="192"/>
      <c r="CA206" s="192"/>
      <c r="CB206" s="192"/>
      <c r="CC206" s="192"/>
      <c r="CD206" s="192"/>
    </row>
    <row r="207" spans="1:249" s="25" customFormat="1" x14ac:dyDescent="0.25">
      <c r="A207" s="62">
        <v>143</v>
      </c>
      <c r="B207" s="365" t="s">
        <v>256</v>
      </c>
      <c r="C207" s="62">
        <v>1173</v>
      </c>
      <c r="D207" s="63" t="s">
        <v>257</v>
      </c>
      <c r="E207" s="62">
        <v>1</v>
      </c>
      <c r="F207" s="559"/>
      <c r="G207" s="559"/>
      <c r="H207" s="559"/>
      <c r="I207" s="559"/>
      <c r="J207" s="620"/>
      <c r="K207" s="622"/>
      <c r="L207" s="164"/>
      <c r="M207" s="164"/>
      <c r="N207" s="164"/>
      <c r="O207" s="164"/>
      <c r="P207" s="164"/>
      <c r="Q207" s="165"/>
      <c r="R207" s="165"/>
      <c r="S207" s="164"/>
      <c r="T207" s="164"/>
      <c r="U207" s="164"/>
      <c r="V207" s="164"/>
      <c r="W207" s="164"/>
      <c r="X207" s="164"/>
      <c r="Y207" s="164"/>
      <c r="Z207" s="164"/>
      <c r="AA207" s="167"/>
      <c r="AB207" s="168"/>
      <c r="AC207" s="167"/>
      <c r="AD207" s="168"/>
      <c r="AE207" s="167"/>
      <c r="AF207" s="167"/>
      <c r="AG207" s="167"/>
      <c r="AH207" s="167"/>
      <c r="AI207" s="167">
        <v>0</v>
      </c>
      <c r="AJ207" s="167">
        <v>0</v>
      </c>
      <c r="AK207" s="167">
        <v>0</v>
      </c>
      <c r="AL207" s="167">
        <v>0</v>
      </c>
      <c r="AM207" s="167">
        <v>0</v>
      </c>
      <c r="AN207" s="167">
        <v>0</v>
      </c>
      <c r="AO207" s="167">
        <v>0</v>
      </c>
      <c r="AP207" s="167">
        <v>0</v>
      </c>
      <c r="AQ207" s="168">
        <f t="shared" si="42"/>
        <v>0</v>
      </c>
      <c r="AR207" s="168">
        <f t="shared" si="43"/>
        <v>0</v>
      </c>
      <c r="AS207" s="169" t="e">
        <f t="shared" si="44"/>
        <v>#DIV/0!</v>
      </c>
      <c r="AT207" s="236"/>
      <c r="AU207" s="346"/>
      <c r="AV207" s="346"/>
      <c r="AW207" s="345"/>
      <c r="AX207" s="345"/>
      <c r="AY207" s="345"/>
      <c r="AZ207" s="345"/>
      <c r="BA207" s="237"/>
      <c r="BB207" s="237"/>
      <c r="BC207" s="237"/>
      <c r="BD207" s="237"/>
      <c r="BE207" s="237"/>
      <c r="BF207" s="438"/>
      <c r="BG207" s="443"/>
      <c r="BH207" s="237"/>
      <c r="BI207" s="237"/>
      <c r="BJ207" s="344">
        <f t="shared" si="41"/>
        <v>0</v>
      </c>
      <c r="BK207" s="237">
        <f t="shared" si="39"/>
        <v>0</v>
      </c>
      <c r="BL207" s="435" t="e">
        <f t="shared" si="40"/>
        <v>#DIV/0!</v>
      </c>
      <c r="BM207" s="192"/>
      <c r="BN207" s="192"/>
      <c r="BO207" s="192"/>
      <c r="BP207" s="192"/>
      <c r="BQ207" s="192"/>
      <c r="BR207" s="192"/>
      <c r="BS207" s="192"/>
      <c r="BT207" s="192"/>
      <c r="BU207" s="192"/>
      <c r="BV207" s="192"/>
      <c r="BW207" s="192"/>
      <c r="BX207" s="192"/>
      <c r="BY207" s="192"/>
      <c r="BZ207" s="192"/>
      <c r="CA207" s="192"/>
      <c r="CB207" s="192"/>
      <c r="CC207" s="192"/>
      <c r="CD207" s="192"/>
    </row>
    <row r="208" spans="1:249" s="7" customFormat="1" x14ac:dyDescent="0.25">
      <c r="A208" s="4"/>
      <c r="B208" s="3"/>
      <c r="C208" s="5"/>
      <c r="D208" s="3"/>
      <c r="E208" s="5"/>
      <c r="F208" s="51"/>
      <c r="G208" s="51"/>
      <c r="H208" s="51"/>
      <c r="I208" s="51"/>
      <c r="J208" s="6">
        <f>SUM(J3:J207)</f>
        <v>0</v>
      </c>
      <c r="K208" s="6">
        <f>SUM(K3:K207)</f>
        <v>0</v>
      </c>
      <c r="L208" s="52"/>
      <c r="M208" s="52"/>
      <c r="N208" s="5"/>
      <c r="O208" s="3"/>
      <c r="P208" s="3"/>
      <c r="Q208" s="5"/>
      <c r="R208" s="5"/>
      <c r="S208" s="5"/>
      <c r="T208" s="5"/>
      <c r="U208" s="3"/>
      <c r="V208" s="3"/>
      <c r="W208" s="5"/>
      <c r="X208" s="5"/>
      <c r="Y208" s="5"/>
      <c r="Z208" s="5"/>
      <c r="AA208" s="70"/>
      <c r="AB208" s="70"/>
      <c r="AC208" s="71"/>
      <c r="AD208" s="72">
        <f t="shared" ref="AD208:AQ208" si="45">SUM(AD3:AD207)</f>
        <v>19787470363</v>
      </c>
      <c r="AE208" s="72">
        <f t="shared" si="45"/>
        <v>30709560</v>
      </c>
      <c r="AF208" s="72">
        <f t="shared" si="45"/>
        <v>32945208</v>
      </c>
      <c r="AG208" s="72">
        <f t="shared" si="45"/>
        <v>239306244</v>
      </c>
      <c r="AH208" s="72">
        <f t="shared" si="45"/>
        <v>57931948</v>
      </c>
      <c r="AI208" s="72">
        <f t="shared" si="45"/>
        <v>62008615</v>
      </c>
      <c r="AJ208" s="72">
        <f t="shared" si="45"/>
        <v>265178592</v>
      </c>
      <c r="AK208" s="72">
        <f t="shared" si="45"/>
        <v>108920000</v>
      </c>
      <c r="AL208" s="72">
        <f t="shared" si="45"/>
        <v>393257600.39999998</v>
      </c>
      <c r="AM208" s="72">
        <f t="shared" si="45"/>
        <v>318889227</v>
      </c>
      <c r="AN208" s="72">
        <f t="shared" si="45"/>
        <v>2412946205</v>
      </c>
      <c r="AO208" s="72">
        <f t="shared" si="45"/>
        <v>1622575453</v>
      </c>
      <c r="AP208" s="72">
        <f t="shared" si="45"/>
        <v>2139746270</v>
      </c>
      <c r="AQ208" s="85">
        <f t="shared" si="45"/>
        <v>7684414922.3999996</v>
      </c>
      <c r="AR208" s="44"/>
      <c r="AS208" s="53"/>
      <c r="AW208" s="343">
        <f t="shared" ref="AW208:BI208" si="46">SUM(AW3:AW207)</f>
        <v>12103055440.6</v>
      </c>
      <c r="AX208" s="343">
        <f t="shared" si="46"/>
        <v>1411666467</v>
      </c>
      <c r="AY208" s="343">
        <f t="shared" si="46"/>
        <v>522405405</v>
      </c>
      <c r="AZ208" s="343">
        <f t="shared" si="46"/>
        <v>1064483967</v>
      </c>
      <c r="BA208" s="343">
        <f>SUM(BA3:BA207)</f>
        <v>872219242</v>
      </c>
      <c r="BB208" s="343">
        <f t="shared" si="46"/>
        <v>1183250536</v>
      </c>
      <c r="BC208" s="343">
        <f t="shared" si="46"/>
        <v>1128210670</v>
      </c>
      <c r="BD208" s="343">
        <f t="shared" si="46"/>
        <v>734767402</v>
      </c>
      <c r="BE208" s="343">
        <f t="shared" si="46"/>
        <v>749353533</v>
      </c>
      <c r="BF208" s="343">
        <f t="shared" si="46"/>
        <v>1051147875</v>
      </c>
      <c r="BG208" s="343">
        <f t="shared" si="46"/>
        <v>551759877</v>
      </c>
      <c r="BH208" s="343">
        <f t="shared" si="46"/>
        <v>1119503333</v>
      </c>
      <c r="BI208" s="343">
        <f t="shared" si="46"/>
        <v>872048422</v>
      </c>
      <c r="BJ208" s="343">
        <f>SUM(BJ3:BJ207)</f>
        <v>11260816729</v>
      </c>
      <c r="BK208" s="7">
        <f>SUBTOTAL(9,BK3:BK207)</f>
        <v>842238711.60000002</v>
      </c>
      <c r="BL208" s="436"/>
      <c r="GE208" s="84"/>
      <c r="GF208" s="84"/>
      <c r="GG208" s="84"/>
      <c r="GH208" s="84"/>
      <c r="GI208" s="84"/>
      <c r="GJ208" s="84"/>
      <c r="GK208" s="84"/>
      <c r="GL208" s="84"/>
      <c r="GM208" s="84"/>
      <c r="GN208" s="84"/>
      <c r="GO208" s="84"/>
      <c r="GP208" s="84"/>
      <c r="GQ208" s="84"/>
      <c r="GR208" s="84"/>
      <c r="GS208" s="84"/>
      <c r="GT208" s="84"/>
      <c r="GU208" s="84"/>
      <c r="GV208" s="84"/>
      <c r="GW208" s="84"/>
      <c r="GX208" s="84"/>
      <c r="GY208" s="84"/>
      <c r="GZ208" s="84"/>
      <c r="HA208" s="84"/>
      <c r="HB208" s="84"/>
      <c r="HC208" s="84"/>
      <c r="HD208" s="84"/>
      <c r="HE208" s="84"/>
      <c r="HF208" s="84"/>
      <c r="HG208" s="84"/>
      <c r="HH208" s="84"/>
      <c r="HI208" s="84"/>
      <c r="HJ208" s="84"/>
      <c r="HK208" s="84"/>
      <c r="HL208" s="84"/>
      <c r="HM208" s="84"/>
      <c r="HN208" s="84"/>
      <c r="HO208" s="84"/>
      <c r="HP208" s="84"/>
      <c r="HQ208" s="84"/>
      <c r="HR208" s="84"/>
      <c r="HS208" s="84"/>
      <c r="HT208" s="84"/>
      <c r="HU208" s="84"/>
      <c r="HV208" s="84"/>
      <c r="HW208" s="84"/>
      <c r="HX208" s="84"/>
      <c r="HY208" s="84"/>
      <c r="HZ208" s="84"/>
      <c r="IA208" s="84"/>
      <c r="IB208" s="84"/>
      <c r="IC208" s="84"/>
      <c r="ID208" s="84"/>
      <c r="IE208" s="84"/>
      <c r="IF208" s="84"/>
      <c r="IG208" s="84"/>
      <c r="IH208" s="84"/>
      <c r="II208" s="84"/>
      <c r="IJ208" s="84"/>
      <c r="IK208" s="84"/>
      <c r="IL208" s="84"/>
      <c r="IM208" s="84"/>
      <c r="IN208" s="84"/>
      <c r="IO208" s="84"/>
    </row>
    <row r="209" spans="1:249" s="7" customFormat="1" x14ac:dyDescent="0.25">
      <c r="A209" s="4"/>
      <c r="B209" s="3"/>
      <c r="C209" s="5"/>
      <c r="D209" s="3"/>
      <c r="E209" s="5"/>
      <c r="F209" s="51"/>
      <c r="G209" s="51"/>
      <c r="H209" s="51"/>
      <c r="I209" s="51"/>
      <c r="J209" s="6"/>
      <c r="K209" s="6"/>
      <c r="L209" s="52"/>
      <c r="M209" s="52"/>
      <c r="N209" s="5"/>
      <c r="O209" s="3"/>
      <c r="P209" s="3"/>
      <c r="Q209" s="5"/>
      <c r="R209" s="5"/>
      <c r="S209" s="5"/>
      <c r="T209" s="5"/>
      <c r="U209" s="3"/>
      <c r="V209" s="3"/>
      <c r="W209" s="5"/>
      <c r="X209" s="5"/>
      <c r="Y209" s="5"/>
      <c r="Z209" s="5"/>
      <c r="AA209" s="6"/>
      <c r="AB209" s="6"/>
      <c r="AC209" s="5"/>
      <c r="AD209" s="6">
        <v>19787470363</v>
      </c>
      <c r="AE209" s="77"/>
      <c r="AF209" s="77"/>
      <c r="AG209" s="77"/>
      <c r="AH209" s="77"/>
      <c r="AI209" s="77"/>
      <c r="AJ209" s="77"/>
      <c r="AK209" s="77"/>
      <c r="AL209" s="77"/>
      <c r="AM209" s="77"/>
      <c r="AN209" s="77"/>
      <c r="AO209" s="44"/>
      <c r="AP209" s="44"/>
      <c r="AQ209" s="6">
        <v>7684414922.3999996</v>
      </c>
      <c r="AR209" s="53"/>
      <c r="AS209" s="53"/>
      <c r="BB209" s="426"/>
      <c r="BL209" s="436"/>
      <c r="GE209" s="84"/>
      <c r="GF209" s="84"/>
      <c r="GG209" s="84"/>
      <c r="GH209" s="84"/>
      <c r="GI209" s="84"/>
      <c r="GJ209" s="84"/>
      <c r="GK209" s="84"/>
      <c r="GL209" s="84"/>
      <c r="GM209" s="84"/>
      <c r="GN209" s="84"/>
      <c r="GO209" s="84"/>
      <c r="GP209" s="84"/>
      <c r="GQ209" s="84"/>
      <c r="GR209" s="84"/>
      <c r="GS209" s="84"/>
      <c r="GT209" s="84"/>
      <c r="GU209" s="84"/>
      <c r="GV209" s="84"/>
      <c r="GW209" s="84"/>
      <c r="GX209" s="84"/>
      <c r="GY209" s="84"/>
      <c r="GZ209" s="84"/>
      <c r="HA209" s="84"/>
      <c r="HB209" s="84"/>
      <c r="HC209" s="84"/>
      <c r="HD209" s="84"/>
      <c r="HE209" s="84"/>
      <c r="HF209" s="84"/>
      <c r="HG209" s="84"/>
      <c r="HH209" s="84"/>
      <c r="HI209" s="84"/>
      <c r="HJ209" s="84"/>
      <c r="HK209" s="84"/>
      <c r="HL209" s="84"/>
      <c r="HM209" s="84"/>
      <c r="HN209" s="84"/>
      <c r="HO209" s="84"/>
      <c r="HP209" s="84"/>
      <c r="HQ209" s="84"/>
      <c r="HR209" s="84"/>
      <c r="HS209" s="84"/>
      <c r="HT209" s="84"/>
      <c r="HU209" s="84"/>
      <c r="HV209" s="84"/>
      <c r="HW209" s="84"/>
      <c r="HX209" s="84"/>
      <c r="HY209" s="84"/>
      <c r="HZ209" s="84"/>
      <c r="IA209" s="84"/>
      <c r="IB209" s="84"/>
      <c r="IC209" s="84"/>
      <c r="ID209" s="84"/>
      <c r="IE209" s="84"/>
      <c r="IF209" s="84"/>
      <c r="IG209" s="84"/>
      <c r="IH209" s="84"/>
      <c r="II209" s="84"/>
      <c r="IJ209" s="84"/>
      <c r="IK209" s="84"/>
      <c r="IL209" s="84"/>
      <c r="IM209" s="84"/>
      <c r="IN209" s="84"/>
      <c r="IO209" s="84"/>
    </row>
    <row r="210" spans="1:249" s="7" customFormat="1" x14ac:dyDescent="0.25">
      <c r="A210" s="4"/>
      <c r="B210" s="3"/>
      <c r="C210" s="5"/>
      <c r="D210" s="3"/>
      <c r="E210" s="5"/>
      <c r="F210" s="51"/>
      <c r="G210" s="51"/>
      <c r="H210" s="51"/>
      <c r="I210" s="51"/>
      <c r="J210" s="6"/>
      <c r="K210" s="6"/>
      <c r="L210" s="52"/>
      <c r="M210" s="52"/>
      <c r="N210" s="5"/>
      <c r="O210" s="3"/>
      <c r="P210" s="3"/>
      <c r="Q210" s="5"/>
      <c r="R210" s="5"/>
      <c r="S210" s="5"/>
      <c r="T210" s="5"/>
      <c r="U210" s="3"/>
      <c r="V210" s="3"/>
      <c r="W210" s="5"/>
      <c r="X210" s="5"/>
      <c r="Y210" s="5"/>
      <c r="Z210" s="5"/>
      <c r="AA210" s="6"/>
      <c r="AB210" s="6"/>
      <c r="AC210" s="5"/>
      <c r="AD210" s="78"/>
      <c r="AE210" s="78"/>
      <c r="AF210" s="77"/>
      <c r="AG210" s="77"/>
      <c r="AH210" s="77"/>
      <c r="AI210" s="77"/>
      <c r="AJ210" s="77"/>
      <c r="AK210" s="77"/>
      <c r="AL210" s="77"/>
      <c r="AM210" s="77"/>
      <c r="AN210" s="77"/>
      <c r="AO210" s="77"/>
      <c r="AP210" s="77"/>
      <c r="AR210" s="53"/>
      <c r="AS210" s="53"/>
      <c r="AW210" s="7" t="s">
        <v>1540</v>
      </c>
      <c r="AX210" s="411">
        <v>1411666467</v>
      </c>
      <c r="AY210" s="411">
        <v>522405405</v>
      </c>
      <c r="AZ210" s="411">
        <v>1064483967</v>
      </c>
      <c r="BA210" s="411">
        <v>872219242</v>
      </c>
      <c r="BB210" s="426">
        <v>1183157130</v>
      </c>
      <c r="BC210" s="7">
        <v>1128353527</v>
      </c>
      <c r="BD210" s="339">
        <v>734767412</v>
      </c>
      <c r="BE210" s="339">
        <v>749353533</v>
      </c>
      <c r="BF210" s="7">
        <v>1123456417</v>
      </c>
      <c r="BG210">
        <v>551759877</v>
      </c>
      <c r="BH210" s="7">
        <v>1119503333</v>
      </c>
      <c r="BI210">
        <v>872048422</v>
      </c>
      <c r="BJ210">
        <v>11333174732</v>
      </c>
      <c r="BL210" s="436"/>
      <c r="GE210" s="84"/>
      <c r="GF210" s="84"/>
      <c r="GG210" s="84"/>
      <c r="GH210" s="84"/>
      <c r="GI210" s="84"/>
      <c r="GJ210" s="84"/>
      <c r="GK210" s="84"/>
      <c r="GL210" s="84"/>
      <c r="GM210" s="84"/>
      <c r="GN210" s="84"/>
      <c r="GO210" s="84"/>
      <c r="GP210" s="84"/>
      <c r="GQ210" s="84"/>
      <c r="GR210" s="84"/>
      <c r="GS210" s="84"/>
      <c r="GT210" s="84"/>
      <c r="GU210" s="84"/>
      <c r="GV210" s="84"/>
      <c r="GW210" s="84"/>
      <c r="GX210" s="84"/>
      <c r="GY210" s="84"/>
      <c r="GZ210" s="84"/>
      <c r="HA210" s="84"/>
      <c r="HB210" s="84"/>
      <c r="HC210" s="84"/>
      <c r="HD210" s="84"/>
      <c r="HE210" s="84"/>
      <c r="HF210" s="84"/>
      <c r="HG210" s="84"/>
      <c r="HH210" s="84"/>
      <c r="HI210" s="84"/>
      <c r="HJ210" s="84"/>
      <c r="HK210" s="84"/>
      <c r="HL210" s="84"/>
      <c r="HM210" s="84"/>
      <c r="HN210" s="84"/>
      <c r="HO210" s="84"/>
      <c r="HP210" s="84"/>
      <c r="HQ210" s="84"/>
      <c r="HR210" s="84"/>
      <c r="HS210" s="84"/>
      <c r="HT210" s="84"/>
      <c r="HU210" s="84"/>
      <c r="HV210" s="84"/>
      <c r="HW210" s="84"/>
      <c r="HX210" s="84"/>
      <c r="HY210" s="84"/>
      <c r="HZ210" s="84"/>
      <c r="IA210" s="84"/>
      <c r="IB210" s="84"/>
      <c r="IC210" s="84"/>
      <c r="ID210" s="84"/>
      <c r="IE210" s="84"/>
      <c r="IF210" s="84"/>
      <c r="IG210" s="84"/>
      <c r="IH210" s="84"/>
      <c r="II210" s="84"/>
      <c r="IJ210" s="84"/>
      <c r="IK210" s="84"/>
      <c r="IL210" s="84"/>
      <c r="IM210" s="84"/>
      <c r="IN210" s="84"/>
      <c r="IO210" s="84"/>
    </row>
    <row r="211" spans="1:249" s="7" customFormat="1" x14ac:dyDescent="0.25">
      <c r="A211" s="4"/>
      <c r="B211" s="3"/>
      <c r="C211" s="5"/>
      <c r="D211" s="3"/>
      <c r="E211" s="5"/>
      <c r="F211" s="51"/>
      <c r="G211" s="51"/>
      <c r="H211" s="51"/>
      <c r="I211" s="51"/>
      <c r="J211" s="6"/>
      <c r="K211" s="6"/>
      <c r="L211" s="52"/>
      <c r="M211" s="52"/>
      <c r="N211" s="5"/>
      <c r="O211" s="3"/>
      <c r="P211" s="3"/>
      <c r="Q211" s="5"/>
      <c r="R211" s="5"/>
      <c r="S211" s="5"/>
      <c r="T211" s="5"/>
      <c r="U211" s="3"/>
      <c r="V211" s="3"/>
      <c r="W211" s="5"/>
      <c r="X211" s="5"/>
      <c r="Y211" s="5"/>
      <c r="Z211" s="5"/>
      <c r="AA211" s="6"/>
      <c r="AB211" s="6"/>
      <c r="AC211" s="5"/>
      <c r="AD211" s="79"/>
      <c r="AE211" s="55"/>
      <c r="AF211" s="55"/>
      <c r="AG211" s="55"/>
      <c r="AH211" s="55"/>
      <c r="AI211" s="55"/>
      <c r="AJ211" s="55"/>
      <c r="AK211" s="55"/>
      <c r="AL211" s="55"/>
      <c r="AM211" s="55"/>
      <c r="AN211" s="55"/>
      <c r="AO211" s="56"/>
      <c r="AP211" s="56"/>
      <c r="AQ211" s="53"/>
      <c r="AR211" s="53"/>
      <c r="AS211" s="53"/>
      <c r="BA211" s="339"/>
      <c r="BB211" s="426"/>
      <c r="BC211" s="339"/>
      <c r="BD211" s="339"/>
      <c r="BJ211" s="339"/>
      <c r="BL211" s="436"/>
      <c r="GE211" s="84"/>
      <c r="GF211" s="84"/>
      <c r="GG211" s="84"/>
      <c r="GH211" s="84"/>
      <c r="GI211" s="84"/>
      <c r="GJ211" s="84"/>
      <c r="GK211" s="84"/>
      <c r="GL211" s="84"/>
      <c r="GM211" s="84"/>
      <c r="GN211" s="84"/>
      <c r="GO211" s="84"/>
      <c r="GP211" s="84"/>
      <c r="GQ211" s="84"/>
      <c r="GR211" s="84"/>
      <c r="GS211" s="84"/>
      <c r="GT211" s="84"/>
      <c r="GU211" s="84"/>
      <c r="GV211" s="84"/>
      <c r="GW211" s="84"/>
      <c r="GX211" s="84"/>
      <c r="GY211" s="84"/>
      <c r="GZ211" s="84"/>
      <c r="HA211" s="84"/>
      <c r="HB211" s="84"/>
      <c r="HC211" s="84"/>
      <c r="HD211" s="84"/>
      <c r="HE211" s="84"/>
      <c r="HF211" s="84"/>
      <c r="HG211" s="84"/>
      <c r="HH211" s="84"/>
      <c r="HI211" s="84"/>
      <c r="HJ211" s="84"/>
      <c r="HK211" s="84"/>
      <c r="HL211" s="84"/>
      <c r="HM211" s="84"/>
      <c r="HN211" s="84"/>
      <c r="HO211" s="84"/>
      <c r="HP211" s="84"/>
      <c r="HQ211" s="84"/>
      <c r="HR211" s="84"/>
      <c r="HS211" s="84"/>
      <c r="HT211" s="84"/>
      <c r="HU211" s="84"/>
      <c r="HV211" s="84"/>
      <c r="HW211" s="84"/>
      <c r="HX211" s="84"/>
      <c r="HY211" s="84"/>
      <c r="HZ211" s="84"/>
      <c r="IA211" s="84"/>
      <c r="IB211" s="84"/>
      <c r="IC211" s="84"/>
      <c r="ID211" s="84"/>
      <c r="IE211" s="84"/>
      <c r="IF211" s="84"/>
      <c r="IG211" s="84"/>
      <c r="IH211" s="84"/>
      <c r="II211" s="84"/>
      <c r="IJ211" s="84"/>
      <c r="IK211" s="84"/>
      <c r="IL211" s="84"/>
      <c r="IM211" s="84"/>
      <c r="IN211" s="84"/>
      <c r="IO211" s="84"/>
    </row>
    <row r="212" spans="1:249" x14ac:dyDescent="0.25">
      <c r="BA212" s="412"/>
      <c r="BB212" s="427"/>
      <c r="BD212" s="411"/>
      <c r="BE212" s="339"/>
      <c r="BF212" s="339">
        <f>BF210-BF208</f>
        <v>72308542</v>
      </c>
      <c r="BJ212" s="411" t="e">
        <f>+#REF!-BJ208</f>
        <v>#REF!</v>
      </c>
    </row>
    <row r="213" spans="1:249" s="7" customFormat="1" x14ac:dyDescent="0.25">
      <c r="A213" s="4"/>
      <c r="B213" s="3"/>
      <c r="C213" s="5"/>
      <c r="D213" s="45"/>
      <c r="E213" s="46"/>
      <c r="F213" s="80"/>
      <c r="G213" s="80"/>
      <c r="H213" s="80"/>
      <c r="I213" s="51"/>
      <c r="J213" s="6"/>
      <c r="K213" s="6"/>
      <c r="L213" s="52"/>
      <c r="M213" s="52"/>
      <c r="N213" s="5"/>
      <c r="O213" s="3"/>
      <c r="P213" s="3"/>
      <c r="Q213" s="5"/>
      <c r="R213" s="5"/>
      <c r="S213" s="5"/>
      <c r="T213" s="5"/>
      <c r="U213" s="3"/>
      <c r="V213" s="3"/>
      <c r="W213" s="5"/>
      <c r="X213" s="5"/>
      <c r="Y213" s="5"/>
      <c r="Z213" s="5"/>
      <c r="AA213" s="6"/>
      <c r="AB213" s="6"/>
      <c r="AC213" s="5"/>
      <c r="AD213" s="54"/>
      <c r="AE213" s="55"/>
      <c r="AF213" s="55"/>
      <c r="AG213" s="55"/>
      <c r="AH213" s="55"/>
      <c r="AI213" s="55"/>
      <c r="AJ213" s="55"/>
      <c r="AK213" s="55"/>
      <c r="AL213" s="55"/>
      <c r="AM213" s="55"/>
      <c r="AN213" s="55"/>
      <c r="AO213" s="56"/>
      <c r="AP213" s="342"/>
      <c r="AR213" s="53"/>
      <c r="AS213" s="53"/>
      <c r="AW213" s="339"/>
      <c r="AZ213" s="339"/>
      <c r="BA213" s="412"/>
      <c r="BB213" s="83"/>
      <c r="BJ213" s="341"/>
      <c r="BL213" s="436"/>
      <c r="GE213" s="84"/>
      <c r="GF213" s="84"/>
      <c r="GG213" s="84"/>
      <c r="GH213" s="84"/>
      <c r="GI213" s="84"/>
      <c r="GJ213" s="84"/>
      <c r="GK213" s="84"/>
      <c r="GL213" s="84"/>
      <c r="GM213" s="84"/>
      <c r="GN213" s="84"/>
      <c r="GO213" s="84"/>
      <c r="GP213" s="84"/>
      <c r="GQ213" s="84"/>
      <c r="GR213" s="84"/>
      <c r="GS213" s="84"/>
      <c r="GT213" s="84"/>
      <c r="GU213" s="84"/>
      <c r="GV213" s="84"/>
      <c r="GW213" s="84"/>
      <c r="GX213" s="84"/>
      <c r="GY213" s="84"/>
      <c r="GZ213" s="84"/>
      <c r="HA213" s="84"/>
      <c r="HB213" s="84"/>
      <c r="HC213" s="84"/>
      <c r="HD213" s="84"/>
      <c r="HE213" s="84"/>
      <c r="HF213" s="84"/>
      <c r="HG213" s="84"/>
      <c r="HH213" s="84"/>
      <c r="HI213" s="84"/>
      <c r="HJ213" s="84"/>
      <c r="HK213" s="84"/>
      <c r="HL213" s="84"/>
      <c r="HM213" s="84"/>
      <c r="HN213" s="84"/>
      <c r="HO213" s="84"/>
      <c r="HP213" s="84"/>
      <c r="HQ213" s="84"/>
      <c r="HR213" s="84"/>
      <c r="HS213" s="84"/>
      <c r="HT213" s="84"/>
      <c r="HU213" s="84"/>
      <c r="HV213" s="84"/>
      <c r="HW213" s="84"/>
      <c r="HX213" s="84"/>
      <c r="HY213" s="84"/>
      <c r="HZ213" s="84"/>
      <c r="IA213" s="84"/>
      <c r="IB213" s="84"/>
      <c r="IC213" s="84"/>
      <c r="ID213" s="84"/>
      <c r="IE213" s="84"/>
      <c r="IF213" s="84"/>
      <c r="IG213" s="84"/>
      <c r="IH213" s="84"/>
      <c r="II213" s="84"/>
      <c r="IJ213" s="84"/>
      <c r="IK213" s="84"/>
      <c r="IL213" s="84"/>
      <c r="IM213" s="84"/>
      <c r="IN213" s="84"/>
      <c r="IO213" s="84"/>
    </row>
    <row r="214" spans="1:249" s="7" customFormat="1" x14ac:dyDescent="0.25">
      <c r="A214" s="4"/>
      <c r="B214" s="3"/>
      <c r="C214" s="5"/>
      <c r="D214" s="45"/>
      <c r="E214" s="46"/>
      <c r="F214" s="80"/>
      <c r="G214" s="80"/>
      <c r="H214" s="80"/>
      <c r="I214" s="51"/>
      <c r="J214" s="6"/>
      <c r="K214" s="6"/>
      <c r="L214" s="52"/>
      <c r="M214" s="52"/>
      <c r="N214" s="5"/>
      <c r="O214" s="3"/>
      <c r="P214" s="3"/>
      <c r="Q214" s="5"/>
      <c r="R214" s="5"/>
      <c r="S214" s="5"/>
      <c r="T214" s="5"/>
      <c r="U214" s="3"/>
      <c r="V214" s="3"/>
      <c r="W214" s="5"/>
      <c r="X214" s="5"/>
      <c r="Y214" s="5"/>
      <c r="Z214" s="5"/>
      <c r="AA214" s="6"/>
      <c r="AB214" s="6"/>
      <c r="AC214" s="5"/>
      <c r="AD214" s="81"/>
      <c r="AE214" s="55"/>
      <c r="AF214" s="55"/>
      <c r="AG214" s="55"/>
      <c r="AH214" s="55"/>
      <c r="AI214" s="55"/>
      <c r="AJ214" s="55"/>
      <c r="AK214" s="55"/>
      <c r="AL214" s="55"/>
      <c r="AM214" s="55"/>
      <c r="AN214" s="55"/>
      <c r="AO214" s="56"/>
      <c r="AP214" s="56"/>
      <c r="AQ214" s="53"/>
      <c r="AR214" s="53"/>
      <c r="AS214" s="53"/>
      <c r="AT214" s="50"/>
      <c r="AW214" s="339"/>
      <c r="BB214" s="83"/>
      <c r="BD214" s="415"/>
      <c r="BJ214" s="341"/>
      <c r="BL214" s="436"/>
      <c r="GE214" s="84"/>
      <c r="GF214" s="84"/>
      <c r="GG214" s="84"/>
      <c r="GH214" s="84"/>
      <c r="GI214" s="84"/>
      <c r="GJ214" s="84"/>
      <c r="GK214" s="84"/>
      <c r="GL214" s="84"/>
      <c r="GM214" s="84"/>
      <c r="GN214" s="84"/>
      <c r="GO214" s="84"/>
      <c r="GP214" s="84"/>
      <c r="GQ214" s="84"/>
      <c r="GR214" s="84"/>
      <c r="GS214" s="84"/>
      <c r="GT214" s="84"/>
      <c r="GU214" s="84"/>
      <c r="GV214" s="84"/>
      <c r="GW214" s="84"/>
      <c r="GX214" s="84"/>
      <c r="GY214" s="84"/>
      <c r="GZ214" s="84"/>
      <c r="HA214" s="84"/>
      <c r="HB214" s="84"/>
      <c r="HC214" s="84"/>
      <c r="HD214" s="84"/>
      <c r="HE214" s="84"/>
      <c r="HF214" s="84"/>
      <c r="HG214" s="84"/>
      <c r="HH214" s="84"/>
      <c r="HI214" s="84"/>
      <c r="HJ214" s="84"/>
      <c r="HK214" s="84"/>
      <c r="HL214" s="84"/>
      <c r="HM214" s="84"/>
      <c r="HN214" s="84"/>
      <c r="HO214" s="84"/>
      <c r="HP214" s="84"/>
      <c r="HQ214" s="84"/>
      <c r="HR214" s="84"/>
      <c r="HS214" s="84"/>
      <c r="HT214" s="84"/>
      <c r="HU214" s="84"/>
      <c r="HV214" s="84"/>
      <c r="HW214" s="84"/>
      <c r="HX214" s="84"/>
      <c r="HY214" s="84"/>
      <c r="HZ214" s="84"/>
      <c r="IA214" s="84"/>
      <c r="IB214" s="84"/>
      <c r="IC214" s="84"/>
      <c r="ID214" s="84"/>
      <c r="IE214" s="84"/>
      <c r="IF214" s="84"/>
      <c r="IG214" s="84"/>
      <c r="IH214" s="84"/>
      <c r="II214" s="84"/>
      <c r="IJ214" s="84"/>
      <c r="IK214" s="84"/>
      <c r="IL214" s="84"/>
      <c r="IM214" s="84"/>
      <c r="IN214" s="84"/>
      <c r="IO214" s="84"/>
    </row>
    <row r="215" spans="1:249" s="53" customFormat="1" x14ac:dyDescent="0.25">
      <c r="A215" s="4"/>
      <c r="B215" s="3"/>
      <c r="C215" s="5"/>
      <c r="D215" s="45"/>
      <c r="E215" s="46"/>
      <c r="F215" s="80"/>
      <c r="G215" s="80"/>
      <c r="H215" s="80"/>
      <c r="I215" s="51"/>
      <c r="J215" s="6"/>
      <c r="K215" s="6"/>
      <c r="L215" s="52"/>
      <c r="M215" s="52"/>
      <c r="N215" s="5"/>
      <c r="O215" s="3"/>
      <c r="P215" s="3"/>
      <c r="Q215" s="5"/>
      <c r="R215" s="5"/>
      <c r="S215" s="5"/>
      <c r="T215" s="5"/>
      <c r="U215" s="3"/>
      <c r="V215" s="3"/>
      <c r="W215" s="5"/>
      <c r="X215" s="5"/>
      <c r="Y215" s="5"/>
      <c r="Z215" s="5"/>
      <c r="AA215" s="6"/>
      <c r="AB215" s="6"/>
      <c r="AC215" s="5"/>
      <c r="AD215" s="54"/>
      <c r="AE215" s="55"/>
      <c r="AF215" s="55"/>
      <c r="AG215" s="55"/>
      <c r="AH215" s="55"/>
      <c r="AI215" s="55"/>
      <c r="AJ215" s="55"/>
      <c r="AK215" s="55"/>
      <c r="AL215" s="55"/>
      <c r="AM215" s="55"/>
      <c r="AN215" s="55"/>
      <c r="AO215" s="56"/>
      <c r="AP215" s="56"/>
      <c r="AT215" s="7"/>
      <c r="AU215" s="340"/>
      <c r="AV215" s="7"/>
      <c r="AW215" s="340"/>
      <c r="AX215" s="7"/>
      <c r="AY215" s="7"/>
      <c r="AZ215" s="7"/>
      <c r="BA215" s="7"/>
      <c r="BB215" s="83"/>
      <c r="BC215" s="7"/>
      <c r="BD215" s="339"/>
      <c r="BE215" s="7"/>
      <c r="BF215" s="7"/>
      <c r="BG215" s="7"/>
      <c r="BH215" s="7"/>
      <c r="BI215" s="7"/>
      <c r="BJ215" s="341"/>
      <c r="BK215" s="7"/>
      <c r="BL215" s="436"/>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84"/>
      <c r="GF215" s="84"/>
      <c r="GG215" s="84"/>
      <c r="GH215" s="84"/>
      <c r="GI215" s="84"/>
      <c r="GJ215" s="84"/>
      <c r="GK215" s="84"/>
      <c r="GL215" s="84"/>
      <c r="GM215" s="84"/>
      <c r="GN215" s="84"/>
      <c r="GO215" s="84"/>
      <c r="GP215" s="84"/>
      <c r="GQ215" s="84"/>
      <c r="GR215" s="84"/>
      <c r="GS215" s="84"/>
      <c r="GT215" s="84"/>
      <c r="GU215" s="84"/>
      <c r="GV215" s="84"/>
      <c r="GW215" s="84"/>
      <c r="GX215" s="84"/>
      <c r="GY215" s="84"/>
      <c r="GZ215" s="84"/>
      <c r="HA215" s="84"/>
      <c r="HB215" s="84"/>
      <c r="HC215" s="84"/>
      <c r="HD215" s="84"/>
      <c r="HE215" s="84"/>
      <c r="HF215" s="84"/>
      <c r="HG215" s="84"/>
      <c r="HH215" s="84"/>
      <c r="HI215" s="84"/>
      <c r="HJ215" s="84"/>
      <c r="HK215" s="84"/>
      <c r="HL215" s="84"/>
      <c r="HM215" s="84"/>
      <c r="HN215" s="84"/>
      <c r="HO215" s="84"/>
      <c r="HP215" s="84"/>
      <c r="HQ215" s="84"/>
      <c r="HR215" s="84"/>
      <c r="HS215" s="84"/>
      <c r="HT215" s="84"/>
      <c r="HU215" s="84"/>
      <c r="HV215" s="84"/>
      <c r="HW215" s="84"/>
      <c r="HX215" s="84"/>
      <c r="HY215" s="84"/>
      <c r="HZ215" s="84"/>
      <c r="IA215" s="84"/>
      <c r="IB215" s="84"/>
      <c r="IC215" s="84"/>
      <c r="ID215" s="84"/>
      <c r="IE215" s="84"/>
      <c r="IF215" s="84"/>
      <c r="IG215" s="84"/>
      <c r="IH215" s="84"/>
      <c r="II215" s="84"/>
      <c r="IJ215" s="84"/>
      <c r="IK215" s="84"/>
      <c r="IL215" s="84"/>
      <c r="IM215" s="84"/>
      <c r="IN215" s="84"/>
      <c r="IO215" s="84"/>
    </row>
    <row r="216" spans="1:249" s="53" customFormat="1" x14ac:dyDescent="0.25">
      <c r="A216" s="4"/>
      <c r="B216" s="3"/>
      <c r="C216" s="46"/>
      <c r="D216" s="45"/>
      <c r="E216" s="46"/>
      <c r="F216" s="80"/>
      <c r="G216" s="80"/>
      <c r="H216" s="80"/>
      <c r="I216" s="51"/>
      <c r="J216" s="6"/>
      <c r="K216" s="6"/>
      <c r="L216" s="52"/>
      <c r="M216" s="52"/>
      <c r="N216" s="5"/>
      <c r="O216" s="3"/>
      <c r="P216" s="3"/>
      <c r="Q216" s="5"/>
      <c r="R216" s="5"/>
      <c r="S216" s="5"/>
      <c r="T216" s="5"/>
      <c r="U216" s="3"/>
      <c r="V216" s="3"/>
      <c r="W216" s="5"/>
      <c r="X216" s="5"/>
      <c r="Y216" s="5"/>
      <c r="Z216" s="5"/>
      <c r="AA216" s="6"/>
      <c r="AB216" s="6"/>
      <c r="AC216" s="5"/>
      <c r="AD216" s="54"/>
      <c r="AE216" s="55"/>
      <c r="AF216" s="55"/>
      <c r="AG216" s="55"/>
      <c r="AH216" s="55"/>
      <c r="AI216" s="55"/>
      <c r="AJ216" s="55"/>
      <c r="AK216" s="55"/>
      <c r="AL216" s="55"/>
      <c r="AM216" s="55"/>
      <c r="AN216" s="55"/>
      <c r="AO216" s="56"/>
      <c r="AP216" s="56"/>
      <c r="AT216" s="7"/>
      <c r="AU216" s="7"/>
      <c r="AV216" s="7"/>
      <c r="AW216" s="340"/>
      <c r="AX216" s="7"/>
      <c r="AY216" s="7"/>
      <c r="AZ216" s="7"/>
      <c r="BA216" s="411"/>
      <c r="BB216" s="414"/>
      <c r="BC216" s="414"/>
      <c r="BD216" s="7"/>
      <c r="BE216" s="7"/>
      <c r="BF216" s="7"/>
      <c r="BG216" s="7"/>
      <c r="BH216" s="7"/>
      <c r="BI216" s="7"/>
      <c r="BJ216" s="339"/>
      <c r="BK216" s="7"/>
      <c r="BL216" s="436"/>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84"/>
      <c r="GF216" s="84"/>
      <c r="GG216" s="84"/>
      <c r="GH216" s="84"/>
      <c r="GI216" s="84"/>
      <c r="GJ216" s="84"/>
      <c r="GK216" s="84"/>
      <c r="GL216" s="84"/>
      <c r="GM216" s="84"/>
      <c r="GN216" s="84"/>
      <c r="GO216" s="84"/>
      <c r="GP216" s="84"/>
      <c r="GQ216" s="84"/>
      <c r="GR216" s="84"/>
      <c r="GS216" s="84"/>
      <c r="GT216" s="84"/>
      <c r="GU216" s="84"/>
      <c r="GV216" s="84"/>
      <c r="GW216" s="84"/>
      <c r="GX216" s="84"/>
      <c r="GY216" s="84"/>
      <c r="GZ216" s="84"/>
      <c r="HA216" s="84"/>
      <c r="HB216" s="84"/>
      <c r="HC216" s="84"/>
      <c r="HD216" s="84"/>
      <c r="HE216" s="84"/>
      <c r="HF216" s="84"/>
      <c r="HG216" s="84"/>
      <c r="HH216" s="84"/>
      <c r="HI216" s="84"/>
      <c r="HJ216" s="84"/>
      <c r="HK216" s="84"/>
      <c r="HL216" s="84"/>
      <c r="HM216" s="84"/>
      <c r="HN216" s="84"/>
      <c r="HO216" s="84"/>
      <c r="HP216" s="84"/>
      <c r="HQ216" s="84"/>
      <c r="HR216" s="84"/>
      <c r="HS216" s="84"/>
      <c r="HT216" s="84"/>
      <c r="HU216" s="84"/>
      <c r="HV216" s="84"/>
      <c r="HW216" s="84"/>
      <c r="HX216" s="84"/>
      <c r="HY216" s="84"/>
      <c r="HZ216" s="84"/>
      <c r="IA216" s="84"/>
      <c r="IB216" s="84"/>
      <c r="IC216" s="84"/>
      <c r="ID216" s="84"/>
      <c r="IE216" s="84"/>
      <c r="IF216" s="84"/>
      <c r="IG216" s="84"/>
      <c r="IH216" s="84"/>
      <c r="II216" s="84"/>
      <c r="IJ216" s="84"/>
      <c r="IK216" s="84"/>
      <c r="IL216" s="84"/>
      <c r="IM216" s="84"/>
      <c r="IN216" s="84"/>
      <c r="IO216" s="84"/>
    </row>
    <row r="217" spans="1:249" s="53" customFormat="1" x14ac:dyDescent="0.25">
      <c r="A217" s="4"/>
      <c r="B217" s="3"/>
      <c r="C217" s="46"/>
      <c r="D217" s="45"/>
      <c r="E217" s="46"/>
      <c r="F217" s="80"/>
      <c r="G217" s="80"/>
      <c r="H217" s="80"/>
      <c r="I217" s="51"/>
      <c r="J217" s="6"/>
      <c r="K217" s="6"/>
      <c r="L217" s="52"/>
      <c r="M217" s="52"/>
      <c r="N217" s="5"/>
      <c r="O217" s="3"/>
      <c r="P217" s="3"/>
      <c r="Q217" s="5"/>
      <c r="R217" s="5"/>
      <c r="S217" s="5"/>
      <c r="T217" s="5"/>
      <c r="U217" s="3"/>
      <c r="V217" s="3"/>
      <c r="W217" s="5"/>
      <c r="X217" s="5"/>
      <c r="Y217" s="5"/>
      <c r="Z217" s="5"/>
      <c r="AA217" s="6"/>
      <c r="AB217" s="6"/>
      <c r="AC217" s="5"/>
      <c r="AD217" s="54"/>
      <c r="AE217" s="55"/>
      <c r="AF217" s="55"/>
      <c r="AG217" s="55"/>
      <c r="AH217" s="55"/>
      <c r="AI217" s="55"/>
      <c r="AJ217" s="55"/>
      <c r="AK217" s="55"/>
      <c r="AL217" s="55"/>
      <c r="AM217" s="55"/>
      <c r="AN217" s="55"/>
      <c r="AO217" s="56"/>
      <c r="AP217" s="56"/>
      <c r="AT217" s="7"/>
      <c r="AU217" s="7"/>
      <c r="AV217" s="7"/>
      <c r="AX217" s="7"/>
      <c r="AY217" s="7"/>
      <c r="AZ217" s="7"/>
      <c r="BA217" s="411"/>
      <c r="BB217" s="83"/>
      <c r="BC217" s="413"/>
      <c r="BD217" s="7"/>
      <c r="BE217" s="7"/>
      <c r="BF217" s="7"/>
      <c r="BG217" s="7"/>
      <c r="BH217" s="7"/>
      <c r="BI217" s="7"/>
      <c r="BJ217" s="7"/>
      <c r="BK217" s="7"/>
      <c r="BL217" s="436"/>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c r="GA217" s="7"/>
      <c r="GB217" s="7"/>
      <c r="GC217" s="7"/>
      <c r="GD217" s="7"/>
      <c r="GE217" s="84"/>
      <c r="GF217" s="84"/>
      <c r="GG217" s="84"/>
      <c r="GH217" s="84"/>
      <c r="GI217" s="84"/>
      <c r="GJ217" s="84"/>
      <c r="GK217" s="84"/>
      <c r="GL217" s="84"/>
      <c r="GM217" s="84"/>
      <c r="GN217" s="84"/>
      <c r="GO217" s="84"/>
      <c r="GP217" s="84"/>
      <c r="GQ217" s="84"/>
      <c r="GR217" s="84"/>
      <c r="GS217" s="84"/>
      <c r="GT217" s="84"/>
      <c r="GU217" s="84"/>
      <c r="GV217" s="84"/>
      <c r="GW217" s="84"/>
      <c r="GX217" s="84"/>
      <c r="GY217" s="84"/>
      <c r="GZ217" s="84"/>
      <c r="HA217" s="84"/>
      <c r="HB217" s="84"/>
      <c r="HC217" s="84"/>
      <c r="HD217" s="84"/>
      <c r="HE217" s="84"/>
      <c r="HF217" s="84"/>
      <c r="HG217" s="84"/>
      <c r="HH217" s="84"/>
      <c r="HI217" s="84"/>
      <c r="HJ217" s="84"/>
      <c r="HK217" s="84"/>
      <c r="HL217" s="84"/>
      <c r="HM217" s="84"/>
      <c r="HN217" s="84"/>
      <c r="HO217" s="84"/>
      <c r="HP217" s="84"/>
      <c r="HQ217" s="84"/>
      <c r="HR217" s="84"/>
      <c r="HS217" s="84"/>
      <c r="HT217" s="84"/>
      <c r="HU217" s="84"/>
      <c r="HV217" s="84"/>
      <c r="HW217" s="84"/>
      <c r="HX217" s="84"/>
      <c r="HY217" s="84"/>
      <c r="HZ217" s="84"/>
      <c r="IA217" s="84"/>
      <c r="IB217" s="84"/>
      <c r="IC217" s="84"/>
      <c r="ID217" s="84"/>
      <c r="IE217" s="84"/>
      <c r="IF217" s="84"/>
      <c r="IG217" s="84"/>
      <c r="IH217" s="84"/>
      <c r="II217" s="84"/>
      <c r="IJ217" s="84"/>
      <c r="IK217" s="84"/>
      <c r="IL217" s="84"/>
      <c r="IM217" s="84"/>
      <c r="IN217" s="84"/>
      <c r="IO217" s="84"/>
    </row>
    <row r="218" spans="1:249" s="53" customFormat="1" x14ac:dyDescent="0.25">
      <c r="A218" s="4"/>
      <c r="B218" s="3"/>
      <c r="C218" s="46"/>
      <c r="D218" s="45"/>
      <c r="E218" s="46"/>
      <c r="F218" s="80"/>
      <c r="G218" s="80"/>
      <c r="H218" s="80"/>
      <c r="I218" s="51"/>
      <c r="J218" s="6"/>
      <c r="K218" s="6"/>
      <c r="L218" s="52"/>
      <c r="M218" s="52"/>
      <c r="N218" s="5"/>
      <c r="O218" s="3"/>
      <c r="P218" s="3"/>
      <c r="Q218" s="5"/>
      <c r="R218" s="5"/>
      <c r="S218" s="5"/>
      <c r="T218" s="5"/>
      <c r="U218" s="3"/>
      <c r="V218" s="3"/>
      <c r="W218" s="5"/>
      <c r="X218" s="5"/>
      <c r="Y218" s="5"/>
      <c r="Z218" s="5"/>
      <c r="AA218" s="6"/>
      <c r="AB218" s="6"/>
      <c r="AC218" s="5"/>
      <c r="AD218" s="54"/>
      <c r="AE218" s="55"/>
      <c r="AF218" s="55"/>
      <c r="AG218" s="55"/>
      <c r="AH218" s="55"/>
      <c r="AI218" s="55"/>
      <c r="AJ218" s="55"/>
      <c r="AK218" s="55"/>
      <c r="AL218" s="55"/>
      <c r="AM218" s="55"/>
      <c r="AN218" s="55"/>
      <c r="AO218" s="56"/>
      <c r="AP218" s="56"/>
      <c r="AT218" s="7"/>
      <c r="AU218" s="7"/>
      <c r="AV218" s="7"/>
      <c r="AW218" s="7"/>
      <c r="AX218" s="7"/>
      <c r="AY218" s="7"/>
      <c r="AZ218" s="7"/>
      <c r="BA218" s="411"/>
      <c r="BB218" s="83"/>
      <c r="BC218" s="409"/>
      <c r="BD218" s="7"/>
      <c r="BE218" s="7"/>
      <c r="BF218" s="7"/>
      <c r="BG218" s="7"/>
      <c r="BH218" s="7"/>
      <c r="BI218" s="7"/>
      <c r="BJ218" s="7"/>
      <c r="BK218" s="7"/>
      <c r="BL218" s="436"/>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84"/>
      <c r="GF218" s="84"/>
      <c r="GG218" s="84"/>
      <c r="GH218" s="84"/>
      <c r="GI218" s="84"/>
      <c r="GJ218" s="84"/>
      <c r="GK218" s="84"/>
      <c r="GL218" s="84"/>
      <c r="GM218" s="84"/>
      <c r="GN218" s="84"/>
      <c r="GO218" s="84"/>
      <c r="GP218" s="84"/>
      <c r="GQ218" s="84"/>
      <c r="GR218" s="84"/>
      <c r="GS218" s="84"/>
      <c r="GT218" s="84"/>
      <c r="GU218" s="84"/>
      <c r="GV218" s="84"/>
      <c r="GW218" s="84"/>
      <c r="GX218" s="84"/>
      <c r="GY218" s="84"/>
      <c r="GZ218" s="84"/>
      <c r="HA218" s="84"/>
      <c r="HB218" s="84"/>
      <c r="HC218" s="84"/>
      <c r="HD218" s="84"/>
      <c r="HE218" s="84"/>
      <c r="HF218" s="84"/>
      <c r="HG218" s="84"/>
      <c r="HH218" s="84"/>
      <c r="HI218" s="84"/>
      <c r="HJ218" s="84"/>
      <c r="HK218" s="84"/>
      <c r="HL218" s="84"/>
      <c r="HM218" s="84"/>
      <c r="HN218" s="84"/>
      <c r="HO218" s="84"/>
      <c r="HP218" s="84"/>
      <c r="HQ218" s="84"/>
      <c r="HR218" s="84"/>
      <c r="HS218" s="84"/>
      <c r="HT218" s="84"/>
      <c r="HU218" s="84"/>
      <c r="HV218" s="84"/>
      <c r="HW218" s="84"/>
      <c r="HX218" s="84"/>
      <c r="HY218" s="84"/>
      <c r="HZ218" s="84"/>
      <c r="IA218" s="84"/>
      <c r="IB218" s="84"/>
      <c r="IC218" s="84"/>
      <c r="ID218" s="84"/>
      <c r="IE218" s="84"/>
      <c r="IF218" s="84"/>
      <c r="IG218" s="84"/>
      <c r="IH218" s="84"/>
      <c r="II218" s="84"/>
      <c r="IJ218" s="84"/>
      <c r="IK218" s="84"/>
      <c r="IL218" s="84"/>
      <c r="IM218" s="84"/>
      <c r="IN218" s="84"/>
      <c r="IO218" s="84"/>
    </row>
    <row r="219" spans="1:249" s="53" customFormat="1" x14ac:dyDescent="0.25">
      <c r="A219" s="4"/>
      <c r="B219" s="3"/>
      <c r="C219" s="46"/>
      <c r="D219" s="3"/>
      <c r="E219" s="46"/>
      <c r="F219" s="80"/>
      <c r="G219" s="80"/>
      <c r="H219" s="80"/>
      <c r="I219" s="51"/>
      <c r="J219" s="6"/>
      <c r="K219" s="6"/>
      <c r="L219" s="52"/>
      <c r="M219" s="52"/>
      <c r="N219" s="5"/>
      <c r="O219" s="3"/>
      <c r="P219" s="3"/>
      <c r="Q219" s="5"/>
      <c r="R219" s="5"/>
      <c r="S219" s="5"/>
      <c r="T219" s="5"/>
      <c r="U219" s="3"/>
      <c r="V219" s="3"/>
      <c r="W219" s="5"/>
      <c r="X219" s="5"/>
      <c r="Y219" s="5"/>
      <c r="Z219" s="5"/>
      <c r="AA219" s="6"/>
      <c r="AB219" s="6"/>
      <c r="AC219" s="5"/>
      <c r="AD219" s="54"/>
      <c r="AE219" s="55"/>
      <c r="AF219" s="55"/>
      <c r="AG219" s="55"/>
      <c r="AH219" s="55"/>
      <c r="AI219" s="55"/>
      <c r="AJ219" s="55"/>
      <c r="AK219" s="55"/>
      <c r="AL219" s="55"/>
      <c r="AM219" s="55"/>
      <c r="AN219" s="55"/>
      <c r="AO219" s="56"/>
      <c r="AP219" s="56"/>
      <c r="AT219" s="7"/>
      <c r="AU219" s="7"/>
      <c r="AV219" s="7"/>
      <c r="AW219" s="7"/>
      <c r="AX219" s="7"/>
      <c r="AY219" s="7"/>
      <c r="AZ219" s="7"/>
      <c r="BA219" s="411"/>
      <c r="BB219" s="83"/>
      <c r="BC219" s="7"/>
      <c r="BD219" s="7"/>
      <c r="BE219" s="7"/>
      <c r="BF219" s="7"/>
      <c r="BG219" s="7"/>
      <c r="BH219" s="7"/>
      <c r="BI219" s="7"/>
      <c r="BJ219" s="7"/>
      <c r="BK219" s="7"/>
      <c r="BL219" s="436"/>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84"/>
      <c r="GF219" s="84"/>
      <c r="GG219" s="84"/>
      <c r="GH219" s="84"/>
      <c r="GI219" s="84"/>
      <c r="GJ219" s="84"/>
      <c r="GK219" s="84"/>
      <c r="GL219" s="84"/>
      <c r="GM219" s="84"/>
      <c r="GN219" s="84"/>
      <c r="GO219" s="84"/>
      <c r="GP219" s="84"/>
      <c r="GQ219" s="84"/>
      <c r="GR219" s="84"/>
      <c r="GS219" s="84"/>
      <c r="GT219" s="84"/>
      <c r="GU219" s="84"/>
      <c r="GV219" s="84"/>
      <c r="GW219" s="84"/>
      <c r="GX219" s="84"/>
      <c r="GY219" s="84"/>
      <c r="GZ219" s="84"/>
      <c r="HA219" s="84"/>
      <c r="HB219" s="84"/>
      <c r="HC219" s="84"/>
      <c r="HD219" s="84"/>
      <c r="HE219" s="84"/>
      <c r="HF219" s="84"/>
      <c r="HG219" s="84"/>
      <c r="HH219" s="84"/>
      <c r="HI219" s="84"/>
      <c r="HJ219" s="84"/>
      <c r="HK219" s="84"/>
      <c r="HL219" s="84"/>
      <c r="HM219" s="84"/>
      <c r="HN219" s="84"/>
      <c r="HO219" s="84"/>
      <c r="HP219" s="84"/>
      <c r="HQ219" s="84"/>
      <c r="HR219" s="84"/>
      <c r="HS219" s="84"/>
      <c r="HT219" s="84"/>
      <c r="HU219" s="84"/>
      <c r="HV219" s="84"/>
      <c r="HW219" s="84"/>
      <c r="HX219" s="84"/>
      <c r="HY219" s="84"/>
      <c r="HZ219" s="84"/>
      <c r="IA219" s="84"/>
      <c r="IB219" s="84"/>
      <c r="IC219" s="84"/>
      <c r="ID219" s="84"/>
      <c r="IE219" s="84"/>
      <c r="IF219" s="84"/>
      <c r="IG219" s="84"/>
      <c r="IH219" s="84"/>
      <c r="II219" s="84"/>
      <c r="IJ219" s="84"/>
      <c r="IK219" s="84"/>
      <c r="IL219" s="84"/>
      <c r="IM219" s="84"/>
      <c r="IN219" s="84"/>
      <c r="IO219" s="84"/>
    </row>
    <row r="220" spans="1:249" s="53" customFormat="1" x14ac:dyDescent="0.25">
      <c r="A220" s="4"/>
      <c r="B220" s="3"/>
      <c r="C220" s="46"/>
      <c r="D220" s="3"/>
      <c r="E220" s="46"/>
      <c r="F220" s="80"/>
      <c r="G220" s="80"/>
      <c r="H220" s="80"/>
      <c r="I220" s="51"/>
      <c r="J220" s="6"/>
      <c r="K220" s="6"/>
      <c r="L220" s="52"/>
      <c r="M220" s="52"/>
      <c r="N220" s="5"/>
      <c r="O220" s="3"/>
      <c r="P220" s="3"/>
      <c r="Q220" s="5"/>
      <c r="R220" s="5"/>
      <c r="S220" s="5"/>
      <c r="T220" s="5"/>
      <c r="U220" s="3"/>
      <c r="V220" s="3"/>
      <c r="W220" s="5"/>
      <c r="X220" s="5"/>
      <c r="Y220" s="5"/>
      <c r="Z220" s="5"/>
      <c r="AA220" s="6"/>
      <c r="AB220" s="6"/>
      <c r="AC220" s="5"/>
      <c r="AD220" s="54"/>
      <c r="AE220" s="55"/>
      <c r="AF220" s="55"/>
      <c r="AG220" s="55"/>
      <c r="AH220" s="55"/>
      <c r="AI220" s="55"/>
      <c r="AJ220" s="55"/>
      <c r="AK220" s="55"/>
      <c r="AL220" s="55"/>
      <c r="AM220" s="55"/>
      <c r="AN220" s="55"/>
      <c r="AO220" s="56"/>
      <c r="AP220" s="56"/>
      <c r="AQ220" s="82"/>
      <c r="AT220" s="7"/>
      <c r="AU220" s="7"/>
      <c r="AV220" s="7"/>
      <c r="AW220" s="7"/>
      <c r="AX220" s="7"/>
      <c r="AY220" s="7"/>
      <c r="AZ220" s="7"/>
      <c r="BA220" s="411"/>
      <c r="BB220" s="83"/>
      <c r="BC220" s="7"/>
      <c r="BD220" s="7"/>
      <c r="BE220" s="7"/>
      <c r="BF220" s="7"/>
      <c r="BG220" s="7"/>
      <c r="BH220" s="7"/>
      <c r="BI220" s="7"/>
      <c r="BJ220" s="7"/>
      <c r="BK220" s="7"/>
      <c r="BL220" s="436"/>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c r="GA220" s="7"/>
      <c r="GB220" s="7"/>
      <c r="GC220" s="7"/>
      <c r="GD220" s="7"/>
      <c r="GE220" s="84"/>
      <c r="GF220" s="84"/>
      <c r="GG220" s="84"/>
      <c r="GH220" s="84"/>
      <c r="GI220" s="84"/>
      <c r="GJ220" s="84"/>
      <c r="GK220" s="84"/>
      <c r="GL220" s="84"/>
      <c r="GM220" s="84"/>
      <c r="GN220" s="84"/>
      <c r="GO220" s="84"/>
      <c r="GP220" s="84"/>
      <c r="GQ220" s="84"/>
      <c r="GR220" s="84"/>
      <c r="GS220" s="84"/>
      <c r="GT220" s="84"/>
      <c r="GU220" s="84"/>
      <c r="GV220" s="84"/>
      <c r="GW220" s="84"/>
      <c r="GX220" s="84"/>
      <c r="GY220" s="84"/>
      <c r="GZ220" s="84"/>
      <c r="HA220" s="84"/>
      <c r="HB220" s="84"/>
      <c r="HC220" s="84"/>
      <c r="HD220" s="84"/>
      <c r="HE220" s="84"/>
      <c r="HF220" s="84"/>
      <c r="HG220" s="84"/>
      <c r="HH220" s="84"/>
      <c r="HI220" s="84"/>
      <c r="HJ220" s="84"/>
      <c r="HK220" s="84"/>
      <c r="HL220" s="84"/>
      <c r="HM220" s="84"/>
      <c r="HN220" s="84"/>
      <c r="HO220" s="84"/>
      <c r="HP220" s="84"/>
      <c r="HQ220" s="84"/>
      <c r="HR220" s="84"/>
      <c r="HS220" s="84"/>
      <c r="HT220" s="84"/>
      <c r="HU220" s="84"/>
      <c r="HV220" s="84"/>
      <c r="HW220" s="84"/>
      <c r="HX220" s="84"/>
      <c r="HY220" s="84"/>
      <c r="HZ220" s="84"/>
      <c r="IA220" s="84"/>
      <c r="IB220" s="84"/>
      <c r="IC220" s="84"/>
      <c r="ID220" s="84"/>
      <c r="IE220" s="84"/>
      <c r="IF220" s="84"/>
      <c r="IG220" s="84"/>
      <c r="IH220" s="84"/>
      <c r="II220" s="84"/>
      <c r="IJ220" s="84"/>
      <c r="IK220" s="84"/>
      <c r="IL220" s="84"/>
      <c r="IM220" s="84"/>
      <c r="IN220" s="84"/>
      <c r="IO220" s="84"/>
    </row>
    <row r="221" spans="1:249" s="53" customFormat="1" x14ac:dyDescent="0.25">
      <c r="A221" s="4"/>
      <c r="B221" s="3"/>
      <c r="C221" s="45"/>
      <c r="D221" s="45"/>
      <c r="E221" s="46"/>
      <c r="F221" s="80"/>
      <c r="G221" s="80"/>
      <c r="H221" s="80"/>
      <c r="I221" s="51"/>
      <c r="J221" s="6"/>
      <c r="K221" s="6"/>
      <c r="L221" s="52"/>
      <c r="M221" s="52"/>
      <c r="N221" s="5"/>
      <c r="O221" s="3"/>
      <c r="P221" s="3"/>
      <c r="Q221" s="5"/>
      <c r="R221" s="5"/>
      <c r="S221" s="5"/>
      <c r="T221" s="5"/>
      <c r="U221" s="3"/>
      <c r="V221" s="3"/>
      <c r="W221" s="5"/>
      <c r="X221" s="5"/>
      <c r="Y221" s="5"/>
      <c r="Z221" s="5"/>
      <c r="AA221" s="6"/>
      <c r="AB221" s="6"/>
      <c r="AC221" s="5"/>
      <c r="AD221" s="54"/>
      <c r="AE221" s="55"/>
      <c r="AF221" s="55"/>
      <c r="AG221" s="55"/>
      <c r="AH221" s="55"/>
      <c r="AI221" s="55"/>
      <c r="AJ221" s="55"/>
      <c r="AK221" s="55"/>
      <c r="AL221" s="55"/>
      <c r="AM221" s="55"/>
      <c r="AN221" s="55"/>
      <c r="AO221" s="56"/>
      <c r="AP221" s="56"/>
      <c r="AT221" s="7"/>
      <c r="AU221" s="7"/>
      <c r="AV221" s="7"/>
      <c r="AW221" s="7"/>
      <c r="AX221" s="7"/>
      <c r="AY221" s="7"/>
      <c r="AZ221" s="7"/>
      <c r="BA221" s="411"/>
      <c r="BB221" s="83"/>
      <c r="BC221" s="7"/>
      <c r="BD221" s="7"/>
      <c r="BE221" s="7"/>
      <c r="BF221" s="7"/>
      <c r="BG221" s="7"/>
      <c r="BH221" s="7"/>
      <c r="BI221" s="7"/>
      <c r="BJ221" s="7"/>
      <c r="BK221" s="7"/>
      <c r="BL221" s="436"/>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84"/>
      <c r="GF221" s="84"/>
      <c r="GG221" s="84"/>
      <c r="GH221" s="84"/>
      <c r="GI221" s="84"/>
      <c r="GJ221" s="84"/>
      <c r="GK221" s="84"/>
      <c r="GL221" s="84"/>
      <c r="GM221" s="84"/>
      <c r="GN221" s="84"/>
      <c r="GO221" s="84"/>
      <c r="GP221" s="84"/>
      <c r="GQ221" s="84"/>
      <c r="GR221" s="84"/>
      <c r="GS221" s="84"/>
      <c r="GT221" s="84"/>
      <c r="GU221" s="84"/>
      <c r="GV221" s="84"/>
      <c r="GW221" s="84"/>
      <c r="GX221" s="84"/>
      <c r="GY221" s="84"/>
      <c r="GZ221" s="84"/>
      <c r="HA221" s="84"/>
      <c r="HB221" s="84"/>
      <c r="HC221" s="84"/>
      <c r="HD221" s="84"/>
      <c r="HE221" s="84"/>
      <c r="HF221" s="84"/>
      <c r="HG221" s="84"/>
      <c r="HH221" s="84"/>
      <c r="HI221" s="84"/>
      <c r="HJ221" s="84"/>
      <c r="HK221" s="84"/>
      <c r="HL221" s="84"/>
      <c r="HM221" s="84"/>
      <c r="HN221" s="84"/>
      <c r="HO221" s="84"/>
      <c r="HP221" s="84"/>
      <c r="HQ221" s="84"/>
      <c r="HR221" s="84"/>
      <c r="HS221" s="84"/>
      <c r="HT221" s="84"/>
      <c r="HU221" s="84"/>
      <c r="HV221" s="84"/>
      <c r="HW221" s="84"/>
      <c r="HX221" s="84"/>
      <c r="HY221" s="84"/>
      <c r="HZ221" s="84"/>
      <c r="IA221" s="84"/>
      <c r="IB221" s="84"/>
      <c r="IC221" s="84"/>
      <c r="ID221" s="84"/>
      <c r="IE221" s="84"/>
      <c r="IF221" s="84"/>
      <c r="IG221" s="84"/>
      <c r="IH221" s="84"/>
      <c r="II221" s="84"/>
      <c r="IJ221" s="84"/>
      <c r="IK221" s="84"/>
      <c r="IL221" s="84"/>
      <c r="IM221" s="84"/>
      <c r="IN221" s="84"/>
      <c r="IO221" s="84"/>
    </row>
    <row r="222" spans="1:249" s="53" customFormat="1" x14ac:dyDescent="0.25">
      <c r="A222" s="4"/>
      <c r="B222" s="3"/>
      <c r="C222" s="203"/>
      <c r="D222" s="48"/>
      <c r="E222" s="46"/>
      <c r="F222" s="80"/>
      <c r="G222" s="80"/>
      <c r="H222" s="80"/>
      <c r="I222" s="51"/>
      <c r="J222" s="6"/>
      <c r="K222" s="6"/>
      <c r="L222" s="52"/>
      <c r="M222" s="52"/>
      <c r="N222" s="5"/>
      <c r="O222" s="3"/>
      <c r="P222" s="3"/>
      <c r="Q222" s="5"/>
      <c r="R222" s="5"/>
      <c r="S222" s="5"/>
      <c r="T222" s="5"/>
      <c r="U222" s="3"/>
      <c r="V222" s="3"/>
      <c r="W222" s="5"/>
      <c r="X222" s="5"/>
      <c r="Y222" s="5"/>
      <c r="Z222" s="5"/>
      <c r="AA222" s="6"/>
      <c r="AB222" s="6"/>
      <c r="AC222" s="5"/>
      <c r="AD222" s="54"/>
      <c r="AE222" s="55"/>
      <c r="AF222" s="55"/>
      <c r="AG222" s="55"/>
      <c r="AH222" s="55"/>
      <c r="AI222" s="55"/>
      <c r="AJ222" s="55"/>
      <c r="AK222" s="55"/>
      <c r="AL222" s="55"/>
      <c r="AM222" s="55"/>
      <c r="AN222" s="55"/>
      <c r="AO222" s="56"/>
      <c r="AP222" s="56"/>
      <c r="AT222" s="7"/>
      <c r="AU222" s="7"/>
      <c r="AV222" s="7"/>
      <c r="AW222" s="50"/>
      <c r="AX222" s="7"/>
      <c r="AY222" s="7"/>
      <c r="AZ222" s="7"/>
      <c r="BA222" s="411"/>
      <c r="BB222" s="83"/>
      <c r="BC222" s="7"/>
      <c r="BD222" s="7"/>
      <c r="BE222" s="7"/>
      <c r="BF222" s="7"/>
      <c r="BG222" s="7"/>
      <c r="BH222" s="7"/>
      <c r="BI222" s="7"/>
      <c r="BJ222" s="7"/>
      <c r="BK222" s="7"/>
      <c r="BL222" s="436"/>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84"/>
      <c r="GF222" s="84"/>
      <c r="GG222" s="84"/>
      <c r="GH222" s="84"/>
      <c r="GI222" s="84"/>
      <c r="GJ222" s="84"/>
      <c r="GK222" s="84"/>
      <c r="GL222" s="84"/>
      <c r="GM222" s="84"/>
      <c r="GN222" s="84"/>
      <c r="GO222" s="84"/>
      <c r="GP222" s="84"/>
      <c r="GQ222" s="84"/>
      <c r="GR222" s="84"/>
      <c r="GS222" s="84"/>
      <c r="GT222" s="84"/>
      <c r="GU222" s="84"/>
      <c r="GV222" s="84"/>
      <c r="GW222" s="84"/>
      <c r="GX222" s="84"/>
      <c r="GY222" s="84"/>
      <c r="GZ222" s="84"/>
      <c r="HA222" s="84"/>
      <c r="HB222" s="84"/>
      <c r="HC222" s="84"/>
      <c r="HD222" s="84"/>
      <c r="HE222" s="84"/>
      <c r="HF222" s="84"/>
      <c r="HG222" s="84"/>
      <c r="HH222" s="84"/>
      <c r="HI222" s="84"/>
      <c r="HJ222" s="84"/>
      <c r="HK222" s="84"/>
      <c r="HL222" s="84"/>
      <c r="HM222" s="84"/>
      <c r="HN222" s="84"/>
      <c r="HO222" s="84"/>
      <c r="HP222" s="84"/>
      <c r="HQ222" s="84"/>
      <c r="HR222" s="84"/>
      <c r="HS222" s="84"/>
      <c r="HT222" s="84"/>
      <c r="HU222" s="84"/>
      <c r="HV222" s="84"/>
      <c r="HW222" s="84"/>
      <c r="HX222" s="84"/>
      <c r="HY222" s="84"/>
      <c r="HZ222" s="84"/>
      <c r="IA222" s="84"/>
      <c r="IB222" s="84"/>
      <c r="IC222" s="84"/>
      <c r="ID222" s="84"/>
      <c r="IE222" s="84"/>
      <c r="IF222" s="84"/>
      <c r="IG222" s="84"/>
      <c r="IH222" s="84"/>
      <c r="II222" s="84"/>
      <c r="IJ222" s="84"/>
      <c r="IK222" s="84"/>
      <c r="IL222" s="84"/>
      <c r="IM222" s="84"/>
      <c r="IN222" s="84"/>
      <c r="IO222" s="84"/>
    </row>
    <row r="223" spans="1:249" s="53" customFormat="1" x14ac:dyDescent="0.25">
      <c r="A223" s="4"/>
      <c r="B223" s="3"/>
      <c r="C223" s="45"/>
      <c r="D223" s="45"/>
      <c r="E223" s="46"/>
      <c r="F223" s="80"/>
      <c r="G223" s="80"/>
      <c r="H223" s="80"/>
      <c r="I223" s="51"/>
      <c r="J223" s="6"/>
      <c r="K223" s="6"/>
      <c r="L223" s="52"/>
      <c r="M223" s="52"/>
      <c r="N223" s="5"/>
      <c r="O223" s="3"/>
      <c r="P223" s="3"/>
      <c r="Q223" s="5"/>
      <c r="R223" s="5"/>
      <c r="S223" s="5"/>
      <c r="T223" s="5"/>
      <c r="U223" s="3"/>
      <c r="V223" s="3"/>
      <c r="W223" s="5"/>
      <c r="X223" s="5"/>
      <c r="Y223" s="5"/>
      <c r="Z223" s="5"/>
      <c r="AA223" s="6"/>
      <c r="AB223" s="6"/>
      <c r="AC223" s="5"/>
      <c r="AD223" s="54"/>
      <c r="AE223" s="55"/>
      <c r="AF223" s="55"/>
      <c r="AG223" s="55"/>
      <c r="AH223" s="55"/>
      <c r="AI223" s="55"/>
      <c r="AJ223" s="55"/>
      <c r="AK223" s="55"/>
      <c r="AL223" s="55"/>
      <c r="AM223" s="55"/>
      <c r="AN223" s="55"/>
      <c r="AO223" s="56"/>
      <c r="AP223" s="56"/>
      <c r="AT223" s="7"/>
      <c r="AU223" s="7"/>
      <c r="AV223" s="7"/>
      <c r="AW223" s="7"/>
      <c r="AX223" s="7"/>
      <c r="AY223" s="7"/>
      <c r="AZ223" s="7"/>
      <c r="BA223" s="411"/>
      <c r="BB223" s="83"/>
      <c r="BC223" s="7"/>
      <c r="BD223" s="7"/>
      <c r="BE223" s="7"/>
      <c r="BF223" s="7"/>
      <c r="BG223" s="7"/>
      <c r="BH223" s="7"/>
      <c r="BI223" s="7"/>
      <c r="BJ223" s="7"/>
      <c r="BK223" s="7"/>
      <c r="BL223" s="436"/>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84"/>
      <c r="GF223" s="84"/>
      <c r="GG223" s="84"/>
      <c r="GH223" s="84"/>
      <c r="GI223" s="84"/>
      <c r="GJ223" s="84"/>
      <c r="GK223" s="84"/>
      <c r="GL223" s="84"/>
      <c r="GM223" s="84"/>
      <c r="GN223" s="84"/>
      <c r="GO223" s="84"/>
      <c r="GP223" s="84"/>
      <c r="GQ223" s="84"/>
      <c r="GR223" s="84"/>
      <c r="GS223" s="84"/>
      <c r="GT223" s="84"/>
      <c r="GU223" s="84"/>
      <c r="GV223" s="84"/>
      <c r="GW223" s="84"/>
      <c r="GX223" s="84"/>
      <c r="GY223" s="84"/>
      <c r="GZ223" s="84"/>
      <c r="HA223" s="84"/>
      <c r="HB223" s="84"/>
      <c r="HC223" s="84"/>
      <c r="HD223" s="84"/>
      <c r="HE223" s="84"/>
      <c r="HF223" s="84"/>
      <c r="HG223" s="84"/>
      <c r="HH223" s="84"/>
      <c r="HI223" s="84"/>
      <c r="HJ223" s="84"/>
      <c r="HK223" s="84"/>
      <c r="HL223" s="84"/>
      <c r="HM223" s="84"/>
      <c r="HN223" s="84"/>
      <c r="HO223" s="84"/>
      <c r="HP223" s="84"/>
      <c r="HQ223" s="84"/>
      <c r="HR223" s="84"/>
      <c r="HS223" s="84"/>
      <c r="HT223" s="84"/>
      <c r="HU223" s="84"/>
      <c r="HV223" s="84"/>
      <c r="HW223" s="84"/>
      <c r="HX223" s="84"/>
      <c r="HY223" s="84"/>
      <c r="HZ223" s="84"/>
      <c r="IA223" s="84"/>
      <c r="IB223" s="84"/>
      <c r="IC223" s="84"/>
      <c r="ID223" s="84"/>
      <c r="IE223" s="84"/>
      <c r="IF223" s="84"/>
      <c r="IG223" s="84"/>
      <c r="IH223" s="84"/>
      <c r="II223" s="84"/>
      <c r="IJ223" s="84"/>
      <c r="IK223" s="84"/>
      <c r="IL223" s="84"/>
      <c r="IM223" s="84"/>
      <c r="IN223" s="84"/>
      <c r="IO223" s="84"/>
    </row>
    <row r="224" spans="1:249" s="53" customFormat="1" x14ac:dyDescent="0.25">
      <c r="A224" s="4"/>
      <c r="B224" s="3"/>
      <c r="C224" s="46"/>
      <c r="D224" s="45"/>
      <c r="E224" s="46"/>
      <c r="F224" s="80"/>
      <c r="G224" s="80"/>
      <c r="H224" s="80"/>
      <c r="I224" s="51"/>
      <c r="J224" s="6"/>
      <c r="K224" s="6"/>
      <c r="L224" s="52"/>
      <c r="M224" s="52"/>
      <c r="N224" s="5"/>
      <c r="O224" s="3"/>
      <c r="P224" s="3"/>
      <c r="Q224" s="5"/>
      <c r="R224" s="5"/>
      <c r="S224" s="5"/>
      <c r="T224" s="5"/>
      <c r="U224" s="3"/>
      <c r="V224" s="3"/>
      <c r="W224" s="5"/>
      <c r="X224" s="5"/>
      <c r="Y224" s="5"/>
      <c r="Z224" s="5"/>
      <c r="AA224" s="6"/>
      <c r="AB224" s="6"/>
      <c r="AC224" s="5"/>
      <c r="AD224" s="54"/>
      <c r="AE224" s="55"/>
      <c r="AF224" s="55"/>
      <c r="AG224" s="55"/>
      <c r="AH224" s="55"/>
      <c r="AI224" s="55"/>
      <c r="AJ224" s="55"/>
      <c r="AK224" s="55"/>
      <c r="AL224" s="55"/>
      <c r="AM224" s="55"/>
      <c r="AN224" s="55"/>
      <c r="AO224" s="56"/>
      <c r="AP224" s="56"/>
      <c r="AT224" s="7"/>
      <c r="AU224" s="7"/>
      <c r="AV224" s="7"/>
      <c r="AW224" s="7"/>
      <c r="AX224" s="7"/>
      <c r="AY224" s="7"/>
      <c r="AZ224" s="7"/>
      <c r="BA224" s="411"/>
      <c r="BB224" s="83"/>
      <c r="BC224" s="7"/>
      <c r="BD224" s="7"/>
      <c r="BE224" s="7"/>
      <c r="BF224" s="7"/>
      <c r="BG224" s="7"/>
      <c r="BH224" s="7"/>
      <c r="BI224" s="7"/>
      <c r="BJ224" s="7"/>
      <c r="BK224" s="7"/>
      <c r="BL224" s="436"/>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84"/>
      <c r="GF224" s="84"/>
      <c r="GG224" s="84"/>
      <c r="GH224" s="84"/>
      <c r="GI224" s="84"/>
      <c r="GJ224" s="84"/>
      <c r="GK224" s="84"/>
      <c r="GL224" s="84"/>
      <c r="GM224" s="84"/>
      <c r="GN224" s="84"/>
      <c r="GO224" s="84"/>
      <c r="GP224" s="84"/>
      <c r="GQ224" s="84"/>
      <c r="GR224" s="84"/>
      <c r="GS224" s="84"/>
      <c r="GT224" s="84"/>
      <c r="GU224" s="84"/>
      <c r="GV224" s="84"/>
      <c r="GW224" s="84"/>
      <c r="GX224" s="84"/>
      <c r="GY224" s="84"/>
      <c r="GZ224" s="84"/>
      <c r="HA224" s="84"/>
      <c r="HB224" s="84"/>
      <c r="HC224" s="84"/>
      <c r="HD224" s="84"/>
      <c r="HE224" s="84"/>
      <c r="HF224" s="84"/>
      <c r="HG224" s="84"/>
      <c r="HH224" s="84"/>
      <c r="HI224" s="84"/>
      <c r="HJ224" s="84"/>
      <c r="HK224" s="84"/>
      <c r="HL224" s="84"/>
      <c r="HM224" s="84"/>
      <c r="HN224" s="84"/>
      <c r="HO224" s="84"/>
      <c r="HP224" s="84"/>
      <c r="HQ224" s="84"/>
      <c r="HR224" s="84"/>
      <c r="HS224" s="84"/>
      <c r="HT224" s="84"/>
      <c r="HU224" s="84"/>
      <c r="HV224" s="84"/>
      <c r="HW224" s="84"/>
      <c r="HX224" s="84"/>
      <c r="HY224" s="84"/>
      <c r="HZ224" s="84"/>
      <c r="IA224" s="84"/>
      <c r="IB224" s="84"/>
      <c r="IC224" s="84"/>
      <c r="ID224" s="84"/>
      <c r="IE224" s="84"/>
      <c r="IF224" s="84"/>
      <c r="IG224" s="84"/>
      <c r="IH224" s="84"/>
      <c r="II224" s="84"/>
      <c r="IJ224" s="84"/>
      <c r="IK224" s="84"/>
      <c r="IL224" s="84"/>
      <c r="IM224" s="84"/>
      <c r="IN224" s="84"/>
      <c r="IO224" s="84"/>
    </row>
    <row r="225" spans="1:249" s="53" customFormat="1" x14ac:dyDescent="0.25">
      <c r="A225" s="4"/>
      <c r="B225" s="3"/>
      <c r="C225" s="204"/>
      <c r="D225" s="45"/>
      <c r="E225" s="46"/>
      <c r="F225" s="80"/>
      <c r="G225" s="80"/>
      <c r="H225" s="80"/>
      <c r="I225" s="51"/>
      <c r="J225" s="6"/>
      <c r="K225" s="6"/>
      <c r="L225" s="52"/>
      <c r="M225" s="52"/>
      <c r="N225" s="5"/>
      <c r="O225" s="3"/>
      <c r="P225" s="3"/>
      <c r="Q225" s="5"/>
      <c r="R225" s="5"/>
      <c r="S225" s="5"/>
      <c r="T225" s="5"/>
      <c r="U225" s="3"/>
      <c r="V225" s="3"/>
      <c r="W225" s="5"/>
      <c r="X225" s="5"/>
      <c r="Y225" s="5"/>
      <c r="Z225" s="5"/>
      <c r="AA225" s="6"/>
      <c r="AB225" s="6"/>
      <c r="AC225" s="5"/>
      <c r="AD225" s="54"/>
      <c r="AE225" s="55"/>
      <c r="AF225" s="55"/>
      <c r="AG225" s="55"/>
      <c r="AH225" s="55"/>
      <c r="AI225" s="55"/>
      <c r="AJ225" s="55"/>
      <c r="AK225" s="55"/>
      <c r="AL225" s="55"/>
      <c r="AM225" s="55"/>
      <c r="AN225" s="55"/>
      <c r="AO225" s="56"/>
      <c r="AP225" s="56"/>
      <c r="AT225" s="7"/>
      <c r="AU225" s="7"/>
      <c r="AV225" s="7"/>
      <c r="AW225" s="7"/>
      <c r="AX225" s="7"/>
      <c r="AY225" s="7"/>
      <c r="AZ225" s="7"/>
      <c r="BA225" s="411"/>
      <c r="BB225" s="83"/>
      <c r="BC225" s="7"/>
      <c r="BD225" s="7"/>
      <c r="BE225" s="7"/>
      <c r="BF225" s="7"/>
      <c r="BG225" s="7"/>
      <c r="BH225" s="7"/>
      <c r="BI225" s="7"/>
      <c r="BJ225" s="7"/>
      <c r="BK225" s="7"/>
      <c r="BL225" s="436"/>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84"/>
      <c r="GF225" s="84"/>
      <c r="GG225" s="84"/>
      <c r="GH225" s="84"/>
      <c r="GI225" s="84"/>
      <c r="GJ225" s="84"/>
      <c r="GK225" s="84"/>
      <c r="GL225" s="84"/>
      <c r="GM225" s="84"/>
      <c r="GN225" s="84"/>
      <c r="GO225" s="84"/>
      <c r="GP225" s="84"/>
      <c r="GQ225" s="84"/>
      <c r="GR225" s="84"/>
      <c r="GS225" s="84"/>
      <c r="GT225" s="84"/>
      <c r="GU225" s="84"/>
      <c r="GV225" s="84"/>
      <c r="GW225" s="84"/>
      <c r="GX225" s="84"/>
      <c r="GY225" s="84"/>
      <c r="GZ225" s="84"/>
      <c r="HA225" s="84"/>
      <c r="HB225" s="84"/>
      <c r="HC225" s="84"/>
      <c r="HD225" s="84"/>
      <c r="HE225" s="84"/>
      <c r="HF225" s="84"/>
      <c r="HG225" s="84"/>
      <c r="HH225" s="84"/>
      <c r="HI225" s="84"/>
      <c r="HJ225" s="84"/>
      <c r="HK225" s="84"/>
      <c r="HL225" s="84"/>
      <c r="HM225" s="84"/>
      <c r="HN225" s="84"/>
      <c r="HO225" s="84"/>
      <c r="HP225" s="84"/>
      <c r="HQ225" s="84"/>
      <c r="HR225" s="84"/>
      <c r="HS225" s="84"/>
      <c r="HT225" s="84"/>
      <c r="HU225" s="84"/>
      <c r="HV225" s="84"/>
      <c r="HW225" s="84"/>
      <c r="HX225" s="84"/>
      <c r="HY225" s="84"/>
      <c r="HZ225" s="84"/>
      <c r="IA225" s="84"/>
      <c r="IB225" s="84"/>
      <c r="IC225" s="84"/>
      <c r="ID225" s="84"/>
      <c r="IE225" s="84"/>
      <c r="IF225" s="84"/>
      <c r="IG225" s="84"/>
      <c r="IH225" s="84"/>
      <c r="II225" s="84"/>
      <c r="IJ225" s="84"/>
      <c r="IK225" s="84"/>
      <c r="IL225" s="84"/>
      <c r="IM225" s="84"/>
      <c r="IN225" s="84"/>
      <c r="IO225" s="84"/>
    </row>
    <row r="226" spans="1:249" s="53" customFormat="1" x14ac:dyDescent="0.25">
      <c r="A226" s="4"/>
      <c r="B226" s="3"/>
      <c r="C226" s="46"/>
      <c r="D226" s="45"/>
      <c r="E226" s="46"/>
      <c r="F226" s="80"/>
      <c r="G226" s="80"/>
      <c r="H226" s="80"/>
      <c r="I226" s="51"/>
      <c r="J226" s="6"/>
      <c r="K226" s="6"/>
      <c r="L226" s="52"/>
      <c r="M226" s="52"/>
      <c r="N226" s="5"/>
      <c r="O226" s="3"/>
      <c r="P226" s="3"/>
      <c r="Q226" s="5"/>
      <c r="R226" s="5"/>
      <c r="S226" s="5"/>
      <c r="T226" s="5"/>
      <c r="U226" s="3"/>
      <c r="V226" s="3"/>
      <c r="W226" s="5"/>
      <c r="X226" s="5"/>
      <c r="Y226" s="5"/>
      <c r="Z226" s="5"/>
      <c r="AA226" s="6"/>
      <c r="AB226" s="6"/>
      <c r="AC226" s="5"/>
      <c r="AD226" s="54"/>
      <c r="AE226" s="55"/>
      <c r="AF226" s="55"/>
      <c r="AG226" s="55"/>
      <c r="AH226" s="55"/>
      <c r="AI226" s="55"/>
      <c r="AJ226" s="55"/>
      <c r="AK226" s="55"/>
      <c r="AL226" s="55"/>
      <c r="AM226" s="55"/>
      <c r="AN226" s="55"/>
      <c r="AO226" s="56"/>
      <c r="AP226" s="56"/>
      <c r="AT226" s="7"/>
      <c r="AU226" s="7"/>
      <c r="AV226" s="7"/>
      <c r="AW226" s="7"/>
      <c r="AX226" s="7"/>
      <c r="AY226" s="7"/>
      <c r="AZ226" s="7"/>
      <c r="BA226" s="411"/>
      <c r="BB226" s="83"/>
      <c r="BC226" s="7"/>
      <c r="BD226" s="7"/>
      <c r="BE226" s="7"/>
      <c r="BF226" s="7"/>
      <c r="BG226" s="7"/>
      <c r="BH226" s="7"/>
      <c r="BI226" s="7"/>
      <c r="BJ226" s="7"/>
      <c r="BK226" s="7"/>
      <c r="BL226" s="436"/>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84"/>
      <c r="GF226" s="84"/>
      <c r="GG226" s="84"/>
      <c r="GH226" s="84"/>
      <c r="GI226" s="84"/>
      <c r="GJ226" s="84"/>
      <c r="GK226" s="84"/>
      <c r="GL226" s="84"/>
      <c r="GM226" s="84"/>
      <c r="GN226" s="84"/>
      <c r="GO226" s="84"/>
      <c r="GP226" s="84"/>
      <c r="GQ226" s="84"/>
      <c r="GR226" s="84"/>
      <c r="GS226" s="84"/>
      <c r="GT226" s="84"/>
      <c r="GU226" s="84"/>
      <c r="GV226" s="84"/>
      <c r="GW226" s="84"/>
      <c r="GX226" s="84"/>
      <c r="GY226" s="84"/>
      <c r="GZ226" s="84"/>
      <c r="HA226" s="84"/>
      <c r="HB226" s="84"/>
      <c r="HC226" s="84"/>
      <c r="HD226" s="84"/>
      <c r="HE226" s="84"/>
      <c r="HF226" s="84"/>
      <c r="HG226" s="84"/>
      <c r="HH226" s="84"/>
      <c r="HI226" s="84"/>
      <c r="HJ226" s="84"/>
      <c r="HK226" s="84"/>
      <c r="HL226" s="84"/>
      <c r="HM226" s="84"/>
      <c r="HN226" s="84"/>
      <c r="HO226" s="84"/>
      <c r="HP226" s="84"/>
      <c r="HQ226" s="84"/>
      <c r="HR226" s="84"/>
      <c r="HS226" s="84"/>
      <c r="HT226" s="84"/>
      <c r="HU226" s="84"/>
      <c r="HV226" s="84"/>
      <c r="HW226" s="84"/>
      <c r="HX226" s="84"/>
      <c r="HY226" s="84"/>
      <c r="HZ226" s="84"/>
      <c r="IA226" s="84"/>
      <c r="IB226" s="84"/>
      <c r="IC226" s="84"/>
      <c r="ID226" s="84"/>
      <c r="IE226" s="84"/>
      <c r="IF226" s="84"/>
      <c r="IG226" s="84"/>
      <c r="IH226" s="84"/>
      <c r="II226" s="84"/>
      <c r="IJ226" s="84"/>
      <c r="IK226" s="84"/>
      <c r="IL226" s="84"/>
      <c r="IM226" s="84"/>
      <c r="IN226" s="84"/>
      <c r="IO226" s="84"/>
    </row>
    <row r="227" spans="1:249" s="53" customFormat="1" x14ac:dyDescent="0.25">
      <c r="A227" s="4"/>
      <c r="B227" s="3"/>
      <c r="C227" s="46"/>
      <c r="D227" s="45"/>
      <c r="E227" s="46"/>
      <c r="F227" s="80"/>
      <c r="G227" s="80"/>
      <c r="H227" s="80"/>
      <c r="I227" s="51"/>
      <c r="J227" s="6"/>
      <c r="K227" s="6"/>
      <c r="L227" s="52"/>
      <c r="M227" s="52"/>
      <c r="N227" s="5"/>
      <c r="O227" s="3"/>
      <c r="P227" s="3"/>
      <c r="Q227" s="5"/>
      <c r="R227" s="5"/>
      <c r="S227" s="5"/>
      <c r="T227" s="5"/>
      <c r="U227" s="3"/>
      <c r="V227" s="3"/>
      <c r="W227" s="5"/>
      <c r="X227" s="5"/>
      <c r="Y227" s="5"/>
      <c r="Z227" s="5"/>
      <c r="AA227" s="6"/>
      <c r="AB227" s="6"/>
      <c r="AC227" s="5"/>
      <c r="AD227" s="54"/>
      <c r="AE227" s="55"/>
      <c r="AF227" s="55"/>
      <c r="AG227" s="55"/>
      <c r="AH227" s="55"/>
      <c r="AI227" s="55"/>
      <c r="AJ227" s="55"/>
      <c r="AK227" s="55"/>
      <c r="AL227" s="55"/>
      <c r="AM227" s="55"/>
      <c r="AN227" s="55"/>
      <c r="AO227" s="56"/>
      <c r="AP227" s="56"/>
      <c r="AT227" s="7"/>
      <c r="AU227" s="7"/>
      <c r="AV227" s="7"/>
      <c r="AW227" s="7"/>
      <c r="AX227" s="7"/>
      <c r="AY227" s="7"/>
      <c r="AZ227" s="7"/>
      <c r="BA227" s="7"/>
      <c r="BB227" s="83"/>
      <c r="BC227" s="7"/>
      <c r="BD227" s="7"/>
      <c r="BE227" s="7"/>
      <c r="BF227" s="7"/>
      <c r="BG227" s="7"/>
      <c r="BH227" s="7"/>
      <c r="BI227" s="7"/>
      <c r="BJ227" s="7"/>
      <c r="BK227" s="7"/>
      <c r="BL227" s="436"/>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84"/>
      <c r="GF227" s="84"/>
      <c r="GG227" s="84"/>
      <c r="GH227" s="84"/>
      <c r="GI227" s="84"/>
      <c r="GJ227" s="84"/>
      <c r="GK227" s="84"/>
      <c r="GL227" s="84"/>
      <c r="GM227" s="84"/>
      <c r="GN227" s="84"/>
      <c r="GO227" s="84"/>
      <c r="GP227" s="84"/>
      <c r="GQ227" s="84"/>
      <c r="GR227" s="84"/>
      <c r="GS227" s="84"/>
      <c r="GT227" s="84"/>
      <c r="GU227" s="84"/>
      <c r="GV227" s="84"/>
      <c r="GW227" s="84"/>
      <c r="GX227" s="84"/>
      <c r="GY227" s="84"/>
      <c r="GZ227" s="84"/>
      <c r="HA227" s="84"/>
      <c r="HB227" s="84"/>
      <c r="HC227" s="84"/>
      <c r="HD227" s="84"/>
      <c r="HE227" s="84"/>
      <c r="HF227" s="84"/>
      <c r="HG227" s="84"/>
      <c r="HH227" s="84"/>
      <c r="HI227" s="84"/>
      <c r="HJ227" s="84"/>
      <c r="HK227" s="84"/>
      <c r="HL227" s="84"/>
      <c r="HM227" s="84"/>
      <c r="HN227" s="84"/>
      <c r="HO227" s="84"/>
      <c r="HP227" s="84"/>
      <c r="HQ227" s="84"/>
      <c r="HR227" s="84"/>
      <c r="HS227" s="84"/>
      <c r="HT227" s="84"/>
      <c r="HU227" s="84"/>
      <c r="HV227" s="84"/>
      <c r="HW227" s="84"/>
      <c r="HX227" s="84"/>
      <c r="HY227" s="84"/>
      <c r="HZ227" s="84"/>
      <c r="IA227" s="84"/>
      <c r="IB227" s="84"/>
      <c r="IC227" s="84"/>
      <c r="ID227" s="84"/>
      <c r="IE227" s="84"/>
      <c r="IF227" s="84"/>
      <c r="IG227" s="84"/>
      <c r="IH227" s="84"/>
      <c r="II227" s="84"/>
      <c r="IJ227" s="84"/>
      <c r="IK227" s="84"/>
      <c r="IL227" s="84"/>
      <c r="IM227" s="84"/>
      <c r="IN227" s="84"/>
      <c r="IO227" s="84"/>
    </row>
    <row r="228" spans="1:249" s="53" customFormat="1" x14ac:dyDescent="0.25">
      <c r="A228" s="4"/>
      <c r="B228" s="3"/>
      <c r="C228" s="46"/>
      <c r="D228" s="45"/>
      <c r="E228" s="46"/>
      <c r="F228" s="80"/>
      <c r="G228" s="80"/>
      <c r="H228" s="80"/>
      <c r="I228" s="51"/>
      <c r="J228" s="6"/>
      <c r="K228" s="6"/>
      <c r="L228" s="52"/>
      <c r="M228" s="52"/>
      <c r="N228" s="5"/>
      <c r="O228" s="3"/>
      <c r="P228" s="3"/>
      <c r="Q228" s="5"/>
      <c r="R228" s="5"/>
      <c r="S228" s="5"/>
      <c r="T228" s="5"/>
      <c r="U228" s="3"/>
      <c r="V228" s="3"/>
      <c r="W228" s="5"/>
      <c r="X228" s="5"/>
      <c r="Y228" s="5"/>
      <c r="Z228" s="5"/>
      <c r="AA228" s="6"/>
      <c r="AB228" s="6"/>
      <c r="AC228" s="5"/>
      <c r="AD228" s="54"/>
      <c r="AE228" s="55"/>
      <c r="AF228" s="55"/>
      <c r="AG228" s="55"/>
      <c r="AH228" s="55"/>
      <c r="AI228" s="55"/>
      <c r="AJ228" s="55"/>
      <c r="AK228" s="55"/>
      <c r="AL228" s="55"/>
      <c r="AM228" s="55"/>
      <c r="AN228" s="55"/>
      <c r="AO228" s="56"/>
      <c r="AP228" s="56"/>
      <c r="AT228" s="7"/>
      <c r="AU228" s="7"/>
      <c r="AV228" s="7"/>
      <c r="AW228" s="7"/>
      <c r="AX228" s="7"/>
      <c r="AY228" s="7"/>
      <c r="AZ228" s="7"/>
      <c r="BA228" s="7"/>
      <c r="BB228" s="83"/>
      <c r="BC228" s="7"/>
      <c r="BD228" s="7"/>
      <c r="BE228" s="7"/>
      <c r="BF228" s="7"/>
      <c r="BG228" s="7"/>
      <c r="BH228" s="7"/>
      <c r="BI228" s="7"/>
      <c r="BJ228" s="7"/>
      <c r="BK228" s="7"/>
      <c r="BL228" s="436"/>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84"/>
      <c r="GF228" s="84"/>
      <c r="GG228" s="84"/>
      <c r="GH228" s="84"/>
      <c r="GI228" s="84"/>
      <c r="GJ228" s="84"/>
      <c r="GK228" s="84"/>
      <c r="GL228" s="84"/>
      <c r="GM228" s="84"/>
      <c r="GN228" s="84"/>
      <c r="GO228" s="84"/>
      <c r="GP228" s="84"/>
      <c r="GQ228" s="84"/>
      <c r="GR228" s="84"/>
      <c r="GS228" s="84"/>
      <c r="GT228" s="84"/>
      <c r="GU228" s="84"/>
      <c r="GV228" s="84"/>
      <c r="GW228" s="84"/>
      <c r="GX228" s="84"/>
      <c r="GY228" s="84"/>
      <c r="GZ228" s="84"/>
      <c r="HA228" s="84"/>
      <c r="HB228" s="84"/>
      <c r="HC228" s="84"/>
      <c r="HD228" s="84"/>
      <c r="HE228" s="84"/>
      <c r="HF228" s="84"/>
      <c r="HG228" s="84"/>
      <c r="HH228" s="84"/>
      <c r="HI228" s="84"/>
      <c r="HJ228" s="84"/>
      <c r="HK228" s="84"/>
      <c r="HL228" s="84"/>
      <c r="HM228" s="84"/>
      <c r="HN228" s="84"/>
      <c r="HO228" s="84"/>
      <c r="HP228" s="84"/>
      <c r="HQ228" s="84"/>
      <c r="HR228" s="84"/>
      <c r="HS228" s="84"/>
      <c r="HT228" s="84"/>
      <c r="HU228" s="84"/>
      <c r="HV228" s="84"/>
      <c r="HW228" s="84"/>
      <c r="HX228" s="84"/>
      <c r="HY228" s="84"/>
      <c r="HZ228" s="84"/>
      <c r="IA228" s="84"/>
      <c r="IB228" s="84"/>
      <c r="IC228" s="84"/>
      <c r="ID228" s="84"/>
      <c r="IE228" s="84"/>
      <c r="IF228" s="84"/>
      <c r="IG228" s="84"/>
      <c r="IH228" s="84"/>
      <c r="II228" s="84"/>
      <c r="IJ228" s="84"/>
      <c r="IK228" s="84"/>
      <c r="IL228" s="84"/>
      <c r="IM228" s="84"/>
      <c r="IN228" s="84"/>
      <c r="IO228" s="84"/>
    </row>
    <row r="229" spans="1:249" s="53" customFormat="1" x14ac:dyDescent="0.25">
      <c r="A229" s="4"/>
      <c r="B229" s="3"/>
      <c r="C229" s="46"/>
      <c r="D229" s="45"/>
      <c r="E229" s="46"/>
      <c r="F229" s="80"/>
      <c r="G229" s="80"/>
      <c r="H229" s="80"/>
      <c r="I229" s="51"/>
      <c r="J229" s="6"/>
      <c r="K229" s="6"/>
      <c r="L229" s="52"/>
      <c r="M229" s="52"/>
      <c r="N229" s="5"/>
      <c r="O229" s="3"/>
      <c r="P229" s="3"/>
      <c r="Q229" s="5"/>
      <c r="R229" s="5"/>
      <c r="S229" s="5"/>
      <c r="T229" s="5"/>
      <c r="U229" s="3"/>
      <c r="V229" s="3"/>
      <c r="W229" s="5"/>
      <c r="X229" s="5"/>
      <c r="Y229" s="5"/>
      <c r="Z229" s="5"/>
      <c r="AA229" s="6"/>
      <c r="AB229" s="6"/>
      <c r="AC229" s="5"/>
      <c r="AD229" s="54"/>
      <c r="AE229" s="55"/>
      <c r="AF229" s="55"/>
      <c r="AG229" s="55"/>
      <c r="AH229" s="55"/>
      <c r="AI229" s="55"/>
      <c r="AJ229" s="55"/>
      <c r="AK229" s="55"/>
      <c r="AL229" s="55"/>
      <c r="AM229" s="55"/>
      <c r="AN229" s="55"/>
      <c r="AO229" s="56"/>
      <c r="AP229" s="56"/>
      <c r="AT229" s="7"/>
      <c r="AU229" s="7"/>
      <c r="AV229" s="7"/>
      <c r="AW229" s="7"/>
      <c r="AX229" s="7"/>
      <c r="AY229" s="7"/>
      <c r="AZ229" s="7"/>
      <c r="BA229" s="7"/>
      <c r="BB229" s="83"/>
      <c r="BC229" s="7"/>
      <c r="BD229" s="7"/>
      <c r="BE229" s="7"/>
      <c r="BF229" s="7"/>
      <c r="BG229" s="7"/>
      <c r="BH229" s="7"/>
      <c r="BI229" s="7"/>
      <c r="BJ229" s="7"/>
      <c r="BK229" s="7"/>
      <c r="BL229" s="436"/>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84"/>
      <c r="GF229" s="84"/>
      <c r="GG229" s="84"/>
      <c r="GH229" s="84"/>
      <c r="GI229" s="84"/>
      <c r="GJ229" s="84"/>
      <c r="GK229" s="84"/>
      <c r="GL229" s="84"/>
      <c r="GM229" s="84"/>
      <c r="GN229" s="84"/>
      <c r="GO229" s="84"/>
      <c r="GP229" s="84"/>
      <c r="GQ229" s="84"/>
      <c r="GR229" s="84"/>
      <c r="GS229" s="84"/>
      <c r="GT229" s="84"/>
      <c r="GU229" s="84"/>
      <c r="GV229" s="84"/>
      <c r="GW229" s="84"/>
      <c r="GX229" s="84"/>
      <c r="GY229" s="84"/>
      <c r="GZ229" s="84"/>
      <c r="HA229" s="84"/>
      <c r="HB229" s="84"/>
      <c r="HC229" s="84"/>
      <c r="HD229" s="84"/>
      <c r="HE229" s="84"/>
      <c r="HF229" s="84"/>
      <c r="HG229" s="84"/>
      <c r="HH229" s="84"/>
      <c r="HI229" s="84"/>
      <c r="HJ229" s="84"/>
      <c r="HK229" s="84"/>
      <c r="HL229" s="84"/>
      <c r="HM229" s="84"/>
      <c r="HN229" s="84"/>
      <c r="HO229" s="84"/>
      <c r="HP229" s="84"/>
      <c r="HQ229" s="84"/>
      <c r="HR229" s="84"/>
      <c r="HS229" s="84"/>
      <c r="HT229" s="84"/>
      <c r="HU229" s="84"/>
      <c r="HV229" s="84"/>
      <c r="HW229" s="84"/>
      <c r="HX229" s="84"/>
      <c r="HY229" s="84"/>
      <c r="HZ229" s="84"/>
      <c r="IA229" s="84"/>
      <c r="IB229" s="84"/>
      <c r="IC229" s="84"/>
      <c r="ID229" s="84"/>
      <c r="IE229" s="84"/>
      <c r="IF229" s="84"/>
      <c r="IG229" s="84"/>
      <c r="IH229" s="84"/>
      <c r="II229" s="84"/>
      <c r="IJ229" s="84"/>
      <c r="IK229" s="84"/>
      <c r="IL229" s="84"/>
      <c r="IM229" s="84"/>
      <c r="IN229" s="84"/>
      <c r="IO229" s="84"/>
    </row>
    <row r="230" spans="1:249" s="53" customFormat="1" x14ac:dyDescent="0.25">
      <c r="A230" s="4"/>
      <c r="B230" s="3"/>
      <c r="C230" s="46"/>
      <c r="D230" s="45"/>
      <c r="E230" s="46"/>
      <c r="F230" s="80"/>
      <c r="G230" s="80"/>
      <c r="H230" s="80"/>
      <c r="I230" s="51"/>
      <c r="J230" s="6"/>
      <c r="K230" s="6"/>
      <c r="L230" s="52"/>
      <c r="M230" s="52"/>
      <c r="N230" s="5"/>
      <c r="O230" s="3"/>
      <c r="P230" s="3"/>
      <c r="Q230" s="5"/>
      <c r="R230" s="5"/>
      <c r="S230" s="5"/>
      <c r="T230" s="5"/>
      <c r="U230" s="3"/>
      <c r="V230" s="3"/>
      <c r="W230" s="5"/>
      <c r="X230" s="5"/>
      <c r="Y230" s="5"/>
      <c r="Z230" s="5"/>
      <c r="AA230" s="6"/>
      <c r="AB230" s="6"/>
      <c r="AC230" s="5"/>
      <c r="AD230" s="54"/>
      <c r="AE230" s="55"/>
      <c r="AF230" s="55"/>
      <c r="AG230" s="55"/>
      <c r="AH230" s="55"/>
      <c r="AI230" s="55"/>
      <c r="AJ230" s="55"/>
      <c r="AK230" s="55"/>
      <c r="AL230" s="55"/>
      <c r="AM230" s="55"/>
      <c r="AN230" s="55"/>
      <c r="AO230" s="56"/>
      <c r="AP230" s="56"/>
      <c r="AT230" s="7"/>
      <c r="AU230" s="7"/>
      <c r="AV230" s="7"/>
      <c r="AW230" s="7"/>
      <c r="AX230" s="7"/>
      <c r="AY230" s="7"/>
      <c r="AZ230" s="7"/>
      <c r="BA230" s="7"/>
      <c r="BB230" s="83"/>
      <c r="BC230" s="7"/>
      <c r="BD230" s="7"/>
      <c r="BE230" s="7"/>
      <c r="BF230" s="7"/>
      <c r="BG230" s="7"/>
      <c r="BH230" s="7"/>
      <c r="BI230" s="7"/>
      <c r="BJ230" s="7"/>
      <c r="BK230" s="7"/>
      <c r="BL230" s="436"/>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84"/>
      <c r="GF230" s="84"/>
      <c r="GG230" s="84"/>
      <c r="GH230" s="84"/>
      <c r="GI230" s="84"/>
      <c r="GJ230" s="84"/>
      <c r="GK230" s="84"/>
      <c r="GL230" s="84"/>
      <c r="GM230" s="84"/>
      <c r="GN230" s="84"/>
      <c r="GO230" s="84"/>
      <c r="GP230" s="84"/>
      <c r="GQ230" s="84"/>
      <c r="GR230" s="84"/>
      <c r="GS230" s="84"/>
      <c r="GT230" s="84"/>
      <c r="GU230" s="84"/>
      <c r="GV230" s="84"/>
      <c r="GW230" s="84"/>
      <c r="GX230" s="84"/>
      <c r="GY230" s="84"/>
      <c r="GZ230" s="84"/>
      <c r="HA230" s="84"/>
      <c r="HB230" s="84"/>
      <c r="HC230" s="84"/>
      <c r="HD230" s="84"/>
      <c r="HE230" s="84"/>
      <c r="HF230" s="84"/>
      <c r="HG230" s="84"/>
      <c r="HH230" s="84"/>
      <c r="HI230" s="84"/>
      <c r="HJ230" s="84"/>
      <c r="HK230" s="84"/>
      <c r="HL230" s="84"/>
      <c r="HM230" s="84"/>
      <c r="HN230" s="84"/>
      <c r="HO230" s="84"/>
      <c r="HP230" s="84"/>
      <c r="HQ230" s="84"/>
      <c r="HR230" s="84"/>
      <c r="HS230" s="84"/>
      <c r="HT230" s="84"/>
      <c r="HU230" s="84"/>
      <c r="HV230" s="84"/>
      <c r="HW230" s="84"/>
      <c r="HX230" s="84"/>
      <c r="HY230" s="84"/>
      <c r="HZ230" s="84"/>
      <c r="IA230" s="84"/>
      <c r="IB230" s="84"/>
      <c r="IC230" s="84"/>
      <c r="ID230" s="84"/>
      <c r="IE230" s="84"/>
      <c r="IF230" s="84"/>
      <c r="IG230" s="84"/>
      <c r="IH230" s="84"/>
      <c r="II230" s="84"/>
      <c r="IJ230" s="84"/>
      <c r="IK230" s="84"/>
      <c r="IL230" s="84"/>
      <c r="IM230" s="84"/>
      <c r="IN230" s="84"/>
      <c r="IO230" s="84"/>
    </row>
    <row r="231" spans="1:249" s="7" customFormat="1" x14ac:dyDescent="0.25">
      <c r="A231" s="4"/>
      <c r="B231" s="3"/>
      <c r="C231" s="46"/>
      <c r="D231" s="45"/>
      <c r="E231" s="46"/>
      <c r="F231" s="80"/>
      <c r="G231" s="80"/>
      <c r="H231" s="80"/>
      <c r="I231" s="51"/>
      <c r="J231" s="6"/>
      <c r="K231" s="6"/>
      <c r="L231" s="52"/>
      <c r="M231" s="52"/>
      <c r="N231" s="5"/>
      <c r="O231" s="3"/>
      <c r="P231" s="3"/>
      <c r="Q231" s="5"/>
      <c r="R231" s="5"/>
      <c r="S231" s="5"/>
      <c r="T231" s="5"/>
      <c r="U231" s="3"/>
      <c r="V231" s="3"/>
      <c r="W231" s="5"/>
      <c r="X231" s="5"/>
      <c r="Y231" s="5"/>
      <c r="Z231" s="5"/>
      <c r="AA231" s="6"/>
      <c r="AB231" s="6"/>
      <c r="AC231" s="5"/>
      <c r="AD231" s="54"/>
      <c r="AE231" s="55"/>
      <c r="AF231" s="55"/>
      <c r="AG231" s="55"/>
      <c r="AH231" s="55"/>
      <c r="AI231" s="55"/>
      <c r="AJ231" s="55"/>
      <c r="AK231" s="55"/>
      <c r="AL231" s="55"/>
      <c r="AM231" s="55"/>
      <c r="AN231" s="55"/>
      <c r="AO231" s="56"/>
      <c r="AP231" s="56"/>
      <c r="AQ231" s="53"/>
      <c r="AR231" s="53"/>
      <c r="AS231" s="53"/>
      <c r="BB231" s="83"/>
      <c r="BL231" s="436"/>
      <c r="GE231" s="84"/>
      <c r="GF231" s="84"/>
      <c r="GG231" s="84"/>
      <c r="GH231" s="84"/>
      <c r="GI231" s="84"/>
      <c r="GJ231" s="84"/>
      <c r="GK231" s="84"/>
      <c r="GL231" s="84"/>
      <c r="GM231" s="84"/>
      <c r="GN231" s="84"/>
      <c r="GO231" s="84"/>
      <c r="GP231" s="84"/>
      <c r="GQ231" s="84"/>
      <c r="GR231" s="84"/>
      <c r="GS231" s="84"/>
      <c r="GT231" s="84"/>
      <c r="GU231" s="84"/>
      <c r="GV231" s="84"/>
      <c r="GW231" s="84"/>
      <c r="GX231" s="84"/>
      <c r="GY231" s="84"/>
      <c r="GZ231" s="84"/>
      <c r="HA231" s="84"/>
      <c r="HB231" s="84"/>
      <c r="HC231" s="84"/>
      <c r="HD231" s="84"/>
      <c r="HE231" s="84"/>
      <c r="HF231" s="84"/>
      <c r="HG231" s="84"/>
      <c r="HH231" s="84"/>
      <c r="HI231" s="84"/>
      <c r="HJ231" s="84"/>
      <c r="HK231" s="84"/>
      <c r="HL231" s="84"/>
      <c r="HM231" s="84"/>
      <c r="HN231" s="84"/>
      <c r="HO231" s="84"/>
      <c r="HP231" s="84"/>
      <c r="HQ231" s="84"/>
      <c r="HR231" s="84"/>
      <c r="HS231" s="84"/>
      <c r="HT231" s="84"/>
      <c r="HU231" s="84"/>
      <c r="HV231" s="84"/>
      <c r="HW231" s="84"/>
      <c r="HX231" s="84"/>
      <c r="HY231" s="84"/>
      <c r="HZ231" s="84"/>
      <c r="IA231" s="84"/>
      <c r="IB231" s="84"/>
      <c r="IC231" s="84"/>
      <c r="ID231" s="84"/>
      <c r="IE231" s="84"/>
      <c r="IF231" s="84"/>
      <c r="IG231" s="84"/>
      <c r="IH231" s="84"/>
      <c r="II231" s="84"/>
      <c r="IJ231" s="84"/>
      <c r="IK231" s="84"/>
      <c r="IL231" s="84"/>
      <c r="IM231" s="84"/>
      <c r="IN231" s="84"/>
      <c r="IO231" s="84"/>
    </row>
    <row r="232" spans="1:249" s="7" customFormat="1" x14ac:dyDescent="0.25">
      <c r="A232" s="4"/>
      <c r="B232" s="3"/>
      <c r="C232" s="5"/>
      <c r="D232" s="45"/>
      <c r="E232" s="46"/>
      <c r="F232" s="80"/>
      <c r="G232" s="80"/>
      <c r="H232" s="80"/>
      <c r="I232" s="51"/>
      <c r="J232" s="6"/>
      <c r="K232" s="6"/>
      <c r="L232" s="52"/>
      <c r="M232" s="52"/>
      <c r="N232" s="5"/>
      <c r="O232" s="3"/>
      <c r="P232" s="3"/>
      <c r="Q232" s="5"/>
      <c r="R232" s="5"/>
      <c r="S232" s="5"/>
      <c r="T232" s="5"/>
      <c r="U232" s="3"/>
      <c r="V232" s="3"/>
      <c r="W232" s="5"/>
      <c r="X232" s="5"/>
      <c r="Y232" s="5"/>
      <c r="Z232" s="5"/>
      <c r="AA232" s="6"/>
      <c r="AB232" s="6"/>
      <c r="AC232" s="5"/>
      <c r="AD232" s="54"/>
      <c r="AE232" s="55"/>
      <c r="AF232" s="55"/>
      <c r="AG232" s="55"/>
      <c r="AH232" s="55"/>
      <c r="AI232" s="55"/>
      <c r="AJ232" s="55"/>
      <c r="AK232" s="55"/>
      <c r="AL232" s="55"/>
      <c r="AM232" s="55"/>
      <c r="AN232" s="55"/>
      <c r="AO232" s="56"/>
      <c r="AP232" s="56"/>
      <c r="AQ232" s="53"/>
      <c r="AR232" s="53"/>
      <c r="AS232" s="53"/>
      <c r="BB232" s="83"/>
      <c r="BL232" s="436"/>
      <c r="GE232" s="84"/>
      <c r="GF232" s="84"/>
      <c r="GG232" s="84"/>
      <c r="GH232" s="84"/>
      <c r="GI232" s="84"/>
      <c r="GJ232" s="84"/>
      <c r="GK232" s="84"/>
      <c r="GL232" s="84"/>
      <c r="GM232" s="84"/>
      <c r="GN232" s="84"/>
      <c r="GO232" s="84"/>
      <c r="GP232" s="84"/>
      <c r="GQ232" s="84"/>
      <c r="GR232" s="84"/>
      <c r="GS232" s="84"/>
      <c r="GT232" s="84"/>
      <c r="GU232" s="84"/>
      <c r="GV232" s="84"/>
      <c r="GW232" s="84"/>
      <c r="GX232" s="84"/>
      <c r="GY232" s="84"/>
      <c r="GZ232" s="84"/>
      <c r="HA232" s="84"/>
      <c r="HB232" s="84"/>
      <c r="HC232" s="84"/>
      <c r="HD232" s="84"/>
      <c r="HE232" s="84"/>
      <c r="HF232" s="84"/>
      <c r="HG232" s="84"/>
      <c r="HH232" s="84"/>
      <c r="HI232" s="84"/>
      <c r="HJ232" s="84"/>
      <c r="HK232" s="84"/>
      <c r="HL232" s="84"/>
      <c r="HM232" s="84"/>
      <c r="HN232" s="84"/>
      <c r="HO232" s="84"/>
      <c r="HP232" s="84"/>
      <c r="HQ232" s="84"/>
      <c r="HR232" s="84"/>
      <c r="HS232" s="84"/>
      <c r="HT232" s="84"/>
      <c r="HU232" s="84"/>
      <c r="HV232" s="84"/>
      <c r="HW232" s="84"/>
      <c r="HX232" s="84"/>
      <c r="HY232" s="84"/>
      <c r="HZ232" s="84"/>
      <c r="IA232" s="84"/>
      <c r="IB232" s="84"/>
      <c r="IC232" s="84"/>
      <c r="ID232" s="84"/>
      <c r="IE232" s="84"/>
      <c r="IF232" s="84"/>
      <c r="IG232" s="84"/>
      <c r="IH232" s="84"/>
      <c r="II232" s="84"/>
      <c r="IJ232" s="84"/>
      <c r="IK232" s="84"/>
      <c r="IL232" s="84"/>
      <c r="IM232" s="84"/>
      <c r="IN232" s="84"/>
      <c r="IO232" s="84"/>
    </row>
    <row r="233" spans="1:249" s="7" customFormat="1" x14ac:dyDescent="0.25">
      <c r="A233" s="4"/>
      <c r="B233" s="3"/>
      <c r="C233" s="5"/>
      <c r="D233" s="45"/>
      <c r="E233" s="46"/>
      <c r="F233" s="80"/>
      <c r="G233" s="80"/>
      <c r="H233" s="80"/>
      <c r="I233" s="51"/>
      <c r="J233" s="6"/>
      <c r="K233" s="6"/>
      <c r="L233" s="52"/>
      <c r="M233" s="52"/>
      <c r="N233" s="5"/>
      <c r="O233" s="3"/>
      <c r="P233" s="3"/>
      <c r="Q233" s="5"/>
      <c r="R233" s="5"/>
      <c r="S233" s="5"/>
      <c r="T233" s="5"/>
      <c r="U233" s="3"/>
      <c r="V233" s="3"/>
      <c r="W233" s="5"/>
      <c r="X233" s="5"/>
      <c r="Y233" s="5"/>
      <c r="Z233" s="5"/>
      <c r="AA233" s="6"/>
      <c r="AB233" s="6"/>
      <c r="AC233" s="5"/>
      <c r="AD233" s="54"/>
      <c r="AE233" s="55"/>
      <c r="AF233" s="55"/>
      <c r="AG233" s="55"/>
      <c r="AH233" s="55"/>
      <c r="AI233" s="55"/>
      <c r="AJ233" s="55"/>
      <c r="AK233" s="55"/>
      <c r="AL233" s="55"/>
      <c r="AM233" s="55"/>
      <c r="AN233" s="55"/>
      <c r="AO233" s="56"/>
      <c r="AP233" s="56"/>
      <c r="AQ233" s="53"/>
      <c r="AR233" s="53"/>
      <c r="AS233" s="53"/>
      <c r="BB233" s="83"/>
      <c r="BL233" s="436"/>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c r="HB233" s="84"/>
      <c r="HC233" s="84"/>
      <c r="HD233" s="84"/>
      <c r="HE233" s="84"/>
      <c r="HF233" s="84"/>
      <c r="HG233" s="84"/>
      <c r="HH233" s="84"/>
      <c r="HI233" s="84"/>
      <c r="HJ233" s="84"/>
      <c r="HK233" s="84"/>
      <c r="HL233" s="84"/>
      <c r="HM233" s="84"/>
      <c r="HN233" s="84"/>
      <c r="HO233" s="84"/>
      <c r="HP233" s="84"/>
      <c r="HQ233" s="84"/>
      <c r="HR233" s="84"/>
      <c r="HS233" s="84"/>
      <c r="HT233" s="84"/>
      <c r="HU233" s="84"/>
      <c r="HV233" s="84"/>
      <c r="HW233" s="84"/>
      <c r="HX233" s="84"/>
      <c r="HY233" s="84"/>
      <c r="HZ233" s="84"/>
      <c r="IA233" s="84"/>
      <c r="IB233" s="84"/>
      <c r="IC233" s="84"/>
      <c r="ID233" s="84"/>
      <c r="IE233" s="84"/>
      <c r="IF233" s="84"/>
      <c r="IG233" s="84"/>
      <c r="IH233" s="84"/>
      <c r="II233" s="84"/>
      <c r="IJ233" s="84"/>
      <c r="IK233" s="84"/>
      <c r="IL233" s="84"/>
      <c r="IM233" s="84"/>
      <c r="IN233" s="84"/>
      <c r="IO233" s="84"/>
    </row>
    <row r="246" spans="1:249" s="7" customFormat="1" x14ac:dyDescent="0.25">
      <c r="A246" s="4"/>
      <c r="B246" s="3"/>
      <c r="C246" s="5"/>
      <c r="D246" s="3"/>
      <c r="E246" s="5"/>
      <c r="F246" s="51"/>
      <c r="G246" s="51"/>
      <c r="H246" s="51"/>
      <c r="I246" s="51"/>
      <c r="J246" s="6"/>
      <c r="K246" s="6"/>
      <c r="L246" s="52"/>
      <c r="M246" s="52"/>
      <c r="N246" s="5"/>
      <c r="O246" s="3"/>
      <c r="P246" s="3"/>
      <c r="Q246" s="5"/>
      <c r="R246" s="5"/>
      <c r="S246" s="5"/>
      <c r="T246" s="5"/>
      <c r="U246" s="3"/>
      <c r="V246" s="3"/>
      <c r="W246" s="5"/>
      <c r="X246" s="5"/>
      <c r="Y246" s="5"/>
      <c r="Z246" s="5"/>
      <c r="AA246" s="6"/>
      <c r="AB246" s="6"/>
      <c r="AC246" s="5"/>
      <c r="AD246" s="54"/>
      <c r="AE246" s="55"/>
      <c r="AF246" s="55"/>
      <c r="AG246" s="55"/>
      <c r="AH246" s="55"/>
      <c r="AI246" s="55"/>
      <c r="AJ246" s="55"/>
      <c r="AK246" s="55"/>
      <c r="AL246" s="55"/>
      <c r="AM246" s="55"/>
      <c r="AN246" s="55"/>
      <c r="AO246" s="56"/>
      <c r="AP246" s="56"/>
      <c r="AQ246" s="53"/>
      <c r="AR246" s="53"/>
      <c r="AS246" s="53"/>
      <c r="BB246" s="83"/>
      <c r="BL246" s="436"/>
      <c r="GE246" s="84"/>
      <c r="GF246" s="84"/>
      <c r="GG246" s="84"/>
      <c r="GH246" s="84"/>
      <c r="GI246" s="84"/>
      <c r="GJ246" s="84"/>
      <c r="GK246" s="84"/>
      <c r="GL246" s="84"/>
      <c r="GM246" s="84"/>
      <c r="GN246" s="84"/>
      <c r="GO246" s="84"/>
      <c r="GP246" s="84"/>
      <c r="GQ246" s="84"/>
      <c r="GR246" s="84"/>
      <c r="GS246" s="84"/>
      <c r="GT246" s="84"/>
      <c r="GU246" s="84"/>
      <c r="GV246" s="84"/>
      <c r="GW246" s="84"/>
      <c r="GX246" s="84"/>
      <c r="GY246" s="84"/>
      <c r="GZ246" s="84"/>
      <c r="HA246" s="84"/>
      <c r="HB246" s="84"/>
      <c r="HC246" s="84"/>
      <c r="HD246" s="84"/>
      <c r="HE246" s="84"/>
      <c r="HF246" s="84"/>
      <c r="HG246" s="84"/>
      <c r="HH246" s="84"/>
      <c r="HI246" s="84"/>
      <c r="HJ246" s="84"/>
      <c r="HK246" s="84"/>
      <c r="HL246" s="84"/>
      <c r="HM246" s="84"/>
      <c r="HN246" s="84"/>
      <c r="HO246" s="84"/>
      <c r="HP246" s="84"/>
      <c r="HQ246" s="84"/>
      <c r="HR246" s="84"/>
      <c r="HS246" s="84"/>
      <c r="HT246" s="84"/>
      <c r="HU246" s="84"/>
      <c r="HV246" s="84"/>
      <c r="HW246" s="84"/>
      <c r="HX246" s="84"/>
      <c r="HY246" s="84"/>
      <c r="HZ246" s="84"/>
      <c r="IA246" s="84"/>
      <c r="IB246" s="84"/>
      <c r="IC246" s="84"/>
      <c r="ID246" s="84"/>
      <c r="IE246" s="84"/>
      <c r="IF246" s="84"/>
      <c r="IG246" s="84"/>
      <c r="IH246" s="84"/>
      <c r="II246" s="84"/>
      <c r="IJ246" s="84"/>
      <c r="IK246" s="84"/>
      <c r="IL246" s="84"/>
      <c r="IM246" s="84"/>
      <c r="IN246" s="84"/>
      <c r="IO246" s="84"/>
    </row>
  </sheetData>
  <sheetProtection selectLockedCells="1" selectUnlockedCells="1"/>
  <autoFilter ref="A2:IO209"/>
  <mergeCells count="261">
    <mergeCell ref="BM1:BO1"/>
    <mergeCell ref="BP1:CD1"/>
    <mergeCell ref="F202:F204"/>
    <mergeCell ref="G202:G204"/>
    <mergeCell ref="H202:H204"/>
    <mergeCell ref="I202:I204"/>
    <mergeCell ref="J202:J204"/>
    <mergeCell ref="K202:K204"/>
    <mergeCell ref="F205:F207"/>
    <mergeCell ref="G205:G207"/>
    <mergeCell ref="H205:H207"/>
    <mergeCell ref="I205:I207"/>
    <mergeCell ref="J205:J207"/>
    <mergeCell ref="K205:K207"/>
    <mergeCell ref="F190:F198"/>
    <mergeCell ref="G190:G198"/>
    <mergeCell ref="H190:H198"/>
    <mergeCell ref="I190:I198"/>
    <mergeCell ref="J190:J198"/>
    <mergeCell ref="K190:K198"/>
    <mergeCell ref="F199:F201"/>
    <mergeCell ref="G199:G201"/>
    <mergeCell ref="H199:H201"/>
    <mergeCell ref="I199:I201"/>
    <mergeCell ref="J199:J201"/>
    <mergeCell ref="K199:K201"/>
    <mergeCell ref="F184:F186"/>
    <mergeCell ref="G184:G186"/>
    <mergeCell ref="H184:H186"/>
    <mergeCell ref="I184:I186"/>
    <mergeCell ref="J184:J186"/>
    <mergeCell ref="K184:K186"/>
    <mergeCell ref="F187:F189"/>
    <mergeCell ref="G187:G189"/>
    <mergeCell ref="H187:H189"/>
    <mergeCell ref="I187:I189"/>
    <mergeCell ref="J187:J189"/>
    <mergeCell ref="K187:K189"/>
    <mergeCell ref="F167:F169"/>
    <mergeCell ref="G167:G169"/>
    <mergeCell ref="H167:H169"/>
    <mergeCell ref="I167:I169"/>
    <mergeCell ref="J167:J169"/>
    <mergeCell ref="K167:K169"/>
    <mergeCell ref="F170:F183"/>
    <mergeCell ref="G170:G183"/>
    <mergeCell ref="H170:H183"/>
    <mergeCell ref="I170:I183"/>
    <mergeCell ref="J170:J183"/>
    <mergeCell ref="K170:K183"/>
    <mergeCell ref="F158:F163"/>
    <mergeCell ref="G158:G163"/>
    <mergeCell ref="H158:H163"/>
    <mergeCell ref="I158:I163"/>
    <mergeCell ref="J158:J163"/>
    <mergeCell ref="K158:K163"/>
    <mergeCell ref="F164:F166"/>
    <mergeCell ref="G164:G166"/>
    <mergeCell ref="H164:H166"/>
    <mergeCell ref="I164:I166"/>
    <mergeCell ref="J164:J166"/>
    <mergeCell ref="K164:K166"/>
    <mergeCell ref="F152:F154"/>
    <mergeCell ref="G152:G154"/>
    <mergeCell ref="H152:H154"/>
    <mergeCell ref="I152:I154"/>
    <mergeCell ref="J152:J154"/>
    <mergeCell ref="K152:K154"/>
    <mergeCell ref="F155:F157"/>
    <mergeCell ref="G155:G157"/>
    <mergeCell ref="H155:H157"/>
    <mergeCell ref="I155:I157"/>
    <mergeCell ref="J155:J157"/>
    <mergeCell ref="K155:K157"/>
    <mergeCell ref="F146:F148"/>
    <mergeCell ref="G146:G148"/>
    <mergeCell ref="H146:H148"/>
    <mergeCell ref="I146:I148"/>
    <mergeCell ref="J146:J148"/>
    <mergeCell ref="K146:K148"/>
    <mergeCell ref="F149:F151"/>
    <mergeCell ref="G149:G151"/>
    <mergeCell ref="H149:H151"/>
    <mergeCell ref="I149:I151"/>
    <mergeCell ref="J149:J151"/>
    <mergeCell ref="K149:K151"/>
    <mergeCell ref="F139:F142"/>
    <mergeCell ref="G139:G142"/>
    <mergeCell ref="H139:H142"/>
    <mergeCell ref="I139:I142"/>
    <mergeCell ref="J139:J142"/>
    <mergeCell ref="K139:K142"/>
    <mergeCell ref="F143:F145"/>
    <mergeCell ref="G143:G145"/>
    <mergeCell ref="H143:H145"/>
    <mergeCell ref="I143:I145"/>
    <mergeCell ref="J143:J145"/>
    <mergeCell ref="K143:K145"/>
    <mergeCell ref="F127:F129"/>
    <mergeCell ref="G127:G129"/>
    <mergeCell ref="H127:H129"/>
    <mergeCell ref="I127:I129"/>
    <mergeCell ref="J127:J129"/>
    <mergeCell ref="K127:K129"/>
    <mergeCell ref="F130:F138"/>
    <mergeCell ref="G130:G138"/>
    <mergeCell ref="H130:H138"/>
    <mergeCell ref="I130:I138"/>
    <mergeCell ref="J130:J138"/>
    <mergeCell ref="K130:K138"/>
    <mergeCell ref="F121:F123"/>
    <mergeCell ref="G121:G123"/>
    <mergeCell ref="H121:H123"/>
    <mergeCell ref="I121:I123"/>
    <mergeCell ref="J121:J123"/>
    <mergeCell ref="K121:K123"/>
    <mergeCell ref="F124:F126"/>
    <mergeCell ref="G124:G126"/>
    <mergeCell ref="H124:H126"/>
    <mergeCell ref="I124:I126"/>
    <mergeCell ref="J124:J126"/>
    <mergeCell ref="K124:K126"/>
    <mergeCell ref="F115:F117"/>
    <mergeCell ref="G115:G117"/>
    <mergeCell ref="H115:H117"/>
    <mergeCell ref="I115:I117"/>
    <mergeCell ref="J115:J117"/>
    <mergeCell ref="K115:K117"/>
    <mergeCell ref="F118:F120"/>
    <mergeCell ref="G118:G120"/>
    <mergeCell ref="H118:H120"/>
    <mergeCell ref="I118:I120"/>
    <mergeCell ref="J118:J120"/>
    <mergeCell ref="K118:K120"/>
    <mergeCell ref="F109:F111"/>
    <mergeCell ref="G109:G111"/>
    <mergeCell ref="H109:H111"/>
    <mergeCell ref="I109:I111"/>
    <mergeCell ref="J109:J111"/>
    <mergeCell ref="K109:K111"/>
    <mergeCell ref="F112:F114"/>
    <mergeCell ref="G112:G114"/>
    <mergeCell ref="H112:H114"/>
    <mergeCell ref="I112:I114"/>
    <mergeCell ref="J112:J114"/>
    <mergeCell ref="K112:K114"/>
    <mergeCell ref="F95:F103"/>
    <mergeCell ref="G95:G103"/>
    <mergeCell ref="H95:H103"/>
    <mergeCell ref="I95:I103"/>
    <mergeCell ref="J95:J103"/>
    <mergeCell ref="K95:K103"/>
    <mergeCell ref="F104:F108"/>
    <mergeCell ref="G104:G108"/>
    <mergeCell ref="H104:H108"/>
    <mergeCell ref="I104:I108"/>
    <mergeCell ref="J104:J108"/>
    <mergeCell ref="K104:K108"/>
    <mergeCell ref="F68:F72"/>
    <mergeCell ref="G68:G72"/>
    <mergeCell ref="H68:H72"/>
    <mergeCell ref="I68:I72"/>
    <mergeCell ref="J68:J72"/>
    <mergeCell ref="K68:K72"/>
    <mergeCell ref="F73:F94"/>
    <mergeCell ref="G73:G94"/>
    <mergeCell ref="H73:H94"/>
    <mergeCell ref="I73:I94"/>
    <mergeCell ref="J73:J94"/>
    <mergeCell ref="K73:K94"/>
    <mergeCell ref="F60:F64"/>
    <mergeCell ref="G60:G64"/>
    <mergeCell ref="H60:H64"/>
    <mergeCell ref="I60:I64"/>
    <mergeCell ref="J60:J64"/>
    <mergeCell ref="K60:K64"/>
    <mergeCell ref="F65:F67"/>
    <mergeCell ref="G65:G67"/>
    <mergeCell ref="H65:H67"/>
    <mergeCell ref="I65:I67"/>
    <mergeCell ref="J65:J67"/>
    <mergeCell ref="K65:K67"/>
    <mergeCell ref="F43:F56"/>
    <mergeCell ref="G43:G56"/>
    <mergeCell ref="H43:H56"/>
    <mergeCell ref="I43:I56"/>
    <mergeCell ref="J43:J56"/>
    <mergeCell ref="K43:K56"/>
    <mergeCell ref="F57:F59"/>
    <mergeCell ref="G57:G59"/>
    <mergeCell ref="H57:H59"/>
    <mergeCell ref="I57:I59"/>
    <mergeCell ref="J57:J59"/>
    <mergeCell ref="K57:K59"/>
    <mergeCell ref="F37:F39"/>
    <mergeCell ref="G37:G39"/>
    <mergeCell ref="H37:H39"/>
    <mergeCell ref="I37:I39"/>
    <mergeCell ref="J37:J39"/>
    <mergeCell ref="K37:K39"/>
    <mergeCell ref="F40:F42"/>
    <mergeCell ref="G40:G42"/>
    <mergeCell ref="H40:H42"/>
    <mergeCell ref="I40:I42"/>
    <mergeCell ref="J40:J42"/>
    <mergeCell ref="K40:K42"/>
    <mergeCell ref="F31:F33"/>
    <mergeCell ref="G31:G33"/>
    <mergeCell ref="H31:H33"/>
    <mergeCell ref="I31:I33"/>
    <mergeCell ref="J31:J33"/>
    <mergeCell ref="K31:K33"/>
    <mergeCell ref="F34:F36"/>
    <mergeCell ref="G34:G36"/>
    <mergeCell ref="H34:H36"/>
    <mergeCell ref="I34:I36"/>
    <mergeCell ref="J34:J36"/>
    <mergeCell ref="K34:K36"/>
    <mergeCell ref="F24:F26"/>
    <mergeCell ref="G24:G26"/>
    <mergeCell ref="H24:H26"/>
    <mergeCell ref="I24:I26"/>
    <mergeCell ref="J24:J26"/>
    <mergeCell ref="K24:K26"/>
    <mergeCell ref="F27:F30"/>
    <mergeCell ref="G27:G30"/>
    <mergeCell ref="H27:H30"/>
    <mergeCell ref="I27:I30"/>
    <mergeCell ref="J27:J30"/>
    <mergeCell ref="K27:K30"/>
    <mergeCell ref="F10:F20"/>
    <mergeCell ref="G10:G20"/>
    <mergeCell ref="H10:H20"/>
    <mergeCell ref="I10:I20"/>
    <mergeCell ref="J10:J20"/>
    <mergeCell ref="K10:K20"/>
    <mergeCell ref="F6:F9"/>
    <mergeCell ref="F21:F23"/>
    <mergeCell ref="G21:G23"/>
    <mergeCell ref="H21:H23"/>
    <mergeCell ref="I21:I23"/>
    <mergeCell ref="J21:J23"/>
    <mergeCell ref="K21:K23"/>
    <mergeCell ref="G6:G9"/>
    <mergeCell ref="H6:H9"/>
    <mergeCell ref="I6:I9"/>
    <mergeCell ref="J6:J9"/>
    <mergeCell ref="K6:K9"/>
    <mergeCell ref="AA1:AD1"/>
    <mergeCell ref="AE1:AT1"/>
    <mergeCell ref="AU1:AW1"/>
    <mergeCell ref="AX1:BL1"/>
    <mergeCell ref="F3:F5"/>
    <mergeCell ref="G3:G5"/>
    <mergeCell ref="H3:H5"/>
    <mergeCell ref="I3:I5"/>
    <mergeCell ref="J3:J5"/>
    <mergeCell ref="K3:K5"/>
    <mergeCell ref="A1:I1"/>
    <mergeCell ref="J1:K1"/>
    <mergeCell ref="L1:Z1"/>
  </mergeCells>
  <dataValidations disablePrompts="1" count="2">
    <dataValidation type="list" allowBlank="1" showErrorMessage="1" sqref="O170:P170">
      <formula1>#REF!</formula1>
      <formula2>0</formula2>
    </dataValidation>
    <dataValidation type="list" allowBlank="1" showErrorMessage="1" sqref="O182">
      <formula1>$AD$2:$AD$11</formula1>
      <formula2>0</formula2>
    </dataValidation>
  </dataValidations>
  <pageMargins left="0.4201388888888889" right="0.60972222222222228" top="0.64027777777777772" bottom="0.25" header="0.3" footer="0.51180555555555551"/>
  <pageSetup firstPageNumber="0" orientation="portrait" horizontalDpi="300" verticalDpi="300" r:id="rId1"/>
  <headerFooter alignWithMargins="0">
    <oddHeader>&amp;C&amp;"Calibri,Negrita"&amp;12FONDO DE DESARROLLO LOCAL SANTA FÉ</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3" tint="0.39997558519241921"/>
  </sheetPr>
  <dimension ref="A1:IG206"/>
  <sheetViews>
    <sheetView zoomScale="85" zoomScaleNormal="85" zoomScaleSheetLayoutView="100" workbookViewId="0">
      <pane ySplit="2" topLeftCell="A3" activePane="bottomLeft" state="frozen"/>
      <selection activeCell="Q14" sqref="Q14"/>
      <selection pane="bottomLeft" activeCell="BI172" sqref="BI172"/>
    </sheetView>
  </sheetViews>
  <sheetFormatPr baseColWidth="10" defaultColWidth="7.140625" defaultRowHeight="13.5" x14ac:dyDescent="0.25"/>
  <cols>
    <col min="1" max="1" width="10.5703125" style="4" customWidth="1"/>
    <col min="2" max="2" width="21.28515625" style="3" customWidth="1"/>
    <col min="3" max="3" width="10.5703125" style="5" customWidth="1"/>
    <col min="4" max="4" width="21.28515625" style="3" customWidth="1"/>
    <col min="5" max="5" width="10.5703125" style="5" customWidth="1"/>
    <col min="6" max="7" width="10.5703125" style="51" customWidth="1"/>
    <col min="8" max="8" width="10.5703125" style="5" customWidth="1"/>
    <col min="9" max="9" width="21.28515625" style="5" customWidth="1"/>
    <col min="10" max="11" width="21.28515625" style="6" customWidth="1"/>
    <col min="12" max="16" width="14.140625" style="7" customWidth="1"/>
    <col min="17" max="18" width="14.140625" style="421" customWidth="1"/>
    <col min="19" max="26" width="14.140625" style="7" customWidth="1"/>
    <col min="27" max="27" width="14.140625" style="421" customWidth="1"/>
    <col min="28" max="28" width="14.140625" style="7" customWidth="1"/>
    <col min="29" max="29" width="14.140625" style="421" customWidth="1"/>
    <col min="30" max="44" width="14.140625" style="7" customWidth="1"/>
    <col min="45" max="45" width="14.140625" style="542" customWidth="1"/>
    <col min="46" max="48" width="14.140625" style="7" customWidth="1"/>
    <col min="49" max="49" width="14.140625" style="421" customWidth="1"/>
    <col min="50" max="53" width="14.140625" style="7" customWidth="1"/>
    <col min="54" max="54" width="16" style="7" customWidth="1"/>
    <col min="55" max="61" width="19" style="7" customWidth="1"/>
    <col min="62" max="62" width="14.140625" style="7" customWidth="1"/>
    <col min="63" max="63" width="17.7109375" style="7" customWidth="1"/>
    <col min="64" max="66" width="14.140625" style="7" customWidth="1"/>
    <col min="67" max="140" width="7.140625" style="7"/>
    <col min="141" max="16384" width="7.140625" style="8"/>
  </cols>
  <sheetData>
    <row r="1" spans="1:66" s="18" customFormat="1" x14ac:dyDescent="0.25">
      <c r="A1" s="648"/>
      <c r="B1" s="648"/>
      <c r="C1" s="648"/>
      <c r="D1" s="648"/>
      <c r="E1" s="648"/>
      <c r="F1" s="648"/>
      <c r="G1" s="648"/>
      <c r="H1" s="648"/>
      <c r="I1" s="648"/>
      <c r="J1" s="648"/>
      <c r="K1" s="648"/>
      <c r="L1" s="639"/>
      <c r="M1" s="640"/>
      <c r="N1" s="640"/>
      <c r="O1" s="640"/>
      <c r="P1" s="640"/>
      <c r="Q1" s="640"/>
      <c r="R1" s="640"/>
      <c r="S1" s="640"/>
      <c r="T1" s="640"/>
      <c r="U1" s="640"/>
      <c r="V1" s="640"/>
      <c r="W1" s="640"/>
      <c r="X1" s="640"/>
      <c r="Y1" s="640"/>
      <c r="Z1" s="641"/>
      <c r="AA1" s="642" t="s">
        <v>774</v>
      </c>
      <c r="AB1" s="643"/>
      <c r="AC1" s="643"/>
      <c r="AD1" s="644"/>
      <c r="AE1" s="645" t="s">
        <v>263</v>
      </c>
      <c r="AF1" s="646"/>
      <c r="AG1" s="646"/>
      <c r="AH1" s="646"/>
      <c r="AI1" s="646"/>
      <c r="AJ1" s="646"/>
      <c r="AK1" s="646"/>
      <c r="AL1" s="646"/>
      <c r="AM1" s="646"/>
      <c r="AN1" s="646"/>
      <c r="AO1" s="646"/>
      <c r="AP1" s="646"/>
      <c r="AQ1" s="646"/>
      <c r="AR1" s="646"/>
      <c r="AS1" s="646"/>
      <c r="AT1" s="647"/>
      <c r="AU1" s="649" t="s">
        <v>1691</v>
      </c>
      <c r="AV1" s="650"/>
      <c r="AW1" s="650"/>
      <c r="AX1" s="651"/>
      <c r="AY1" s="636" t="s">
        <v>1692</v>
      </c>
      <c r="AZ1" s="637"/>
      <c r="BA1" s="637"/>
      <c r="BB1" s="637"/>
      <c r="BC1" s="637"/>
      <c r="BD1" s="637"/>
      <c r="BE1" s="637"/>
      <c r="BF1" s="637"/>
      <c r="BG1" s="637"/>
      <c r="BH1" s="637"/>
      <c r="BI1" s="637"/>
      <c r="BJ1" s="637"/>
      <c r="BK1" s="637"/>
      <c r="BL1" s="637"/>
      <c r="BM1" s="637"/>
      <c r="BN1" s="638"/>
    </row>
    <row r="2" spans="1:66" s="18" customFormat="1" ht="54" x14ac:dyDescent="0.25">
      <c r="A2" s="508" t="s">
        <v>14</v>
      </c>
      <c r="B2" s="508" t="s">
        <v>15</v>
      </c>
      <c r="C2" s="509">
        <v>177</v>
      </c>
      <c r="D2" s="509" t="s">
        <v>19</v>
      </c>
      <c r="E2" s="509" t="s">
        <v>20</v>
      </c>
      <c r="F2" s="509" t="s">
        <v>21</v>
      </c>
      <c r="G2" s="510" t="s">
        <v>22</v>
      </c>
      <c r="H2" s="511" t="s">
        <v>23</v>
      </c>
      <c r="I2" s="511" t="s">
        <v>24</v>
      </c>
      <c r="J2" s="512" t="s">
        <v>264</v>
      </c>
      <c r="K2" s="513" t="s">
        <v>265</v>
      </c>
      <c r="L2" s="514" t="s">
        <v>266</v>
      </c>
      <c r="M2" s="527" t="s">
        <v>775</v>
      </c>
      <c r="N2" s="514" t="s">
        <v>267</v>
      </c>
      <c r="O2" s="514" t="s">
        <v>268</v>
      </c>
      <c r="P2" s="514" t="s">
        <v>269</v>
      </c>
      <c r="Q2" s="515" t="s">
        <v>270</v>
      </c>
      <c r="R2" s="514" t="s">
        <v>271</v>
      </c>
      <c r="S2" s="514" t="s">
        <v>272</v>
      </c>
      <c r="T2" s="514" t="s">
        <v>273</v>
      </c>
      <c r="U2" s="514" t="s">
        <v>274</v>
      </c>
      <c r="V2" s="514" t="s">
        <v>275</v>
      </c>
      <c r="W2" s="514" t="s">
        <v>276</v>
      </c>
      <c r="X2" s="514" t="s">
        <v>277</v>
      </c>
      <c r="Y2" s="514" t="s">
        <v>278</v>
      </c>
      <c r="Z2" s="514" t="s">
        <v>279</v>
      </c>
      <c r="AA2" s="516" t="s">
        <v>303</v>
      </c>
      <c r="AB2" s="517" t="s">
        <v>281</v>
      </c>
      <c r="AC2" s="518" t="s">
        <v>304</v>
      </c>
      <c r="AD2" s="518" t="s">
        <v>305</v>
      </c>
      <c r="AE2" s="519" t="s">
        <v>284</v>
      </c>
      <c r="AF2" s="520" t="s">
        <v>285</v>
      </c>
      <c r="AG2" s="519" t="s">
        <v>286</v>
      </c>
      <c r="AH2" s="520" t="s">
        <v>287</v>
      </c>
      <c r="AI2" s="519" t="s">
        <v>288</v>
      </c>
      <c r="AJ2" s="520" t="s">
        <v>289</v>
      </c>
      <c r="AK2" s="519" t="s">
        <v>290</v>
      </c>
      <c r="AL2" s="520" t="s">
        <v>291</v>
      </c>
      <c r="AM2" s="519" t="s">
        <v>292</v>
      </c>
      <c r="AN2" s="520" t="s">
        <v>293</v>
      </c>
      <c r="AO2" s="519" t="s">
        <v>294</v>
      </c>
      <c r="AP2" s="520" t="s">
        <v>295</v>
      </c>
      <c r="AQ2" s="520" t="s">
        <v>306</v>
      </c>
      <c r="AR2" s="520" t="s">
        <v>297</v>
      </c>
      <c r="AS2" s="520" t="s">
        <v>298</v>
      </c>
      <c r="AT2" s="521" t="s">
        <v>299</v>
      </c>
      <c r="AU2" s="514" t="s">
        <v>1693</v>
      </c>
      <c r="AV2" s="522" t="s">
        <v>281</v>
      </c>
      <c r="AW2" s="523" t="s">
        <v>1694</v>
      </c>
      <c r="AX2" s="523" t="s">
        <v>1695</v>
      </c>
      <c r="AY2" s="524" t="s">
        <v>284</v>
      </c>
      <c r="AZ2" s="525" t="s">
        <v>285</v>
      </c>
      <c r="BA2" s="524" t="s">
        <v>286</v>
      </c>
      <c r="BB2" s="525" t="s">
        <v>287</v>
      </c>
      <c r="BC2" s="524" t="s">
        <v>288</v>
      </c>
      <c r="BD2" s="525" t="s">
        <v>289</v>
      </c>
      <c r="BE2" s="524" t="s">
        <v>290</v>
      </c>
      <c r="BF2" s="525" t="s">
        <v>291</v>
      </c>
      <c r="BG2" s="524" t="s">
        <v>292</v>
      </c>
      <c r="BH2" s="525" t="s">
        <v>293</v>
      </c>
      <c r="BI2" s="524" t="s">
        <v>294</v>
      </c>
      <c r="BJ2" s="525" t="s">
        <v>295</v>
      </c>
      <c r="BK2" s="525" t="s">
        <v>1696</v>
      </c>
      <c r="BL2" s="525" t="s">
        <v>297</v>
      </c>
      <c r="BM2" s="525" t="s">
        <v>298</v>
      </c>
      <c r="BN2" s="526" t="s">
        <v>299</v>
      </c>
    </row>
    <row r="3" spans="1:66" s="25" customFormat="1" x14ac:dyDescent="0.25">
      <c r="A3" s="490">
        <v>102</v>
      </c>
      <c r="B3" s="63" t="s">
        <v>42</v>
      </c>
      <c r="C3" s="490">
        <v>1147</v>
      </c>
      <c r="D3" s="63" t="s">
        <v>44</v>
      </c>
      <c r="E3" s="490">
        <v>2</v>
      </c>
      <c r="F3" s="584" t="s">
        <v>45</v>
      </c>
      <c r="G3" s="584">
        <v>30</v>
      </c>
      <c r="H3" s="584" t="s">
        <v>46</v>
      </c>
      <c r="I3" s="584" t="s">
        <v>47</v>
      </c>
      <c r="J3" s="584"/>
      <c r="K3" s="654"/>
      <c r="L3" s="192" t="s">
        <v>1597</v>
      </c>
      <c r="M3" s="192" t="s">
        <v>1119</v>
      </c>
      <c r="N3" s="192" t="s">
        <v>1598</v>
      </c>
      <c r="O3" s="192" t="s">
        <v>1599</v>
      </c>
      <c r="P3" s="192" t="s">
        <v>1600</v>
      </c>
      <c r="Q3" s="428">
        <v>42366</v>
      </c>
      <c r="R3" s="428">
        <v>42467</v>
      </c>
      <c r="S3" s="192" t="s">
        <v>378</v>
      </c>
      <c r="T3" s="192" t="s">
        <v>1601</v>
      </c>
      <c r="U3" s="192" t="s">
        <v>1332</v>
      </c>
      <c r="V3" s="192" t="s">
        <v>1602</v>
      </c>
      <c r="W3" s="192">
        <v>20546554</v>
      </c>
      <c r="X3" s="192" t="s">
        <v>1670</v>
      </c>
      <c r="Y3" s="192" t="s">
        <v>1423</v>
      </c>
      <c r="Z3" s="192"/>
      <c r="AA3" s="366">
        <v>661</v>
      </c>
      <c r="AB3" s="173">
        <v>42313</v>
      </c>
      <c r="AC3" s="366">
        <v>916</v>
      </c>
      <c r="AD3" s="534">
        <v>50000000</v>
      </c>
      <c r="AE3" s="535"/>
      <c r="AF3" s="535"/>
      <c r="AG3" s="535"/>
      <c r="AH3" s="535"/>
      <c r="AI3" s="535"/>
      <c r="AJ3" s="535"/>
      <c r="AK3" s="535"/>
      <c r="AL3" s="535"/>
      <c r="AM3" s="535"/>
      <c r="AN3" s="535"/>
      <c r="AO3" s="535"/>
      <c r="AP3" s="535"/>
      <c r="AQ3" s="535">
        <f t="shared" ref="AQ3:AQ37" si="0">SUM(AE3:AP3)</f>
        <v>0</v>
      </c>
      <c r="AR3" s="535">
        <f t="shared" ref="AR3:AR36" si="1">+AD3-AQ3</f>
        <v>50000000</v>
      </c>
      <c r="AS3" s="540">
        <f t="shared" ref="AS3:AS13" si="2">+AQ3/AD3</f>
        <v>0</v>
      </c>
      <c r="AT3" s="192"/>
      <c r="AU3" s="192">
        <v>212</v>
      </c>
      <c r="AV3" s="401">
        <v>42388</v>
      </c>
      <c r="AW3" s="191">
        <v>198</v>
      </c>
      <c r="AX3" s="534">
        <v>50000000</v>
      </c>
      <c r="AY3" s="535"/>
      <c r="AZ3" s="535"/>
      <c r="BA3" s="535"/>
      <c r="BB3" s="535"/>
      <c r="BC3" s="535"/>
      <c r="BD3" s="535"/>
      <c r="BE3" s="535"/>
      <c r="BF3" s="535"/>
      <c r="BG3" s="535"/>
      <c r="BH3" s="535">
        <v>50000000</v>
      </c>
      <c r="BI3" s="535"/>
      <c r="BJ3" s="535"/>
      <c r="BK3" s="535">
        <f t="shared" ref="BK3" si="3">SUM(AY3:BJ3)</f>
        <v>50000000</v>
      </c>
      <c r="BL3" s="535">
        <f t="shared" ref="BL3" si="4">+AX3-BK3</f>
        <v>0</v>
      </c>
      <c r="BM3" s="543">
        <f t="shared" ref="BM3" si="5">+BK3/AX3</f>
        <v>1</v>
      </c>
      <c r="BN3" s="535"/>
    </row>
    <row r="4" spans="1:66" s="25" customFormat="1" x14ac:dyDescent="0.25">
      <c r="A4" s="490">
        <v>102</v>
      </c>
      <c r="B4" s="63" t="s">
        <v>42</v>
      </c>
      <c r="C4" s="490">
        <v>1147</v>
      </c>
      <c r="D4" s="63" t="s">
        <v>44</v>
      </c>
      <c r="E4" s="490">
        <v>2</v>
      </c>
      <c r="F4" s="585"/>
      <c r="G4" s="585"/>
      <c r="H4" s="585"/>
      <c r="I4" s="585"/>
      <c r="J4" s="585"/>
      <c r="K4" s="655"/>
      <c r="L4" s="192"/>
      <c r="M4" s="192"/>
      <c r="N4" s="192"/>
      <c r="O4" s="192"/>
      <c r="P4" s="192"/>
      <c r="Q4" s="428"/>
      <c r="R4" s="428"/>
      <c r="S4" s="192"/>
      <c r="T4" s="192"/>
      <c r="U4" s="192"/>
      <c r="V4" s="192"/>
      <c r="W4" s="192"/>
      <c r="X4" s="192"/>
      <c r="Y4" s="192"/>
      <c r="Z4" s="192"/>
      <c r="AA4" s="366"/>
      <c r="AB4" s="173"/>
      <c r="AC4" s="366"/>
      <c r="AD4" s="534"/>
      <c r="AE4" s="535"/>
      <c r="AF4" s="535"/>
      <c r="AG4" s="535"/>
      <c r="AH4" s="535"/>
      <c r="AI4" s="535"/>
      <c r="AJ4" s="535"/>
      <c r="AK4" s="535"/>
      <c r="AL4" s="535"/>
      <c r="AM4" s="535"/>
      <c r="AN4" s="535"/>
      <c r="AO4" s="535"/>
      <c r="AP4" s="535"/>
      <c r="AQ4" s="535"/>
      <c r="AR4" s="535"/>
      <c r="AS4" s="540"/>
      <c r="AT4" s="192"/>
      <c r="AU4" s="192"/>
      <c r="AV4" s="401"/>
      <c r="AW4" s="191"/>
      <c r="AX4" s="534"/>
      <c r="AY4" s="535"/>
      <c r="AZ4" s="535"/>
      <c r="BA4" s="535"/>
      <c r="BB4" s="535"/>
      <c r="BC4" s="535"/>
      <c r="BD4" s="535"/>
      <c r="BE4" s="535"/>
      <c r="BF4" s="535"/>
      <c r="BG4" s="535"/>
      <c r="BH4" s="535"/>
      <c r="BI4" s="535"/>
      <c r="BJ4" s="535"/>
      <c r="BK4" s="535">
        <f t="shared" ref="BK4:BK67" si="6">SUM(AY4:BJ4)</f>
        <v>0</v>
      </c>
      <c r="BL4" s="535">
        <f t="shared" ref="BL4:BL67" si="7">+AX4-BK4</f>
        <v>0</v>
      </c>
      <c r="BM4" s="543" t="e">
        <f t="shared" ref="BM4:BM67" si="8">+BK4/AX4</f>
        <v>#DIV/0!</v>
      </c>
      <c r="BN4" s="535"/>
    </row>
    <row r="5" spans="1:66" s="25" customFormat="1" x14ac:dyDescent="0.25">
      <c r="A5" s="490">
        <v>102</v>
      </c>
      <c r="B5" s="63" t="s">
        <v>42</v>
      </c>
      <c r="C5" s="490">
        <v>1147</v>
      </c>
      <c r="D5" s="63" t="s">
        <v>44</v>
      </c>
      <c r="E5" s="490">
        <v>2</v>
      </c>
      <c r="F5" s="590"/>
      <c r="G5" s="590"/>
      <c r="H5" s="590"/>
      <c r="I5" s="590"/>
      <c r="J5" s="590"/>
      <c r="K5" s="656"/>
      <c r="L5" s="192"/>
      <c r="M5" s="192"/>
      <c r="N5" s="192"/>
      <c r="O5" s="192"/>
      <c r="P5" s="192"/>
      <c r="Q5" s="428"/>
      <c r="R5" s="428"/>
      <c r="S5" s="192"/>
      <c r="T5" s="192"/>
      <c r="U5" s="192"/>
      <c r="V5" s="192"/>
      <c r="W5" s="192"/>
      <c r="X5" s="192"/>
      <c r="Y5" s="192"/>
      <c r="Z5" s="192"/>
      <c r="AA5" s="366"/>
      <c r="AB5" s="173"/>
      <c r="AC5" s="366"/>
      <c r="AD5" s="534"/>
      <c r="AE5" s="535"/>
      <c r="AF5" s="535"/>
      <c r="AG5" s="535"/>
      <c r="AH5" s="535"/>
      <c r="AI5" s="535"/>
      <c r="AJ5" s="535"/>
      <c r="AK5" s="535"/>
      <c r="AL5" s="535"/>
      <c r="AM5" s="535"/>
      <c r="AN5" s="535"/>
      <c r="AO5" s="535"/>
      <c r="AP5" s="535"/>
      <c r="AQ5" s="535"/>
      <c r="AR5" s="535"/>
      <c r="AS5" s="540"/>
      <c r="AT5" s="192"/>
      <c r="AU5" s="192"/>
      <c r="AV5" s="401"/>
      <c r="AW5" s="191"/>
      <c r="AX5" s="534"/>
      <c r="AY5" s="535"/>
      <c r="AZ5" s="535"/>
      <c r="BA5" s="535"/>
      <c r="BB5" s="535"/>
      <c r="BC5" s="535"/>
      <c r="BD5" s="535"/>
      <c r="BE5" s="535"/>
      <c r="BF5" s="535"/>
      <c r="BG5" s="535"/>
      <c r="BH5" s="535"/>
      <c r="BI5" s="535"/>
      <c r="BJ5" s="535"/>
      <c r="BK5" s="535">
        <f t="shared" si="6"/>
        <v>0</v>
      </c>
      <c r="BL5" s="535">
        <f t="shared" si="7"/>
        <v>0</v>
      </c>
      <c r="BM5" s="543" t="e">
        <f t="shared" si="8"/>
        <v>#DIV/0!</v>
      </c>
      <c r="BN5" s="535"/>
    </row>
    <row r="6" spans="1:66" s="33" customFormat="1" x14ac:dyDescent="0.25">
      <c r="A6" s="493">
        <v>104</v>
      </c>
      <c r="B6" s="67" t="s">
        <v>58</v>
      </c>
      <c r="C6" s="493">
        <v>1149</v>
      </c>
      <c r="D6" s="67" t="s">
        <v>60</v>
      </c>
      <c r="E6" s="493">
        <v>1</v>
      </c>
      <c r="F6" s="569" t="s">
        <v>53</v>
      </c>
      <c r="G6" s="569">
        <v>12000</v>
      </c>
      <c r="H6" s="569" t="s">
        <v>61</v>
      </c>
      <c r="I6" s="569" t="s">
        <v>62</v>
      </c>
      <c r="J6" s="569"/>
      <c r="K6" s="652"/>
      <c r="L6" s="502" t="s">
        <v>1513</v>
      </c>
      <c r="M6" s="192" t="s">
        <v>1119</v>
      </c>
      <c r="N6" s="192" t="s">
        <v>63</v>
      </c>
      <c r="O6" s="192" t="s">
        <v>1507</v>
      </c>
      <c r="P6" s="431" t="s">
        <v>1026</v>
      </c>
      <c r="Q6" s="428">
        <v>42132</v>
      </c>
      <c r="R6" s="455">
        <v>42132</v>
      </c>
      <c r="S6" s="192" t="s">
        <v>807</v>
      </c>
      <c r="T6" s="431">
        <v>97</v>
      </c>
      <c r="U6" s="192" t="s">
        <v>798</v>
      </c>
      <c r="V6" s="431" t="s">
        <v>351</v>
      </c>
      <c r="W6" s="433" t="s">
        <v>803</v>
      </c>
      <c r="X6" s="433" t="s">
        <v>90</v>
      </c>
      <c r="Y6" s="192" t="s">
        <v>884</v>
      </c>
      <c r="Z6" s="192"/>
      <c r="AA6" s="459">
        <v>483</v>
      </c>
      <c r="AB6" s="432">
        <v>42124</v>
      </c>
      <c r="AC6" s="459">
        <v>546</v>
      </c>
      <c r="AD6" s="534">
        <v>18000000</v>
      </c>
      <c r="AE6" s="535"/>
      <c r="AF6" s="535"/>
      <c r="AG6" s="536">
        <v>3000000</v>
      </c>
      <c r="AH6" s="535"/>
      <c r="AI6" s="535"/>
      <c r="AJ6" s="535"/>
      <c r="AK6" s="535"/>
      <c r="AL6" s="535"/>
      <c r="AM6" s="535"/>
      <c r="AN6" s="535"/>
      <c r="AO6" s="535"/>
      <c r="AP6" s="535"/>
      <c r="AQ6" s="535">
        <f t="shared" si="0"/>
        <v>3000000</v>
      </c>
      <c r="AR6" s="535">
        <f t="shared" si="1"/>
        <v>15000000</v>
      </c>
      <c r="AS6" s="540">
        <f t="shared" si="2"/>
        <v>0.16666666666666666</v>
      </c>
      <c r="AT6" s="279"/>
      <c r="AU6" s="366">
        <v>61</v>
      </c>
      <c r="AV6" s="401">
        <v>42388</v>
      </c>
      <c r="AW6" s="366">
        <v>61</v>
      </c>
      <c r="AX6" s="534">
        <v>18000000</v>
      </c>
      <c r="AY6" s="535"/>
      <c r="AZ6" s="535"/>
      <c r="BA6" s="535">
        <v>3000000</v>
      </c>
      <c r="BB6" s="535"/>
      <c r="BC6" s="535">
        <v>6000000</v>
      </c>
      <c r="BD6" s="535"/>
      <c r="BE6" s="535"/>
      <c r="BF6" s="535">
        <v>6000000</v>
      </c>
      <c r="BG6" s="535"/>
      <c r="BH6" s="535"/>
      <c r="BI6" s="535">
        <v>3000000</v>
      </c>
      <c r="BJ6" s="535"/>
      <c r="BK6" s="535">
        <f t="shared" si="6"/>
        <v>18000000</v>
      </c>
      <c r="BL6" s="535">
        <f t="shared" si="7"/>
        <v>0</v>
      </c>
      <c r="BM6" s="543">
        <f t="shared" si="8"/>
        <v>1</v>
      </c>
      <c r="BN6" s="535"/>
    </row>
    <row r="7" spans="1:66" s="33" customFormat="1" x14ac:dyDescent="0.25">
      <c r="A7" s="493">
        <v>104</v>
      </c>
      <c r="B7" s="67" t="s">
        <v>58</v>
      </c>
      <c r="C7" s="493">
        <v>1149</v>
      </c>
      <c r="D7" s="67" t="s">
        <v>60</v>
      </c>
      <c r="E7" s="493">
        <v>1</v>
      </c>
      <c r="F7" s="570"/>
      <c r="G7" s="570"/>
      <c r="H7" s="570"/>
      <c r="I7" s="570"/>
      <c r="J7" s="570"/>
      <c r="K7" s="653"/>
      <c r="L7" s="502" t="s">
        <v>1512</v>
      </c>
      <c r="M7" s="192" t="s">
        <v>1119</v>
      </c>
      <c r="N7" s="192" t="s">
        <v>63</v>
      </c>
      <c r="O7" s="192" t="s">
        <v>1507</v>
      </c>
      <c r="P7" s="431" t="s">
        <v>1026</v>
      </c>
      <c r="Q7" s="428">
        <v>42143</v>
      </c>
      <c r="R7" s="455">
        <v>42143</v>
      </c>
      <c r="S7" s="192" t="s">
        <v>783</v>
      </c>
      <c r="T7" s="431">
        <v>53</v>
      </c>
      <c r="U7" s="192" t="s">
        <v>798</v>
      </c>
      <c r="V7" s="431" t="s">
        <v>824</v>
      </c>
      <c r="W7" s="192">
        <v>1023881209</v>
      </c>
      <c r="X7" s="433" t="s">
        <v>90</v>
      </c>
      <c r="Y7" s="192" t="s">
        <v>884</v>
      </c>
      <c r="Z7" s="192"/>
      <c r="AA7" s="459">
        <v>478</v>
      </c>
      <c r="AB7" s="432">
        <v>42123</v>
      </c>
      <c r="AC7" s="459">
        <v>560</v>
      </c>
      <c r="AD7" s="534">
        <v>8750000</v>
      </c>
      <c r="AE7" s="535"/>
      <c r="AF7" s="535"/>
      <c r="AG7" s="536">
        <v>1250000</v>
      </c>
      <c r="AH7" s="535"/>
      <c r="AI7" s="535"/>
      <c r="AJ7" s="535"/>
      <c r="AK7" s="535"/>
      <c r="AL7" s="535"/>
      <c r="AM7" s="534">
        <v>2500000</v>
      </c>
      <c r="AN7" s="534">
        <v>1250000</v>
      </c>
      <c r="AO7" s="535">
        <v>1250000</v>
      </c>
      <c r="AP7" s="535">
        <v>2500000</v>
      </c>
      <c r="AQ7" s="535">
        <f t="shared" si="0"/>
        <v>8750000</v>
      </c>
      <c r="AR7" s="535">
        <f t="shared" si="1"/>
        <v>0</v>
      </c>
      <c r="AS7" s="540">
        <f t="shared" si="2"/>
        <v>1</v>
      </c>
      <c r="AT7" s="279"/>
      <c r="AU7" s="366">
        <v>62</v>
      </c>
      <c r="AV7" s="401">
        <v>42388</v>
      </c>
      <c r="AW7" s="366">
        <v>62</v>
      </c>
      <c r="AX7" s="534">
        <v>1250000</v>
      </c>
      <c r="AY7" s="535"/>
      <c r="AZ7" s="535"/>
      <c r="BA7" s="535">
        <v>1250000</v>
      </c>
      <c r="BB7" s="535"/>
      <c r="BC7" s="535"/>
      <c r="BD7" s="535"/>
      <c r="BE7" s="535"/>
      <c r="BF7" s="535"/>
      <c r="BG7" s="535"/>
      <c r="BH7" s="535"/>
      <c r="BI7" s="535"/>
      <c r="BJ7" s="535"/>
      <c r="BK7" s="535">
        <f t="shared" si="6"/>
        <v>1250000</v>
      </c>
      <c r="BL7" s="535">
        <f t="shared" si="7"/>
        <v>0</v>
      </c>
      <c r="BM7" s="543">
        <f t="shared" si="8"/>
        <v>1</v>
      </c>
      <c r="BN7" s="535"/>
    </row>
    <row r="8" spans="1:66" s="33" customFormat="1" x14ac:dyDescent="0.25">
      <c r="A8" s="493">
        <v>104</v>
      </c>
      <c r="B8" s="67" t="s">
        <v>58</v>
      </c>
      <c r="C8" s="493">
        <v>1149</v>
      </c>
      <c r="D8" s="67" t="s">
        <v>60</v>
      </c>
      <c r="E8" s="493">
        <v>1</v>
      </c>
      <c r="F8" s="570"/>
      <c r="G8" s="570"/>
      <c r="H8" s="570"/>
      <c r="I8" s="570"/>
      <c r="J8" s="570"/>
      <c r="K8" s="653"/>
      <c r="L8" s="502" t="s">
        <v>1511</v>
      </c>
      <c r="M8" s="192" t="s">
        <v>1119</v>
      </c>
      <c r="N8" s="192" t="s">
        <v>63</v>
      </c>
      <c r="O8" s="192" t="s">
        <v>1507</v>
      </c>
      <c r="P8" s="431" t="s">
        <v>1026</v>
      </c>
      <c r="Q8" s="428">
        <v>42185</v>
      </c>
      <c r="R8" s="455">
        <v>42185</v>
      </c>
      <c r="S8" s="192" t="s">
        <v>1509</v>
      </c>
      <c r="T8" s="431">
        <v>53</v>
      </c>
      <c r="U8" s="192" t="s">
        <v>798</v>
      </c>
      <c r="V8" s="431" t="s">
        <v>824</v>
      </c>
      <c r="W8" s="192">
        <v>1023881209</v>
      </c>
      <c r="X8" s="433" t="s">
        <v>90</v>
      </c>
      <c r="Y8" s="192" t="s">
        <v>884</v>
      </c>
      <c r="Z8" s="192"/>
      <c r="AA8" s="459">
        <v>515</v>
      </c>
      <c r="AB8" s="432">
        <v>42167</v>
      </c>
      <c r="AC8" s="459">
        <v>646</v>
      </c>
      <c r="AD8" s="534">
        <v>4375000</v>
      </c>
      <c r="AE8" s="535"/>
      <c r="AF8" s="535"/>
      <c r="AG8" s="535"/>
      <c r="AH8" s="535"/>
      <c r="AI8" s="535"/>
      <c r="AJ8" s="535"/>
      <c r="AK8" s="535"/>
      <c r="AL8" s="535"/>
      <c r="AM8" s="535"/>
      <c r="AN8" s="535"/>
      <c r="AO8" s="535"/>
      <c r="AP8" s="535"/>
      <c r="AQ8" s="535">
        <f t="shared" si="0"/>
        <v>0</v>
      </c>
      <c r="AR8" s="535">
        <f t="shared" si="1"/>
        <v>4375000</v>
      </c>
      <c r="AS8" s="540">
        <f t="shared" si="2"/>
        <v>0</v>
      </c>
      <c r="AT8" s="279"/>
      <c r="AU8" s="366">
        <v>89</v>
      </c>
      <c r="AV8" s="401">
        <v>42388</v>
      </c>
      <c r="AW8" s="366">
        <v>85</v>
      </c>
      <c r="AX8" s="534">
        <v>4375000</v>
      </c>
      <c r="AY8" s="535"/>
      <c r="AZ8" s="535"/>
      <c r="BA8" s="535"/>
      <c r="BB8" s="535"/>
      <c r="BC8" s="535"/>
      <c r="BD8" s="535"/>
      <c r="BE8" s="535"/>
      <c r="BF8" s="535">
        <v>3750000</v>
      </c>
      <c r="BG8" s="535"/>
      <c r="BH8" s="535"/>
      <c r="BI8" s="535"/>
      <c r="BJ8" s="535">
        <v>625000</v>
      </c>
      <c r="BK8" s="535">
        <f t="shared" si="6"/>
        <v>4375000</v>
      </c>
      <c r="BL8" s="535">
        <f t="shared" si="7"/>
        <v>0</v>
      </c>
      <c r="BM8" s="543">
        <f t="shared" si="8"/>
        <v>1</v>
      </c>
      <c r="BN8" s="535"/>
    </row>
    <row r="9" spans="1:66" s="33" customFormat="1" x14ac:dyDescent="0.25">
      <c r="A9" s="493">
        <v>104</v>
      </c>
      <c r="B9" s="67" t="s">
        <v>58</v>
      </c>
      <c r="C9" s="493">
        <v>1149</v>
      </c>
      <c r="D9" s="67" t="s">
        <v>60</v>
      </c>
      <c r="E9" s="493">
        <v>1</v>
      </c>
      <c r="F9" s="570"/>
      <c r="G9" s="570"/>
      <c r="H9" s="570"/>
      <c r="I9" s="570"/>
      <c r="J9" s="570"/>
      <c r="K9" s="653"/>
      <c r="L9" s="502" t="s">
        <v>1510</v>
      </c>
      <c r="M9" s="192" t="s">
        <v>1119</v>
      </c>
      <c r="N9" s="192" t="s">
        <v>63</v>
      </c>
      <c r="O9" s="192" t="s">
        <v>1507</v>
      </c>
      <c r="P9" s="431" t="s">
        <v>1502</v>
      </c>
      <c r="Q9" s="428">
        <v>42186</v>
      </c>
      <c r="R9" s="455">
        <v>42185</v>
      </c>
      <c r="S9" s="192" t="s">
        <v>1509</v>
      </c>
      <c r="T9" s="431">
        <v>75</v>
      </c>
      <c r="U9" s="192" t="s">
        <v>1287</v>
      </c>
      <c r="V9" s="431" t="s">
        <v>327</v>
      </c>
      <c r="W9" s="192">
        <v>8300776445</v>
      </c>
      <c r="X9" s="192">
        <v>2800</v>
      </c>
      <c r="Y9" s="192" t="s">
        <v>884</v>
      </c>
      <c r="Z9" s="192"/>
      <c r="AA9" s="459">
        <v>516</v>
      </c>
      <c r="AB9" s="432">
        <v>42167</v>
      </c>
      <c r="AC9" s="459">
        <v>647</v>
      </c>
      <c r="AD9" s="534">
        <v>10573499</v>
      </c>
      <c r="AE9" s="535"/>
      <c r="AF9" s="535"/>
      <c r="AG9" s="535"/>
      <c r="AH9" s="535"/>
      <c r="AI9" s="535"/>
      <c r="AJ9" s="535"/>
      <c r="AK9" s="535"/>
      <c r="AL9" s="535"/>
      <c r="AM9" s="535"/>
      <c r="AN9" s="535"/>
      <c r="AO9" s="535"/>
      <c r="AP9" s="535"/>
      <c r="AQ9" s="535">
        <f t="shared" si="0"/>
        <v>0</v>
      </c>
      <c r="AR9" s="535">
        <f t="shared" si="1"/>
        <v>10573499</v>
      </c>
      <c r="AS9" s="540">
        <f t="shared" si="2"/>
        <v>0</v>
      </c>
      <c r="AT9" s="279"/>
      <c r="AU9" s="366">
        <v>90</v>
      </c>
      <c r="AV9" s="173"/>
      <c r="AW9" s="366">
        <v>237</v>
      </c>
      <c r="AX9" s="534">
        <v>10573499</v>
      </c>
      <c r="AY9" s="535"/>
      <c r="AZ9" s="535"/>
      <c r="BA9" s="535">
        <v>3357833</v>
      </c>
      <c r="BB9" s="535"/>
      <c r="BC9" s="535"/>
      <c r="BD9" s="535"/>
      <c r="BE9" s="535"/>
      <c r="BF9" s="535">
        <v>5915666</v>
      </c>
      <c r="BG9" s="535"/>
      <c r="BH9" s="535"/>
      <c r="BI9" s="535"/>
      <c r="BJ9" s="535">
        <v>1300000</v>
      </c>
      <c r="BK9" s="535">
        <f t="shared" si="6"/>
        <v>10573499</v>
      </c>
      <c r="BL9" s="535">
        <f t="shared" si="7"/>
        <v>0</v>
      </c>
      <c r="BM9" s="543">
        <f t="shared" si="8"/>
        <v>1</v>
      </c>
      <c r="BN9" s="535"/>
    </row>
    <row r="10" spans="1:66" s="33" customFormat="1" x14ac:dyDescent="0.25">
      <c r="A10" s="493">
        <v>104</v>
      </c>
      <c r="B10" s="67" t="s">
        <v>58</v>
      </c>
      <c r="C10" s="493">
        <v>1149</v>
      </c>
      <c r="D10" s="67" t="s">
        <v>60</v>
      </c>
      <c r="E10" s="493">
        <v>1</v>
      </c>
      <c r="F10" s="570"/>
      <c r="G10" s="570"/>
      <c r="H10" s="570"/>
      <c r="I10" s="570"/>
      <c r="J10" s="570"/>
      <c r="K10" s="653"/>
      <c r="L10" s="502" t="s">
        <v>1508</v>
      </c>
      <c r="M10" s="192" t="s">
        <v>1119</v>
      </c>
      <c r="N10" s="192" t="s">
        <v>63</v>
      </c>
      <c r="O10" s="192" t="s">
        <v>1507</v>
      </c>
      <c r="P10" s="431" t="s">
        <v>1502</v>
      </c>
      <c r="Q10" s="428">
        <v>42187</v>
      </c>
      <c r="R10" s="455">
        <v>42132</v>
      </c>
      <c r="S10" s="192" t="s">
        <v>807</v>
      </c>
      <c r="T10" s="431">
        <v>104</v>
      </c>
      <c r="U10" s="192" t="s">
        <v>1287</v>
      </c>
      <c r="V10" s="431" t="s">
        <v>327</v>
      </c>
      <c r="W10" s="192">
        <v>8300776445</v>
      </c>
      <c r="X10" s="192">
        <v>46</v>
      </c>
      <c r="Y10" s="192" t="s">
        <v>483</v>
      </c>
      <c r="Z10" s="192"/>
      <c r="AA10" s="459">
        <v>479</v>
      </c>
      <c r="AB10" s="432">
        <v>42123</v>
      </c>
      <c r="AC10" s="459">
        <v>545</v>
      </c>
      <c r="AD10" s="534">
        <v>63499998</v>
      </c>
      <c r="AE10" s="535"/>
      <c r="AF10" s="535"/>
      <c r="AG10" s="535"/>
      <c r="AH10" s="535"/>
      <c r="AI10" s="535"/>
      <c r="AJ10" s="535"/>
      <c r="AK10" s="535"/>
      <c r="AL10" s="535"/>
      <c r="AM10" s="535"/>
      <c r="AN10" s="535"/>
      <c r="AO10" s="535"/>
      <c r="AP10" s="535"/>
      <c r="AQ10" s="535">
        <f t="shared" si="0"/>
        <v>0</v>
      </c>
      <c r="AR10" s="535">
        <f t="shared" si="1"/>
        <v>63499998</v>
      </c>
      <c r="AS10" s="540"/>
      <c r="AT10" s="279"/>
      <c r="AU10" s="366">
        <v>60</v>
      </c>
      <c r="AV10" s="173"/>
      <c r="AW10" s="366">
        <v>241</v>
      </c>
      <c r="AX10" s="534">
        <v>63499998</v>
      </c>
      <c r="AY10" s="535"/>
      <c r="AZ10" s="535"/>
      <c r="BA10" s="535"/>
      <c r="BB10" s="535"/>
      <c r="BC10" s="535"/>
      <c r="BD10" s="535"/>
      <c r="BE10" s="535"/>
      <c r="BF10" s="535"/>
      <c r="BG10" s="535"/>
      <c r="BH10" s="535"/>
      <c r="BI10" s="535">
        <v>6533408</v>
      </c>
      <c r="BJ10" s="535"/>
      <c r="BK10" s="535">
        <f t="shared" si="6"/>
        <v>6533408</v>
      </c>
      <c r="BL10" s="535">
        <f t="shared" si="7"/>
        <v>56966590</v>
      </c>
      <c r="BM10" s="543">
        <f t="shared" si="8"/>
        <v>0.10288831820120688</v>
      </c>
      <c r="BN10" s="535"/>
    </row>
    <row r="11" spans="1:66" s="33" customFormat="1" x14ac:dyDescent="0.25">
      <c r="A11" s="493">
        <v>104</v>
      </c>
      <c r="B11" s="67" t="s">
        <v>58</v>
      </c>
      <c r="C11" s="493">
        <v>1149</v>
      </c>
      <c r="D11" s="67" t="s">
        <v>60</v>
      </c>
      <c r="E11" s="493">
        <v>1</v>
      </c>
      <c r="F11" s="570"/>
      <c r="G11" s="570"/>
      <c r="H11" s="570"/>
      <c r="I11" s="570"/>
      <c r="J11" s="570"/>
      <c r="K11" s="653"/>
      <c r="L11" s="502" t="s">
        <v>1579</v>
      </c>
      <c r="M11" s="192" t="s">
        <v>1119</v>
      </c>
      <c r="N11" s="192" t="s">
        <v>63</v>
      </c>
      <c r="O11" s="192" t="s">
        <v>793</v>
      </c>
      <c r="P11" s="431" t="s">
        <v>1502</v>
      </c>
      <c r="Q11" s="428">
        <v>42335</v>
      </c>
      <c r="R11" s="455">
        <v>42335</v>
      </c>
      <c r="S11" s="192" t="s">
        <v>724</v>
      </c>
      <c r="T11" s="431">
        <v>132</v>
      </c>
      <c r="U11" s="192" t="s">
        <v>1287</v>
      </c>
      <c r="V11" s="431" t="s">
        <v>327</v>
      </c>
      <c r="W11" s="192">
        <v>8300776445</v>
      </c>
      <c r="X11" s="192">
        <v>218</v>
      </c>
      <c r="Y11" s="192" t="s">
        <v>884</v>
      </c>
      <c r="Z11" s="192"/>
      <c r="AA11" s="459">
        <v>671</v>
      </c>
      <c r="AB11" s="432">
        <v>42317</v>
      </c>
      <c r="AC11" s="459">
        <v>869</v>
      </c>
      <c r="AD11" s="534">
        <v>10220966</v>
      </c>
      <c r="AE11" s="535"/>
      <c r="AF11" s="535"/>
      <c r="AG11" s="535"/>
      <c r="AH11" s="535"/>
      <c r="AI11" s="535"/>
      <c r="AJ11" s="535"/>
      <c r="AK11" s="535"/>
      <c r="AL11" s="535"/>
      <c r="AM11" s="535"/>
      <c r="AN11" s="535"/>
      <c r="AO11" s="535"/>
      <c r="AP11" s="535"/>
      <c r="AQ11" s="535">
        <f t="shared" si="0"/>
        <v>0</v>
      </c>
      <c r="AR11" s="535">
        <f t="shared" si="1"/>
        <v>10220966</v>
      </c>
      <c r="AS11" s="540"/>
      <c r="AT11" s="279"/>
      <c r="AU11" s="366">
        <v>186</v>
      </c>
      <c r="AV11" s="173"/>
      <c r="AW11" s="366">
        <v>236</v>
      </c>
      <c r="AX11" s="534">
        <v>10220966</v>
      </c>
      <c r="AY11" s="535"/>
      <c r="AZ11" s="535"/>
      <c r="BA11" s="535"/>
      <c r="BB11" s="535"/>
      <c r="BC11" s="535"/>
      <c r="BD11" s="535"/>
      <c r="BE11" s="535"/>
      <c r="BF11" s="535">
        <v>2006740</v>
      </c>
      <c r="BG11" s="535"/>
      <c r="BH11" s="535"/>
      <c r="BI11" s="535"/>
      <c r="BJ11" s="535"/>
      <c r="BK11" s="535">
        <f t="shared" si="6"/>
        <v>2006740</v>
      </c>
      <c r="BL11" s="535">
        <f t="shared" si="7"/>
        <v>8214226</v>
      </c>
      <c r="BM11" s="543">
        <f t="shared" si="8"/>
        <v>0.19633564968320999</v>
      </c>
      <c r="BN11" s="535"/>
    </row>
    <row r="12" spans="1:66" s="25" customFormat="1" x14ac:dyDescent="0.25">
      <c r="A12" s="490">
        <v>105</v>
      </c>
      <c r="B12" s="63" t="s">
        <v>65</v>
      </c>
      <c r="C12" s="490">
        <v>1149</v>
      </c>
      <c r="D12" s="63" t="s">
        <v>60</v>
      </c>
      <c r="E12" s="490">
        <v>2</v>
      </c>
      <c r="F12" s="559" t="s">
        <v>53</v>
      </c>
      <c r="G12" s="559">
        <v>1200</v>
      </c>
      <c r="H12" s="559" t="s">
        <v>61</v>
      </c>
      <c r="I12" s="559" t="s">
        <v>66</v>
      </c>
      <c r="J12" s="559"/>
      <c r="K12" s="606"/>
      <c r="L12" s="502" t="s">
        <v>1514</v>
      </c>
      <c r="M12" s="192" t="s">
        <v>1119</v>
      </c>
      <c r="N12" s="192" t="s">
        <v>63</v>
      </c>
      <c r="O12" s="192" t="s">
        <v>1518</v>
      </c>
      <c r="P12" s="431" t="s">
        <v>1502</v>
      </c>
      <c r="Q12" s="428">
        <v>42198</v>
      </c>
      <c r="R12" s="455">
        <v>42211</v>
      </c>
      <c r="S12" s="192" t="s">
        <v>724</v>
      </c>
      <c r="T12" s="431">
        <v>74</v>
      </c>
      <c r="U12" s="192" t="s">
        <v>1287</v>
      </c>
      <c r="V12" s="431" t="s">
        <v>327</v>
      </c>
      <c r="W12" s="192">
        <v>8300776445</v>
      </c>
      <c r="X12" s="192">
        <v>37</v>
      </c>
      <c r="Y12" s="192" t="s">
        <v>884</v>
      </c>
      <c r="Z12" s="192"/>
      <c r="AA12" s="459">
        <v>518</v>
      </c>
      <c r="AB12" s="432">
        <v>42167</v>
      </c>
      <c r="AC12" s="459">
        <v>659</v>
      </c>
      <c r="AD12" s="534">
        <v>13479036</v>
      </c>
      <c r="AE12" s="535"/>
      <c r="AF12" s="535"/>
      <c r="AG12" s="535"/>
      <c r="AH12" s="535"/>
      <c r="AI12" s="535"/>
      <c r="AJ12" s="535"/>
      <c r="AK12" s="535"/>
      <c r="AL12" s="535"/>
      <c r="AM12" s="535"/>
      <c r="AN12" s="535"/>
      <c r="AO12" s="535"/>
      <c r="AP12" s="535"/>
      <c r="AQ12" s="535">
        <f t="shared" si="0"/>
        <v>0</v>
      </c>
      <c r="AR12" s="535">
        <f t="shared" si="1"/>
        <v>13479036</v>
      </c>
      <c r="AS12" s="540">
        <f t="shared" si="2"/>
        <v>0</v>
      </c>
      <c r="AT12" s="192"/>
      <c r="AU12" s="366">
        <v>95</v>
      </c>
      <c r="AV12" s="173"/>
      <c r="AW12" s="366">
        <v>238</v>
      </c>
      <c r="AX12" s="534">
        <v>13479036</v>
      </c>
      <c r="AY12" s="535"/>
      <c r="AZ12" s="535"/>
      <c r="BA12" s="535"/>
      <c r="BB12" s="535"/>
      <c r="BC12" s="535"/>
      <c r="BD12" s="535"/>
      <c r="BE12" s="535"/>
      <c r="BF12" s="535"/>
      <c r="BG12" s="535"/>
      <c r="BH12" s="535"/>
      <c r="BI12" s="535"/>
      <c r="BJ12" s="535"/>
      <c r="BK12" s="535">
        <f t="shared" si="6"/>
        <v>0</v>
      </c>
      <c r="BL12" s="535">
        <f t="shared" si="7"/>
        <v>13479036</v>
      </c>
      <c r="BM12" s="543">
        <f t="shared" si="8"/>
        <v>0</v>
      </c>
      <c r="BN12" s="535"/>
    </row>
    <row r="13" spans="1:66" s="25" customFormat="1" x14ac:dyDescent="0.25">
      <c r="A13" s="490">
        <v>105</v>
      </c>
      <c r="B13" s="63" t="s">
        <v>65</v>
      </c>
      <c r="C13" s="490">
        <v>1149</v>
      </c>
      <c r="D13" s="63" t="s">
        <v>60</v>
      </c>
      <c r="E13" s="490">
        <v>2</v>
      </c>
      <c r="F13" s="559"/>
      <c r="G13" s="559"/>
      <c r="H13" s="559"/>
      <c r="I13" s="559"/>
      <c r="J13" s="559"/>
      <c r="K13" s="606"/>
      <c r="L13" s="502" t="s">
        <v>1515</v>
      </c>
      <c r="M13" s="192" t="s">
        <v>1119</v>
      </c>
      <c r="N13" s="192" t="s">
        <v>63</v>
      </c>
      <c r="O13" s="192" t="s">
        <v>1518</v>
      </c>
      <c r="P13" s="431" t="s">
        <v>1502</v>
      </c>
      <c r="Q13" s="428">
        <v>42198</v>
      </c>
      <c r="R13" s="455">
        <v>42645</v>
      </c>
      <c r="S13" s="192" t="s">
        <v>724</v>
      </c>
      <c r="T13" s="431">
        <v>76</v>
      </c>
      <c r="U13" s="192" t="s">
        <v>1287</v>
      </c>
      <c r="V13" s="431" t="s">
        <v>327</v>
      </c>
      <c r="W13" s="192">
        <v>8300776445</v>
      </c>
      <c r="X13" s="192">
        <v>1200</v>
      </c>
      <c r="Y13" s="192" t="s">
        <v>884</v>
      </c>
      <c r="Z13" s="192"/>
      <c r="AA13" s="459">
        <v>555</v>
      </c>
      <c r="AB13" s="432">
        <v>42181</v>
      </c>
      <c r="AC13" s="459">
        <v>660</v>
      </c>
      <c r="AD13" s="534">
        <v>63048645</v>
      </c>
      <c r="AE13" s="535"/>
      <c r="AF13" s="535"/>
      <c r="AG13" s="535"/>
      <c r="AH13" s="535"/>
      <c r="AI13" s="535"/>
      <c r="AJ13" s="535"/>
      <c r="AK13" s="535"/>
      <c r="AL13" s="535"/>
      <c r="AM13" s="535"/>
      <c r="AN13" s="535"/>
      <c r="AO13" s="535"/>
      <c r="AP13" s="535"/>
      <c r="AQ13" s="535">
        <f t="shared" si="0"/>
        <v>0</v>
      </c>
      <c r="AR13" s="535">
        <f t="shared" si="1"/>
        <v>63048645</v>
      </c>
      <c r="AS13" s="540">
        <f t="shared" si="2"/>
        <v>0</v>
      </c>
      <c r="AT13" s="192"/>
      <c r="AU13" s="366">
        <v>96</v>
      </c>
      <c r="AV13" s="173"/>
      <c r="AW13" s="366">
        <v>240</v>
      </c>
      <c r="AX13" s="534">
        <v>63048645</v>
      </c>
      <c r="AY13" s="535"/>
      <c r="AZ13" s="535"/>
      <c r="BA13" s="535"/>
      <c r="BB13" s="535"/>
      <c r="BC13" s="535"/>
      <c r="BD13" s="535"/>
      <c r="BE13" s="535"/>
      <c r="BF13" s="535">
        <v>16986465</v>
      </c>
      <c r="BG13" s="535"/>
      <c r="BH13" s="535"/>
      <c r="BI13" s="535"/>
      <c r="BJ13" s="535">
        <v>38341135</v>
      </c>
      <c r="BK13" s="535">
        <f t="shared" si="6"/>
        <v>55327600</v>
      </c>
      <c r="BL13" s="535">
        <f t="shared" si="7"/>
        <v>7721045</v>
      </c>
      <c r="BM13" s="543">
        <f t="shared" si="8"/>
        <v>0.87753828809485124</v>
      </c>
      <c r="BN13" s="535"/>
    </row>
    <row r="14" spans="1:66" s="25" customFormat="1" x14ac:dyDescent="0.25">
      <c r="A14" s="490">
        <v>105</v>
      </c>
      <c r="B14" s="63" t="s">
        <v>65</v>
      </c>
      <c r="C14" s="490">
        <v>1149</v>
      </c>
      <c r="D14" s="63" t="s">
        <v>60</v>
      </c>
      <c r="E14" s="490">
        <v>2</v>
      </c>
      <c r="F14" s="559"/>
      <c r="G14" s="559"/>
      <c r="H14" s="559"/>
      <c r="I14" s="559"/>
      <c r="J14" s="559"/>
      <c r="K14" s="606"/>
      <c r="L14" s="502" t="s">
        <v>1516</v>
      </c>
      <c r="M14" s="192" t="s">
        <v>1119</v>
      </c>
      <c r="N14" s="192" t="s">
        <v>63</v>
      </c>
      <c r="O14" s="192" t="s">
        <v>1518</v>
      </c>
      <c r="P14" s="431" t="s">
        <v>797</v>
      </c>
      <c r="Q14" s="428">
        <v>42188</v>
      </c>
      <c r="R14" s="455">
        <v>42645</v>
      </c>
      <c r="S14" s="192" t="s">
        <v>724</v>
      </c>
      <c r="T14" s="431">
        <v>179</v>
      </c>
      <c r="U14" s="192" t="s">
        <v>798</v>
      </c>
      <c r="V14" s="431" t="s">
        <v>819</v>
      </c>
      <c r="W14" s="192">
        <v>52268409</v>
      </c>
      <c r="X14" s="192" t="s">
        <v>90</v>
      </c>
      <c r="Y14" s="192" t="s">
        <v>884</v>
      </c>
      <c r="Z14" s="192"/>
      <c r="AA14" s="459">
        <v>554</v>
      </c>
      <c r="AB14" s="432">
        <v>42181</v>
      </c>
      <c r="AC14" s="459">
        <v>649</v>
      </c>
      <c r="AD14" s="534">
        <v>3600000</v>
      </c>
      <c r="AE14" s="535"/>
      <c r="AF14" s="535"/>
      <c r="AG14" s="535"/>
      <c r="AH14" s="535"/>
      <c r="AI14" s="535"/>
      <c r="AJ14" s="535"/>
      <c r="AK14" s="535"/>
      <c r="AL14" s="535"/>
      <c r="AM14" s="535"/>
      <c r="AN14" s="535"/>
      <c r="AO14" s="535"/>
      <c r="AP14" s="535">
        <v>1200000</v>
      </c>
      <c r="AQ14" s="535">
        <f t="shared" si="0"/>
        <v>1200000</v>
      </c>
      <c r="AR14" s="535">
        <f t="shared" si="1"/>
        <v>2400000</v>
      </c>
      <c r="AS14" s="540"/>
      <c r="AT14" s="192"/>
      <c r="AU14" s="366">
        <v>92</v>
      </c>
      <c r="AV14" s="401">
        <v>42388</v>
      </c>
      <c r="AW14" s="366">
        <v>87</v>
      </c>
      <c r="AX14" s="534">
        <v>2400000</v>
      </c>
      <c r="AY14" s="535"/>
      <c r="AZ14" s="535"/>
      <c r="BA14" s="535"/>
      <c r="BB14" s="535"/>
      <c r="BC14" s="535"/>
      <c r="BD14" s="535"/>
      <c r="BE14" s="535"/>
      <c r="BF14" s="535">
        <v>1200000</v>
      </c>
      <c r="BG14" s="535"/>
      <c r="BH14" s="535"/>
      <c r="BI14" s="535"/>
      <c r="BJ14" s="535">
        <v>1200000</v>
      </c>
      <c r="BK14" s="535">
        <f t="shared" si="6"/>
        <v>2400000</v>
      </c>
      <c r="BL14" s="535">
        <f t="shared" si="7"/>
        <v>0</v>
      </c>
      <c r="BM14" s="543">
        <f t="shared" si="8"/>
        <v>1</v>
      </c>
      <c r="BN14" s="535"/>
    </row>
    <row r="15" spans="1:66" s="25" customFormat="1" x14ac:dyDescent="0.25">
      <c r="A15" s="490">
        <v>105</v>
      </c>
      <c r="B15" s="63" t="s">
        <v>65</v>
      </c>
      <c r="C15" s="490">
        <v>1149</v>
      </c>
      <c r="D15" s="63" t="s">
        <v>60</v>
      </c>
      <c r="E15" s="490">
        <v>2</v>
      </c>
      <c r="F15" s="559"/>
      <c r="G15" s="559"/>
      <c r="H15" s="559"/>
      <c r="I15" s="559"/>
      <c r="J15" s="559"/>
      <c r="K15" s="606"/>
      <c r="L15" s="502" t="s">
        <v>1517</v>
      </c>
      <c r="M15" s="192" t="s">
        <v>1119</v>
      </c>
      <c r="N15" s="192" t="s">
        <v>63</v>
      </c>
      <c r="O15" s="192" t="s">
        <v>1518</v>
      </c>
      <c r="P15" s="431" t="s">
        <v>797</v>
      </c>
      <c r="Q15" s="428">
        <v>42188</v>
      </c>
      <c r="R15" s="455">
        <v>42211</v>
      </c>
      <c r="S15" s="192" t="s">
        <v>724</v>
      </c>
      <c r="T15" s="431">
        <v>104</v>
      </c>
      <c r="U15" s="192" t="s">
        <v>798</v>
      </c>
      <c r="V15" s="166" t="s">
        <v>799</v>
      </c>
      <c r="W15" s="192">
        <v>80240788</v>
      </c>
      <c r="X15" s="192" t="s">
        <v>90</v>
      </c>
      <c r="Y15" s="192" t="s">
        <v>1304</v>
      </c>
      <c r="Z15" s="192"/>
      <c r="AA15" s="459">
        <v>517</v>
      </c>
      <c r="AB15" s="432">
        <v>42167</v>
      </c>
      <c r="AC15" s="459">
        <v>650</v>
      </c>
      <c r="AD15" s="534">
        <v>3810000</v>
      </c>
      <c r="AE15" s="535"/>
      <c r="AF15" s="535"/>
      <c r="AG15" s="536">
        <v>3810000</v>
      </c>
      <c r="AH15" s="535"/>
      <c r="AI15" s="535"/>
      <c r="AJ15" s="535"/>
      <c r="AK15" s="535"/>
      <c r="AL15" s="535"/>
      <c r="AM15" s="535"/>
      <c r="AN15" s="535"/>
      <c r="AO15" s="535"/>
      <c r="AP15" s="535"/>
      <c r="AQ15" s="535">
        <f t="shared" si="0"/>
        <v>3810000</v>
      </c>
      <c r="AR15" s="535">
        <f t="shared" si="1"/>
        <v>0</v>
      </c>
      <c r="AS15" s="540"/>
      <c r="AT15" s="192"/>
      <c r="AU15" s="366">
        <v>93</v>
      </c>
      <c r="AV15" s="401">
        <v>42388</v>
      </c>
      <c r="AW15" s="366">
        <v>88</v>
      </c>
      <c r="AX15" s="534">
        <v>3810000</v>
      </c>
      <c r="AY15" s="535"/>
      <c r="AZ15" s="535"/>
      <c r="BA15" s="535">
        <v>3810000</v>
      </c>
      <c r="BB15" s="535"/>
      <c r="BC15" s="535"/>
      <c r="BD15" s="535"/>
      <c r="BE15" s="535"/>
      <c r="BF15" s="535"/>
      <c r="BG15" s="535"/>
      <c r="BH15" s="535"/>
      <c r="BI15" s="535"/>
      <c r="BJ15" s="535"/>
      <c r="BK15" s="535">
        <f t="shared" si="6"/>
        <v>3810000</v>
      </c>
      <c r="BL15" s="535">
        <f t="shared" si="7"/>
        <v>0</v>
      </c>
      <c r="BM15" s="543">
        <f t="shared" si="8"/>
        <v>1</v>
      </c>
      <c r="BN15" s="535"/>
    </row>
    <row r="16" spans="1:66" s="25" customFormat="1" x14ac:dyDescent="0.25">
      <c r="A16" s="490">
        <v>106</v>
      </c>
      <c r="B16" s="63" t="s">
        <v>67</v>
      </c>
      <c r="C16" s="490">
        <v>1149</v>
      </c>
      <c r="D16" s="63" t="s">
        <v>60</v>
      </c>
      <c r="E16" s="490">
        <v>3</v>
      </c>
      <c r="F16" s="584" t="s">
        <v>53</v>
      </c>
      <c r="G16" s="584">
        <v>320</v>
      </c>
      <c r="H16" s="584" t="s">
        <v>61</v>
      </c>
      <c r="I16" s="584" t="s">
        <v>69</v>
      </c>
      <c r="J16" s="584"/>
      <c r="K16" s="654"/>
      <c r="L16" s="431" t="s">
        <v>1505</v>
      </c>
      <c r="M16" s="192" t="s">
        <v>1119</v>
      </c>
      <c r="N16" s="192" t="s">
        <v>63</v>
      </c>
      <c r="O16" s="192" t="s">
        <v>1503</v>
      </c>
      <c r="P16" s="431" t="s">
        <v>1026</v>
      </c>
      <c r="Q16" s="428">
        <v>42132</v>
      </c>
      <c r="R16" s="455">
        <v>42132</v>
      </c>
      <c r="S16" s="192" t="s">
        <v>724</v>
      </c>
      <c r="T16" s="431">
        <v>121</v>
      </c>
      <c r="U16" s="192" t="s">
        <v>418</v>
      </c>
      <c r="V16" s="431" t="s">
        <v>368</v>
      </c>
      <c r="W16" s="192">
        <v>41731432</v>
      </c>
      <c r="X16" s="433" t="s">
        <v>90</v>
      </c>
      <c r="Y16" s="192" t="s">
        <v>483</v>
      </c>
      <c r="Z16" s="192"/>
      <c r="AA16" s="459">
        <v>482</v>
      </c>
      <c r="AB16" s="432">
        <v>42124</v>
      </c>
      <c r="AC16" s="459">
        <v>543</v>
      </c>
      <c r="AD16" s="534">
        <v>5142856</v>
      </c>
      <c r="AE16" s="535"/>
      <c r="AF16" s="535"/>
      <c r="AG16" s="535"/>
      <c r="AH16" s="535"/>
      <c r="AI16" s="535"/>
      <c r="AJ16" s="535"/>
      <c r="AK16" s="535"/>
      <c r="AL16" s="535"/>
      <c r="AM16" s="535">
        <v>142857</v>
      </c>
      <c r="AN16" s="535">
        <v>1285714</v>
      </c>
      <c r="AO16" s="535"/>
      <c r="AP16" s="535">
        <v>571429</v>
      </c>
      <c r="AQ16" s="535">
        <f t="shared" si="0"/>
        <v>2000000</v>
      </c>
      <c r="AR16" s="535">
        <f t="shared" si="1"/>
        <v>3142856</v>
      </c>
      <c r="AS16" s="540">
        <f t="shared" ref="AS16:AS27" si="9">+AQ16/AD16</f>
        <v>0.38888897530866118</v>
      </c>
      <c r="AT16" s="192"/>
      <c r="AU16" s="366">
        <v>58</v>
      </c>
      <c r="AV16" s="401">
        <v>42388</v>
      </c>
      <c r="AW16" s="366">
        <v>60</v>
      </c>
      <c r="AX16" s="534">
        <v>3142856</v>
      </c>
      <c r="AY16" s="535"/>
      <c r="AZ16" s="535"/>
      <c r="BA16" s="535"/>
      <c r="BB16" s="535"/>
      <c r="BC16" s="535"/>
      <c r="BD16" s="535"/>
      <c r="BE16" s="535"/>
      <c r="BF16" s="535">
        <v>1285714</v>
      </c>
      <c r="BG16" s="535"/>
      <c r="BH16" s="535"/>
      <c r="BI16" s="535"/>
      <c r="BJ16" s="535"/>
      <c r="BK16" s="535">
        <f t="shared" si="6"/>
        <v>1285714</v>
      </c>
      <c r="BL16" s="535">
        <f t="shared" si="7"/>
        <v>1857142</v>
      </c>
      <c r="BM16" s="543">
        <f t="shared" si="8"/>
        <v>0.40909096694216979</v>
      </c>
      <c r="BN16" s="535"/>
    </row>
    <row r="17" spans="1:66" s="25" customFormat="1" x14ac:dyDescent="0.25">
      <c r="A17" s="490">
        <v>106</v>
      </c>
      <c r="B17" s="63" t="s">
        <v>67</v>
      </c>
      <c r="C17" s="490">
        <v>1149</v>
      </c>
      <c r="D17" s="63" t="s">
        <v>60</v>
      </c>
      <c r="E17" s="490">
        <v>3</v>
      </c>
      <c r="F17" s="585"/>
      <c r="G17" s="585"/>
      <c r="H17" s="585"/>
      <c r="I17" s="585"/>
      <c r="J17" s="585"/>
      <c r="K17" s="655"/>
      <c r="L17" s="431" t="s">
        <v>1504</v>
      </c>
      <c r="M17" s="192" t="s">
        <v>1119</v>
      </c>
      <c r="N17" s="192" t="s">
        <v>63</v>
      </c>
      <c r="O17" s="192" t="s">
        <v>1503</v>
      </c>
      <c r="P17" s="431" t="s">
        <v>1502</v>
      </c>
      <c r="Q17" s="428">
        <v>42132</v>
      </c>
      <c r="R17" s="455">
        <v>42132</v>
      </c>
      <c r="S17" s="192" t="s">
        <v>724</v>
      </c>
      <c r="T17" s="431">
        <v>77</v>
      </c>
      <c r="U17" s="192" t="s">
        <v>1287</v>
      </c>
      <c r="V17" s="431" t="s">
        <v>327</v>
      </c>
      <c r="W17" s="192">
        <v>8300776445</v>
      </c>
      <c r="X17" s="192">
        <v>60</v>
      </c>
      <c r="Y17" s="192" t="s">
        <v>483</v>
      </c>
      <c r="Z17" s="192"/>
      <c r="AA17" s="459">
        <v>480</v>
      </c>
      <c r="AB17" s="432">
        <v>42123</v>
      </c>
      <c r="AC17" s="459">
        <v>544</v>
      </c>
      <c r="AD17" s="534">
        <v>45500000</v>
      </c>
      <c r="AE17" s="535"/>
      <c r="AF17" s="535"/>
      <c r="AG17" s="535"/>
      <c r="AH17" s="535"/>
      <c r="AI17" s="535"/>
      <c r="AJ17" s="535"/>
      <c r="AK17" s="535"/>
      <c r="AL17" s="535"/>
      <c r="AM17" s="535">
        <v>3440160</v>
      </c>
      <c r="AN17" s="535"/>
      <c r="AO17" s="535"/>
      <c r="AP17" s="535"/>
      <c r="AQ17" s="535">
        <f t="shared" si="0"/>
        <v>3440160</v>
      </c>
      <c r="AR17" s="535">
        <f t="shared" si="1"/>
        <v>42059840</v>
      </c>
      <c r="AS17" s="540">
        <f t="shared" si="9"/>
        <v>7.5607912087912094E-2</v>
      </c>
      <c r="AT17" s="192"/>
      <c r="AU17" s="366">
        <v>59</v>
      </c>
      <c r="AV17" s="173"/>
      <c r="AW17" s="366">
        <v>239</v>
      </c>
      <c r="AX17" s="534">
        <v>42059840</v>
      </c>
      <c r="AY17" s="535"/>
      <c r="AZ17" s="535"/>
      <c r="BA17" s="535"/>
      <c r="BB17" s="535"/>
      <c r="BC17" s="535"/>
      <c r="BD17" s="535"/>
      <c r="BE17" s="535"/>
      <c r="BF17" s="535">
        <v>38980138</v>
      </c>
      <c r="BG17" s="535"/>
      <c r="BH17" s="535"/>
      <c r="BI17" s="535"/>
      <c r="BJ17" s="535"/>
      <c r="BK17" s="535">
        <f t="shared" si="6"/>
        <v>38980138</v>
      </c>
      <c r="BL17" s="535">
        <f t="shared" si="7"/>
        <v>3079702</v>
      </c>
      <c r="BM17" s="543">
        <f t="shared" si="8"/>
        <v>0.92677808569885189</v>
      </c>
      <c r="BN17" s="535"/>
    </row>
    <row r="18" spans="1:66" s="25" customFormat="1" x14ac:dyDescent="0.25">
      <c r="A18" s="490">
        <v>106</v>
      </c>
      <c r="B18" s="63" t="s">
        <v>67</v>
      </c>
      <c r="C18" s="490">
        <v>1149</v>
      </c>
      <c r="D18" s="63" t="s">
        <v>60</v>
      </c>
      <c r="E18" s="490">
        <v>3</v>
      </c>
      <c r="F18" s="590"/>
      <c r="G18" s="590"/>
      <c r="H18" s="590"/>
      <c r="I18" s="590"/>
      <c r="J18" s="590"/>
      <c r="K18" s="656"/>
      <c r="L18" s="431"/>
      <c r="M18" s="192"/>
      <c r="N18" s="192"/>
      <c r="O18" s="192"/>
      <c r="P18" s="431"/>
      <c r="Q18" s="428"/>
      <c r="R18" s="455"/>
      <c r="S18" s="192"/>
      <c r="T18" s="431"/>
      <c r="U18" s="192"/>
      <c r="V18" s="431"/>
      <c r="W18" s="192"/>
      <c r="X18" s="192"/>
      <c r="Y18" s="192"/>
      <c r="Z18" s="192"/>
      <c r="AA18" s="459"/>
      <c r="AB18" s="432"/>
      <c r="AC18" s="459"/>
      <c r="AD18" s="534"/>
      <c r="AE18" s="535"/>
      <c r="AF18" s="535"/>
      <c r="AG18" s="535"/>
      <c r="AH18" s="535"/>
      <c r="AI18" s="535"/>
      <c r="AJ18" s="535"/>
      <c r="AK18" s="535"/>
      <c r="AL18" s="535"/>
      <c r="AM18" s="535"/>
      <c r="AN18" s="535"/>
      <c r="AO18" s="535"/>
      <c r="AP18" s="535"/>
      <c r="AQ18" s="535"/>
      <c r="AR18" s="535"/>
      <c r="AS18" s="540"/>
      <c r="AT18" s="192"/>
      <c r="AU18" s="366"/>
      <c r="AV18" s="173"/>
      <c r="AW18" s="366"/>
      <c r="AX18" s="534"/>
      <c r="AY18" s="535"/>
      <c r="AZ18" s="535"/>
      <c r="BA18" s="535"/>
      <c r="BB18" s="535"/>
      <c r="BC18" s="535"/>
      <c r="BD18" s="535"/>
      <c r="BE18" s="535"/>
      <c r="BF18" s="535"/>
      <c r="BG18" s="535"/>
      <c r="BH18" s="535"/>
      <c r="BI18" s="535"/>
      <c r="BJ18" s="535"/>
      <c r="BK18" s="535">
        <f t="shared" si="6"/>
        <v>0</v>
      </c>
      <c r="BL18" s="535">
        <f t="shared" si="7"/>
        <v>0</v>
      </c>
      <c r="BM18" s="543" t="e">
        <f t="shared" si="8"/>
        <v>#DIV/0!</v>
      </c>
      <c r="BN18" s="535"/>
    </row>
    <row r="19" spans="1:66" s="25" customFormat="1" x14ac:dyDescent="0.25">
      <c r="A19" s="490">
        <v>107</v>
      </c>
      <c r="B19" s="63" t="s">
        <v>71</v>
      </c>
      <c r="C19" s="490">
        <v>1150</v>
      </c>
      <c r="D19" s="63" t="s">
        <v>73</v>
      </c>
      <c r="E19" s="490">
        <v>1</v>
      </c>
      <c r="F19" s="584" t="s">
        <v>53</v>
      </c>
      <c r="G19" s="584">
        <v>400</v>
      </c>
      <c r="H19" s="584" t="s">
        <v>74</v>
      </c>
      <c r="I19" s="584" t="s">
        <v>75</v>
      </c>
      <c r="J19" s="584"/>
      <c r="K19" s="654"/>
      <c r="L19" s="431" t="s">
        <v>1545</v>
      </c>
      <c r="M19" s="192" t="s">
        <v>1119</v>
      </c>
      <c r="N19" s="192" t="s">
        <v>76</v>
      </c>
      <c r="O19" s="192" t="s">
        <v>1424</v>
      </c>
      <c r="P19" s="431" t="s">
        <v>1562</v>
      </c>
      <c r="Q19" s="455">
        <v>42254</v>
      </c>
      <c r="R19" s="428">
        <v>42254</v>
      </c>
      <c r="S19" s="192" t="s">
        <v>512</v>
      </c>
      <c r="T19" s="431">
        <v>138</v>
      </c>
      <c r="U19" s="192" t="s">
        <v>1563</v>
      </c>
      <c r="V19" s="431" t="s">
        <v>376</v>
      </c>
      <c r="W19" s="192">
        <v>900413743</v>
      </c>
      <c r="X19" s="192" t="s">
        <v>1564</v>
      </c>
      <c r="Y19" s="192" t="s">
        <v>884</v>
      </c>
      <c r="Z19" s="192"/>
      <c r="AA19" s="459">
        <v>636</v>
      </c>
      <c r="AB19" s="432">
        <v>42251</v>
      </c>
      <c r="AC19" s="459">
        <v>761</v>
      </c>
      <c r="AD19" s="534">
        <v>41000000</v>
      </c>
      <c r="AE19" s="535"/>
      <c r="AF19" s="535"/>
      <c r="AG19" s="535"/>
      <c r="AH19" s="535"/>
      <c r="AI19" s="535"/>
      <c r="AJ19" s="535"/>
      <c r="AK19" s="535"/>
      <c r="AL19" s="535"/>
      <c r="AM19" s="535"/>
      <c r="AN19" s="535"/>
      <c r="AO19" s="535"/>
      <c r="AP19" s="535"/>
      <c r="AQ19" s="535">
        <f t="shared" si="0"/>
        <v>0</v>
      </c>
      <c r="AR19" s="535">
        <f t="shared" si="1"/>
        <v>41000000</v>
      </c>
      <c r="AS19" s="540">
        <f t="shared" si="9"/>
        <v>0</v>
      </c>
      <c r="AT19" s="192"/>
      <c r="AU19" s="366">
        <v>147</v>
      </c>
      <c r="AV19" s="401">
        <v>42388</v>
      </c>
      <c r="AW19" s="366">
        <v>140</v>
      </c>
      <c r="AX19" s="534">
        <v>41000000</v>
      </c>
      <c r="AY19" s="535"/>
      <c r="AZ19" s="535"/>
      <c r="BA19" s="535"/>
      <c r="BB19" s="535"/>
      <c r="BC19" s="535"/>
      <c r="BD19" s="535"/>
      <c r="BE19" s="535"/>
      <c r="BF19" s="535"/>
      <c r="BG19" s="535"/>
      <c r="BH19" s="535"/>
      <c r="BI19" s="535"/>
      <c r="BJ19" s="535"/>
      <c r="BK19" s="535">
        <f t="shared" si="6"/>
        <v>0</v>
      </c>
      <c r="BL19" s="535">
        <f t="shared" si="7"/>
        <v>41000000</v>
      </c>
      <c r="BM19" s="543">
        <f t="shared" si="8"/>
        <v>0</v>
      </c>
      <c r="BN19" s="535"/>
    </row>
    <row r="20" spans="1:66" s="25" customFormat="1" x14ac:dyDescent="0.25">
      <c r="A20" s="490">
        <v>107</v>
      </c>
      <c r="B20" s="63" t="s">
        <v>71</v>
      </c>
      <c r="C20" s="490">
        <v>1150</v>
      </c>
      <c r="D20" s="63" t="s">
        <v>73</v>
      </c>
      <c r="E20" s="490">
        <v>1</v>
      </c>
      <c r="F20" s="585"/>
      <c r="G20" s="585"/>
      <c r="H20" s="585"/>
      <c r="I20" s="585"/>
      <c r="J20" s="585"/>
      <c r="K20" s="655"/>
      <c r="L20" s="431"/>
      <c r="M20" s="192"/>
      <c r="N20" s="192"/>
      <c r="O20" s="192"/>
      <c r="P20" s="431"/>
      <c r="Q20" s="455"/>
      <c r="R20" s="428"/>
      <c r="S20" s="192"/>
      <c r="T20" s="431"/>
      <c r="U20" s="192"/>
      <c r="V20" s="431"/>
      <c r="W20" s="192"/>
      <c r="X20" s="192"/>
      <c r="Y20" s="192"/>
      <c r="Z20" s="192"/>
      <c r="AA20" s="459"/>
      <c r="AB20" s="432"/>
      <c r="AC20" s="459"/>
      <c r="AD20" s="534"/>
      <c r="AE20" s="535"/>
      <c r="AF20" s="535"/>
      <c r="AG20" s="535"/>
      <c r="AH20" s="535"/>
      <c r="AI20" s="535"/>
      <c r="AJ20" s="535"/>
      <c r="AK20" s="535"/>
      <c r="AL20" s="535"/>
      <c r="AM20" s="535"/>
      <c r="AN20" s="535"/>
      <c r="AO20" s="535"/>
      <c r="AP20" s="535"/>
      <c r="AQ20" s="535"/>
      <c r="AR20" s="535"/>
      <c r="AS20" s="540"/>
      <c r="AT20" s="192"/>
      <c r="AU20" s="366"/>
      <c r="AV20" s="401"/>
      <c r="AW20" s="366"/>
      <c r="AX20" s="534"/>
      <c r="AY20" s="535"/>
      <c r="AZ20" s="535"/>
      <c r="BA20" s="535"/>
      <c r="BB20" s="535"/>
      <c r="BC20" s="535"/>
      <c r="BD20" s="535"/>
      <c r="BE20" s="535"/>
      <c r="BF20" s="535"/>
      <c r="BG20" s="535"/>
      <c r="BH20" s="535"/>
      <c r="BI20" s="535"/>
      <c r="BJ20" s="535"/>
      <c r="BK20" s="535">
        <f t="shared" si="6"/>
        <v>0</v>
      </c>
      <c r="BL20" s="535">
        <f t="shared" si="7"/>
        <v>0</v>
      </c>
      <c r="BM20" s="543" t="e">
        <f t="shared" si="8"/>
        <v>#DIV/0!</v>
      </c>
      <c r="BN20" s="535"/>
    </row>
    <row r="21" spans="1:66" s="25" customFormat="1" x14ac:dyDescent="0.25">
      <c r="A21" s="490">
        <v>107</v>
      </c>
      <c r="B21" s="63" t="s">
        <v>71</v>
      </c>
      <c r="C21" s="490">
        <v>1150</v>
      </c>
      <c r="D21" s="63" t="s">
        <v>73</v>
      </c>
      <c r="E21" s="490">
        <v>1</v>
      </c>
      <c r="F21" s="590"/>
      <c r="G21" s="590"/>
      <c r="H21" s="590"/>
      <c r="I21" s="590"/>
      <c r="J21" s="590"/>
      <c r="K21" s="656"/>
      <c r="L21" s="431"/>
      <c r="M21" s="192"/>
      <c r="N21" s="192"/>
      <c r="O21" s="192"/>
      <c r="P21" s="431"/>
      <c r="Q21" s="455"/>
      <c r="R21" s="428"/>
      <c r="S21" s="192"/>
      <c r="T21" s="431"/>
      <c r="U21" s="192"/>
      <c r="V21" s="431"/>
      <c r="W21" s="192"/>
      <c r="X21" s="192"/>
      <c r="Y21" s="192"/>
      <c r="Z21" s="192"/>
      <c r="AA21" s="459"/>
      <c r="AB21" s="432"/>
      <c r="AC21" s="459"/>
      <c r="AD21" s="534"/>
      <c r="AE21" s="535"/>
      <c r="AF21" s="535"/>
      <c r="AG21" s="535"/>
      <c r="AH21" s="535"/>
      <c r="AI21" s="535"/>
      <c r="AJ21" s="535"/>
      <c r="AK21" s="535"/>
      <c r="AL21" s="535"/>
      <c r="AM21" s="535"/>
      <c r="AN21" s="535"/>
      <c r="AO21" s="535"/>
      <c r="AP21" s="535"/>
      <c r="AQ21" s="535"/>
      <c r="AR21" s="535"/>
      <c r="AS21" s="540"/>
      <c r="AT21" s="192"/>
      <c r="AU21" s="366"/>
      <c r="AV21" s="401"/>
      <c r="AW21" s="366"/>
      <c r="AX21" s="534"/>
      <c r="AY21" s="535"/>
      <c r="AZ21" s="535"/>
      <c r="BA21" s="535"/>
      <c r="BB21" s="535"/>
      <c r="BC21" s="535"/>
      <c r="BD21" s="535"/>
      <c r="BE21" s="535"/>
      <c r="BF21" s="535"/>
      <c r="BG21" s="535"/>
      <c r="BH21" s="535"/>
      <c r="BI21" s="535"/>
      <c r="BJ21" s="535"/>
      <c r="BK21" s="535">
        <f t="shared" si="6"/>
        <v>0</v>
      </c>
      <c r="BL21" s="535">
        <f t="shared" si="7"/>
        <v>0</v>
      </c>
      <c r="BM21" s="543" t="e">
        <f t="shared" si="8"/>
        <v>#DIV/0!</v>
      </c>
      <c r="BN21" s="535"/>
    </row>
    <row r="22" spans="1:66" s="25" customFormat="1" x14ac:dyDescent="0.25">
      <c r="A22" s="491">
        <v>108</v>
      </c>
      <c r="B22" s="65" t="s">
        <v>78</v>
      </c>
      <c r="C22" s="491">
        <v>1150</v>
      </c>
      <c r="D22" s="65" t="s">
        <v>73</v>
      </c>
      <c r="E22" s="491">
        <v>2</v>
      </c>
      <c r="F22" s="559" t="s">
        <v>80</v>
      </c>
      <c r="G22" s="559">
        <v>1000</v>
      </c>
      <c r="H22" s="559" t="s">
        <v>81</v>
      </c>
      <c r="I22" s="559" t="s">
        <v>82</v>
      </c>
      <c r="J22" s="559"/>
      <c r="K22" s="606"/>
      <c r="L22" s="431" t="s">
        <v>1501</v>
      </c>
      <c r="M22" s="192" t="s">
        <v>1119</v>
      </c>
      <c r="N22" s="192" t="s">
        <v>76</v>
      </c>
      <c r="O22" s="192" t="s">
        <v>793</v>
      </c>
      <c r="P22" s="431" t="s">
        <v>1108</v>
      </c>
      <c r="Q22" s="455">
        <v>42178</v>
      </c>
      <c r="R22" s="428">
        <v>42192</v>
      </c>
      <c r="S22" s="192" t="s">
        <v>441</v>
      </c>
      <c r="T22" s="431">
        <v>60</v>
      </c>
      <c r="U22" s="192" t="s">
        <v>1287</v>
      </c>
      <c r="V22" s="431" t="s">
        <v>415</v>
      </c>
      <c r="W22" s="192">
        <v>900320309</v>
      </c>
      <c r="X22" s="192">
        <v>300</v>
      </c>
      <c r="Y22" s="192" t="s">
        <v>1674</v>
      </c>
      <c r="Z22" s="192"/>
      <c r="AA22" s="459">
        <v>497</v>
      </c>
      <c r="AB22" s="432">
        <v>42138</v>
      </c>
      <c r="AC22" s="459">
        <v>604</v>
      </c>
      <c r="AD22" s="534">
        <v>100000000</v>
      </c>
      <c r="AE22" s="535"/>
      <c r="AF22" s="535"/>
      <c r="AG22" s="535"/>
      <c r="AH22" s="535"/>
      <c r="AI22" s="535"/>
      <c r="AJ22" s="535"/>
      <c r="AK22" s="535"/>
      <c r="AL22" s="535"/>
      <c r="AM22" s="535">
        <v>3500000</v>
      </c>
      <c r="AN22" s="535">
        <v>8257000</v>
      </c>
      <c r="AO22" s="535"/>
      <c r="AP22" s="535">
        <v>88243000</v>
      </c>
      <c r="AQ22" s="535">
        <f t="shared" si="0"/>
        <v>100000000</v>
      </c>
      <c r="AR22" s="535">
        <f t="shared" si="1"/>
        <v>0</v>
      </c>
      <c r="AS22" s="540">
        <f t="shared" si="9"/>
        <v>1</v>
      </c>
      <c r="AT22" s="192"/>
      <c r="AU22" s="366"/>
      <c r="AV22" s="173"/>
      <c r="AW22" s="366"/>
      <c r="AX22" s="534"/>
      <c r="AY22" s="535"/>
      <c r="AZ22" s="535"/>
      <c r="BA22" s="535"/>
      <c r="BB22" s="535"/>
      <c r="BC22" s="535"/>
      <c r="BD22" s="535"/>
      <c r="BE22" s="535"/>
      <c r="BF22" s="535"/>
      <c r="BG22" s="535"/>
      <c r="BH22" s="535"/>
      <c r="BI22" s="535"/>
      <c r="BJ22" s="535"/>
      <c r="BK22" s="535">
        <f t="shared" si="6"/>
        <v>0</v>
      </c>
      <c r="BL22" s="535">
        <f t="shared" si="7"/>
        <v>0</v>
      </c>
      <c r="BM22" s="543" t="e">
        <f t="shared" si="8"/>
        <v>#DIV/0!</v>
      </c>
      <c r="BN22" s="535"/>
    </row>
    <row r="23" spans="1:66" s="25" customFormat="1" x14ac:dyDescent="0.25">
      <c r="A23" s="491">
        <v>108</v>
      </c>
      <c r="B23" s="65" t="s">
        <v>78</v>
      </c>
      <c r="C23" s="491">
        <v>1150</v>
      </c>
      <c r="D23" s="65" t="s">
        <v>73</v>
      </c>
      <c r="E23" s="491">
        <v>2</v>
      </c>
      <c r="F23" s="559"/>
      <c r="G23" s="559"/>
      <c r="H23" s="559"/>
      <c r="I23" s="559"/>
      <c r="J23" s="559"/>
      <c r="K23" s="606"/>
      <c r="L23" s="431" t="s">
        <v>1500</v>
      </c>
      <c r="M23" s="192" t="s">
        <v>1119</v>
      </c>
      <c r="N23" s="192" t="s">
        <v>76</v>
      </c>
      <c r="O23" s="192" t="s">
        <v>793</v>
      </c>
      <c r="P23" s="431" t="s">
        <v>1026</v>
      </c>
      <c r="Q23" s="455">
        <v>42179</v>
      </c>
      <c r="R23" s="428">
        <v>42192</v>
      </c>
      <c r="S23" s="192" t="s">
        <v>441</v>
      </c>
      <c r="T23" s="431">
        <v>74</v>
      </c>
      <c r="U23" s="192" t="s">
        <v>798</v>
      </c>
      <c r="V23" s="503" t="s">
        <v>1499</v>
      </c>
      <c r="W23" s="192">
        <v>79409337</v>
      </c>
      <c r="X23" s="433" t="s">
        <v>90</v>
      </c>
      <c r="Y23" s="192" t="s">
        <v>1304</v>
      </c>
      <c r="Z23" s="192"/>
      <c r="AA23" s="459">
        <v>550</v>
      </c>
      <c r="AB23" s="432">
        <v>42178</v>
      </c>
      <c r="AC23" s="459">
        <v>606</v>
      </c>
      <c r="AD23" s="534">
        <v>4980000</v>
      </c>
      <c r="AE23" s="535"/>
      <c r="AF23" s="535"/>
      <c r="AG23" s="536">
        <v>1660000</v>
      </c>
      <c r="AH23" s="535"/>
      <c r="AI23" s="535"/>
      <c r="AJ23" s="535"/>
      <c r="AK23" s="535"/>
      <c r="AL23" s="535"/>
      <c r="AM23" s="535">
        <v>1660000</v>
      </c>
      <c r="AN23" s="535">
        <v>1660000</v>
      </c>
      <c r="AO23" s="535"/>
      <c r="AP23" s="535"/>
      <c r="AQ23" s="535">
        <f t="shared" si="0"/>
        <v>4980000</v>
      </c>
      <c r="AR23" s="535">
        <f t="shared" si="1"/>
        <v>0</v>
      </c>
      <c r="AS23" s="540">
        <f t="shared" si="9"/>
        <v>1</v>
      </c>
      <c r="AT23" s="192"/>
      <c r="AU23" s="366">
        <v>75</v>
      </c>
      <c r="AV23" s="401">
        <v>42388</v>
      </c>
      <c r="AW23" s="366">
        <v>72</v>
      </c>
      <c r="AX23" s="534">
        <v>1660000</v>
      </c>
      <c r="AY23" s="535"/>
      <c r="AZ23" s="535"/>
      <c r="BA23" s="535">
        <v>1660000</v>
      </c>
      <c r="BB23" s="535"/>
      <c r="BC23" s="535"/>
      <c r="BD23" s="535"/>
      <c r="BE23" s="535"/>
      <c r="BF23" s="535"/>
      <c r="BG23" s="535"/>
      <c r="BH23" s="535"/>
      <c r="BI23" s="535"/>
      <c r="BJ23" s="535"/>
      <c r="BK23" s="535">
        <f t="shared" si="6"/>
        <v>1660000</v>
      </c>
      <c r="BL23" s="535">
        <f t="shared" si="7"/>
        <v>0</v>
      </c>
      <c r="BM23" s="543">
        <f t="shared" si="8"/>
        <v>1</v>
      </c>
      <c r="BN23" s="535"/>
    </row>
    <row r="24" spans="1:66" s="25" customFormat="1" x14ac:dyDescent="0.25">
      <c r="A24" s="491">
        <v>108</v>
      </c>
      <c r="B24" s="65" t="s">
        <v>78</v>
      </c>
      <c r="C24" s="491">
        <v>1150</v>
      </c>
      <c r="D24" s="65" t="s">
        <v>73</v>
      </c>
      <c r="E24" s="491">
        <v>2</v>
      </c>
      <c r="F24" s="559"/>
      <c r="G24" s="559"/>
      <c r="H24" s="559"/>
      <c r="I24" s="559"/>
      <c r="J24" s="559"/>
      <c r="K24" s="606"/>
      <c r="L24" s="192" t="s">
        <v>1580</v>
      </c>
      <c r="M24" s="192" t="s">
        <v>1119</v>
      </c>
      <c r="N24" s="192" t="s">
        <v>76</v>
      </c>
      <c r="O24" s="192" t="s">
        <v>1615</v>
      </c>
      <c r="P24" s="431" t="s">
        <v>1108</v>
      </c>
      <c r="Q24" s="428">
        <v>42320</v>
      </c>
      <c r="R24" s="428">
        <v>42320</v>
      </c>
      <c r="S24" s="192" t="s">
        <v>512</v>
      </c>
      <c r="T24" s="192">
        <v>60</v>
      </c>
      <c r="U24" s="192" t="s">
        <v>1287</v>
      </c>
      <c r="V24" s="431" t="s">
        <v>415</v>
      </c>
      <c r="W24" s="192">
        <v>900320309</v>
      </c>
      <c r="X24" s="192">
        <v>300</v>
      </c>
      <c r="Y24" s="192" t="s">
        <v>1674</v>
      </c>
      <c r="Z24" s="192"/>
      <c r="AA24" s="366">
        <v>673</v>
      </c>
      <c r="AB24" s="432">
        <v>42319</v>
      </c>
      <c r="AC24" s="366">
        <v>845</v>
      </c>
      <c r="AD24" s="391">
        <v>10926000</v>
      </c>
      <c r="AE24" s="535"/>
      <c r="AF24" s="535"/>
      <c r="AG24" s="535"/>
      <c r="AH24" s="535"/>
      <c r="AI24" s="535"/>
      <c r="AJ24" s="535"/>
      <c r="AK24" s="535"/>
      <c r="AL24" s="535"/>
      <c r="AM24" s="535"/>
      <c r="AN24" s="535"/>
      <c r="AO24" s="535"/>
      <c r="AP24" s="535">
        <v>10926000</v>
      </c>
      <c r="AQ24" s="535">
        <f t="shared" si="0"/>
        <v>10926000</v>
      </c>
      <c r="AR24" s="535">
        <f t="shared" si="1"/>
        <v>0</v>
      </c>
      <c r="AS24" s="540">
        <f t="shared" si="9"/>
        <v>1</v>
      </c>
      <c r="AT24" s="192"/>
      <c r="AU24" s="366"/>
      <c r="AV24" s="173"/>
      <c r="AW24" s="366"/>
      <c r="AX24" s="534"/>
      <c r="AY24" s="535"/>
      <c r="AZ24" s="535"/>
      <c r="BA24" s="535"/>
      <c r="BB24" s="535"/>
      <c r="BC24" s="535"/>
      <c r="BD24" s="535"/>
      <c r="BE24" s="535"/>
      <c r="BF24" s="535"/>
      <c r="BG24" s="535"/>
      <c r="BH24" s="535"/>
      <c r="BI24" s="535"/>
      <c r="BJ24" s="535"/>
      <c r="BK24" s="535">
        <f t="shared" si="6"/>
        <v>0</v>
      </c>
      <c r="BL24" s="535">
        <f t="shared" si="7"/>
        <v>0</v>
      </c>
      <c r="BM24" s="543" t="e">
        <f t="shared" si="8"/>
        <v>#DIV/0!</v>
      </c>
      <c r="BN24" s="535"/>
    </row>
    <row r="25" spans="1:66" s="25" customFormat="1" x14ac:dyDescent="0.25">
      <c r="A25" s="491">
        <v>108</v>
      </c>
      <c r="B25" s="65" t="s">
        <v>78</v>
      </c>
      <c r="C25" s="491">
        <v>1150</v>
      </c>
      <c r="D25" s="65" t="s">
        <v>73</v>
      </c>
      <c r="E25" s="491">
        <v>2</v>
      </c>
      <c r="F25" s="559"/>
      <c r="G25" s="559"/>
      <c r="H25" s="559"/>
      <c r="I25" s="559"/>
      <c r="J25" s="559"/>
      <c r="K25" s="606"/>
      <c r="L25" s="192" t="s">
        <v>1581</v>
      </c>
      <c r="M25" s="192" t="s">
        <v>1119</v>
      </c>
      <c r="N25" s="192" t="s">
        <v>76</v>
      </c>
      <c r="O25" s="192" t="s">
        <v>1615</v>
      </c>
      <c r="P25" s="431" t="s">
        <v>1026</v>
      </c>
      <c r="Q25" s="428">
        <v>42320</v>
      </c>
      <c r="R25" s="428">
        <v>42320</v>
      </c>
      <c r="S25" s="192" t="s">
        <v>512</v>
      </c>
      <c r="T25" s="192">
        <v>74</v>
      </c>
      <c r="U25" s="192" t="s">
        <v>1603</v>
      </c>
      <c r="V25" s="503" t="s">
        <v>1499</v>
      </c>
      <c r="W25" s="192">
        <v>79409337</v>
      </c>
      <c r="X25" s="433" t="s">
        <v>90</v>
      </c>
      <c r="Y25" s="192" t="s">
        <v>884</v>
      </c>
      <c r="Z25" s="192"/>
      <c r="AA25" s="366">
        <v>649</v>
      </c>
      <c r="AB25" s="432">
        <v>42286</v>
      </c>
      <c r="AC25" s="366">
        <v>846</v>
      </c>
      <c r="AD25" s="391">
        <v>1660000</v>
      </c>
      <c r="AE25" s="535"/>
      <c r="AF25" s="535"/>
      <c r="AG25" s="535"/>
      <c r="AH25" s="535"/>
      <c r="AI25" s="535"/>
      <c r="AJ25" s="535"/>
      <c r="AK25" s="535"/>
      <c r="AL25" s="535"/>
      <c r="AM25" s="535"/>
      <c r="AN25" s="535"/>
      <c r="AO25" s="535"/>
      <c r="AP25" s="535"/>
      <c r="AQ25" s="535">
        <f t="shared" si="0"/>
        <v>0</v>
      </c>
      <c r="AR25" s="535">
        <f t="shared" si="1"/>
        <v>1660000</v>
      </c>
      <c r="AS25" s="540">
        <f t="shared" si="9"/>
        <v>0</v>
      </c>
      <c r="AT25" s="192"/>
      <c r="AU25" s="366">
        <v>177</v>
      </c>
      <c r="AV25" s="401">
        <v>42388</v>
      </c>
      <c r="AW25" s="366">
        <v>169</v>
      </c>
      <c r="AX25" s="534">
        <v>1660000</v>
      </c>
      <c r="AY25" s="535"/>
      <c r="AZ25" s="535"/>
      <c r="BA25" s="535"/>
      <c r="BB25" s="535"/>
      <c r="BC25" s="535">
        <v>1660000</v>
      </c>
      <c r="BD25" s="535"/>
      <c r="BE25" s="535"/>
      <c r="BF25" s="535"/>
      <c r="BG25" s="535"/>
      <c r="BH25" s="535"/>
      <c r="BI25" s="535"/>
      <c r="BJ25" s="535"/>
      <c r="BK25" s="535">
        <f t="shared" si="6"/>
        <v>1660000</v>
      </c>
      <c r="BL25" s="535">
        <f t="shared" si="7"/>
        <v>0</v>
      </c>
      <c r="BM25" s="543">
        <f t="shared" si="8"/>
        <v>1</v>
      </c>
      <c r="BN25" s="535"/>
    </row>
    <row r="26" spans="1:66" s="25" customFormat="1" ht="15" customHeight="1" x14ac:dyDescent="0.25">
      <c r="A26" s="490">
        <v>110</v>
      </c>
      <c r="B26" s="63" t="s">
        <v>89</v>
      </c>
      <c r="C26" s="490">
        <v>1150</v>
      </c>
      <c r="D26" s="63" t="s">
        <v>73</v>
      </c>
      <c r="E26" s="490">
        <v>4</v>
      </c>
      <c r="F26" s="584" t="s">
        <v>53</v>
      </c>
      <c r="G26" s="584">
        <v>3000</v>
      </c>
      <c r="H26" s="584" t="s">
        <v>61</v>
      </c>
      <c r="I26" s="584" t="s">
        <v>92</v>
      </c>
      <c r="J26" s="584"/>
      <c r="K26" s="654"/>
      <c r="L26" s="431" t="s">
        <v>1519</v>
      </c>
      <c r="M26" s="192" t="s">
        <v>1119</v>
      </c>
      <c r="N26" s="192" t="s">
        <v>76</v>
      </c>
      <c r="O26" s="192" t="s">
        <v>1314</v>
      </c>
      <c r="P26" s="431" t="s">
        <v>1026</v>
      </c>
      <c r="Q26" s="455">
        <v>42213</v>
      </c>
      <c r="R26" s="428">
        <v>42242</v>
      </c>
      <c r="S26" s="192" t="s">
        <v>512</v>
      </c>
      <c r="T26" s="431">
        <v>103</v>
      </c>
      <c r="U26" s="192" t="s">
        <v>798</v>
      </c>
      <c r="V26" s="431" t="s">
        <v>1521</v>
      </c>
      <c r="W26" s="504">
        <v>9310964</v>
      </c>
      <c r="X26" s="433" t="s">
        <v>90</v>
      </c>
      <c r="Y26" s="192" t="s">
        <v>1674</v>
      </c>
      <c r="Z26" s="192"/>
      <c r="AA26" s="459">
        <v>561</v>
      </c>
      <c r="AB26" s="432">
        <v>42198</v>
      </c>
      <c r="AC26" s="459">
        <v>690</v>
      </c>
      <c r="AD26" s="534">
        <v>1700000</v>
      </c>
      <c r="AE26" s="535"/>
      <c r="AF26" s="535"/>
      <c r="AG26" s="535"/>
      <c r="AH26" s="535"/>
      <c r="AI26" s="535"/>
      <c r="AJ26" s="535"/>
      <c r="AK26" s="535"/>
      <c r="AL26" s="535"/>
      <c r="AM26" s="535"/>
      <c r="AN26" s="535"/>
      <c r="AO26" s="535"/>
      <c r="AP26" s="535">
        <v>1700000</v>
      </c>
      <c r="AQ26" s="535">
        <f t="shared" si="0"/>
        <v>1700000</v>
      </c>
      <c r="AR26" s="535">
        <f t="shared" si="1"/>
        <v>0</v>
      </c>
      <c r="AS26" s="540">
        <f t="shared" si="9"/>
        <v>1</v>
      </c>
      <c r="AT26" s="192"/>
      <c r="AU26" s="366"/>
      <c r="AV26" s="173"/>
      <c r="AW26" s="366"/>
      <c r="AX26" s="534"/>
      <c r="AY26" s="535"/>
      <c r="AZ26" s="535"/>
      <c r="BA26" s="535"/>
      <c r="BB26" s="535"/>
      <c r="BC26" s="535"/>
      <c r="BD26" s="535"/>
      <c r="BE26" s="535"/>
      <c r="BF26" s="535"/>
      <c r="BG26" s="535"/>
      <c r="BH26" s="535"/>
      <c r="BI26" s="535"/>
      <c r="BJ26" s="535"/>
      <c r="BK26" s="535">
        <f t="shared" si="6"/>
        <v>0</v>
      </c>
      <c r="BL26" s="535">
        <f t="shared" si="7"/>
        <v>0</v>
      </c>
      <c r="BM26" s="543" t="e">
        <f t="shared" si="8"/>
        <v>#DIV/0!</v>
      </c>
      <c r="BN26" s="535"/>
    </row>
    <row r="27" spans="1:66" s="25" customFormat="1" x14ac:dyDescent="0.25">
      <c r="A27" s="490">
        <v>110</v>
      </c>
      <c r="B27" s="63" t="s">
        <v>89</v>
      </c>
      <c r="C27" s="490">
        <v>1150</v>
      </c>
      <c r="D27" s="63" t="s">
        <v>73</v>
      </c>
      <c r="E27" s="490">
        <v>4</v>
      </c>
      <c r="F27" s="585"/>
      <c r="G27" s="585"/>
      <c r="H27" s="585"/>
      <c r="I27" s="585"/>
      <c r="J27" s="585"/>
      <c r="K27" s="655"/>
      <c r="L27" s="431" t="s">
        <v>1520</v>
      </c>
      <c r="M27" s="192" t="s">
        <v>1119</v>
      </c>
      <c r="N27" s="192" t="s">
        <v>76</v>
      </c>
      <c r="O27" s="192" t="s">
        <v>1532</v>
      </c>
      <c r="P27" s="431" t="s">
        <v>1120</v>
      </c>
      <c r="Q27" s="455">
        <v>42213</v>
      </c>
      <c r="R27" s="428">
        <v>42242</v>
      </c>
      <c r="S27" s="192" t="s">
        <v>512</v>
      </c>
      <c r="T27" s="431">
        <v>102</v>
      </c>
      <c r="U27" s="192" t="s">
        <v>1533</v>
      </c>
      <c r="V27" s="431" t="s">
        <v>415</v>
      </c>
      <c r="W27" s="192">
        <v>900320309</v>
      </c>
      <c r="X27" s="433">
        <v>880</v>
      </c>
      <c r="Y27" s="192" t="s">
        <v>1674</v>
      </c>
      <c r="Z27" s="192"/>
      <c r="AA27" s="459">
        <v>557</v>
      </c>
      <c r="AB27" s="432">
        <v>42188</v>
      </c>
      <c r="AC27" s="459">
        <v>691</v>
      </c>
      <c r="AD27" s="534">
        <v>18020000</v>
      </c>
      <c r="AE27" s="535"/>
      <c r="AF27" s="535"/>
      <c r="AG27" s="535"/>
      <c r="AH27" s="535"/>
      <c r="AI27" s="535"/>
      <c r="AJ27" s="535"/>
      <c r="AK27" s="535"/>
      <c r="AL27" s="535"/>
      <c r="AM27" s="535"/>
      <c r="AN27" s="535"/>
      <c r="AO27" s="535"/>
      <c r="AP27" s="535">
        <v>18020000</v>
      </c>
      <c r="AQ27" s="535">
        <f t="shared" si="0"/>
        <v>18020000</v>
      </c>
      <c r="AR27" s="535">
        <f t="shared" si="1"/>
        <v>0</v>
      </c>
      <c r="AS27" s="540">
        <f t="shared" si="9"/>
        <v>1</v>
      </c>
      <c r="AT27" s="192"/>
      <c r="AU27" s="366"/>
      <c r="AV27" s="173"/>
      <c r="AW27" s="366"/>
      <c r="AX27" s="534"/>
      <c r="AY27" s="535"/>
      <c r="AZ27" s="535"/>
      <c r="BA27" s="535"/>
      <c r="BB27" s="535"/>
      <c r="BC27" s="535"/>
      <c r="BD27" s="535"/>
      <c r="BE27" s="535"/>
      <c r="BF27" s="535"/>
      <c r="BG27" s="535"/>
      <c r="BH27" s="535"/>
      <c r="BI27" s="535"/>
      <c r="BJ27" s="535"/>
      <c r="BK27" s="535">
        <f t="shared" si="6"/>
        <v>0</v>
      </c>
      <c r="BL27" s="535">
        <f t="shared" si="7"/>
        <v>0</v>
      </c>
      <c r="BM27" s="543" t="e">
        <f t="shared" si="8"/>
        <v>#DIV/0!</v>
      </c>
      <c r="BN27" s="535"/>
    </row>
    <row r="28" spans="1:66" s="25" customFormat="1" x14ac:dyDescent="0.25">
      <c r="A28" s="490">
        <v>110</v>
      </c>
      <c r="B28" s="63" t="s">
        <v>89</v>
      </c>
      <c r="C28" s="490">
        <v>1150</v>
      </c>
      <c r="D28" s="63" t="s">
        <v>73</v>
      </c>
      <c r="E28" s="490">
        <v>4</v>
      </c>
      <c r="F28" s="590"/>
      <c r="G28" s="590"/>
      <c r="H28" s="590"/>
      <c r="I28" s="590"/>
      <c r="J28" s="590"/>
      <c r="K28" s="656"/>
      <c r="L28" s="431"/>
      <c r="M28" s="192"/>
      <c r="N28" s="192"/>
      <c r="O28" s="192"/>
      <c r="P28" s="431"/>
      <c r="Q28" s="455"/>
      <c r="R28" s="428"/>
      <c r="S28" s="192"/>
      <c r="T28" s="431"/>
      <c r="U28" s="192"/>
      <c r="V28" s="431"/>
      <c r="W28" s="192"/>
      <c r="X28" s="433"/>
      <c r="Y28" s="192"/>
      <c r="Z28" s="192"/>
      <c r="AA28" s="459"/>
      <c r="AB28" s="432"/>
      <c r="AC28" s="459"/>
      <c r="AD28" s="534"/>
      <c r="AE28" s="535"/>
      <c r="AF28" s="535"/>
      <c r="AG28" s="535"/>
      <c r="AH28" s="535"/>
      <c r="AI28" s="535"/>
      <c r="AJ28" s="535"/>
      <c r="AK28" s="535"/>
      <c r="AL28" s="535"/>
      <c r="AM28" s="535"/>
      <c r="AN28" s="535"/>
      <c r="AO28" s="535"/>
      <c r="AP28" s="535"/>
      <c r="AQ28" s="535"/>
      <c r="AR28" s="535"/>
      <c r="AS28" s="540"/>
      <c r="AT28" s="192"/>
      <c r="AU28" s="366"/>
      <c r="AV28" s="173"/>
      <c r="AW28" s="366"/>
      <c r="AX28" s="534"/>
      <c r="AY28" s="535"/>
      <c r="AZ28" s="535"/>
      <c r="BA28" s="535"/>
      <c r="BB28" s="535"/>
      <c r="BC28" s="535"/>
      <c r="BD28" s="535"/>
      <c r="BE28" s="535"/>
      <c r="BF28" s="535"/>
      <c r="BG28" s="535"/>
      <c r="BH28" s="535"/>
      <c r="BI28" s="535"/>
      <c r="BJ28" s="535"/>
      <c r="BK28" s="535">
        <f t="shared" si="6"/>
        <v>0</v>
      </c>
      <c r="BL28" s="535">
        <f t="shared" si="7"/>
        <v>0</v>
      </c>
      <c r="BM28" s="543" t="e">
        <f t="shared" si="8"/>
        <v>#DIV/0!</v>
      </c>
      <c r="BN28" s="535"/>
    </row>
    <row r="29" spans="1:66" s="25" customFormat="1" x14ac:dyDescent="0.25">
      <c r="A29" s="491">
        <v>112</v>
      </c>
      <c r="B29" s="65" t="s">
        <v>102</v>
      </c>
      <c r="C29" s="491">
        <v>1157</v>
      </c>
      <c r="D29" s="65" t="s">
        <v>104</v>
      </c>
      <c r="E29" s="491">
        <v>1</v>
      </c>
      <c r="F29" s="584" t="s">
        <v>105</v>
      </c>
      <c r="G29" s="584">
        <v>900</v>
      </c>
      <c r="H29" s="584" t="s">
        <v>106</v>
      </c>
      <c r="I29" s="584" t="s">
        <v>107</v>
      </c>
      <c r="J29" s="584"/>
      <c r="K29" s="654"/>
      <c r="L29" s="192" t="s">
        <v>1107</v>
      </c>
      <c r="M29" s="192" t="s">
        <v>1127</v>
      </c>
      <c r="N29" s="192" t="s">
        <v>48</v>
      </c>
      <c r="O29" s="191" t="s">
        <v>836</v>
      </c>
      <c r="P29" s="192" t="s">
        <v>1108</v>
      </c>
      <c r="Q29" s="428">
        <v>42023</v>
      </c>
      <c r="R29" s="428">
        <v>42370</v>
      </c>
      <c r="S29" s="191" t="s">
        <v>807</v>
      </c>
      <c r="T29" s="192" t="s">
        <v>1498</v>
      </c>
      <c r="U29" s="191" t="s">
        <v>418</v>
      </c>
      <c r="V29" s="192" t="s">
        <v>419</v>
      </c>
      <c r="W29" s="192" t="s">
        <v>420</v>
      </c>
      <c r="X29" s="191">
        <v>1200</v>
      </c>
      <c r="Y29" s="191" t="s">
        <v>1316</v>
      </c>
      <c r="Z29" s="192"/>
      <c r="AA29" s="366">
        <v>372</v>
      </c>
      <c r="AB29" s="432">
        <v>42026</v>
      </c>
      <c r="AC29" s="505">
        <v>320</v>
      </c>
      <c r="AD29" s="391">
        <v>288000000</v>
      </c>
      <c r="AE29" s="535"/>
      <c r="AF29" s="535"/>
      <c r="AG29" s="535"/>
      <c r="AH29" s="535"/>
      <c r="AI29" s="535"/>
      <c r="AJ29" s="535"/>
      <c r="AK29" s="535"/>
      <c r="AL29" s="535"/>
      <c r="AM29" s="535"/>
      <c r="AN29" s="535"/>
      <c r="AO29" s="535"/>
      <c r="AP29" s="535"/>
      <c r="AQ29" s="535">
        <f t="shared" si="0"/>
        <v>0</v>
      </c>
      <c r="AR29" s="535">
        <f t="shared" si="1"/>
        <v>288000000</v>
      </c>
      <c r="AS29" s="540">
        <f t="shared" ref="AS29:AS61" si="10">+AQ29/AD29</f>
        <v>0</v>
      </c>
      <c r="AT29" s="192"/>
      <c r="AU29" s="366">
        <v>38</v>
      </c>
      <c r="AV29" s="173"/>
      <c r="AW29" s="366">
        <v>243</v>
      </c>
      <c r="AX29" s="534">
        <v>288000000</v>
      </c>
      <c r="AY29" s="535"/>
      <c r="AZ29" s="535">
        <v>264960000</v>
      </c>
      <c r="BA29" s="535">
        <v>23040000</v>
      </c>
      <c r="BB29" s="535"/>
      <c r="BC29" s="535"/>
      <c r="BD29" s="535"/>
      <c r="BE29" s="535"/>
      <c r="BF29" s="535"/>
      <c r="BG29" s="535"/>
      <c r="BH29" s="535"/>
      <c r="BI29" s="535"/>
      <c r="BJ29" s="535"/>
      <c r="BK29" s="535">
        <f t="shared" si="6"/>
        <v>288000000</v>
      </c>
      <c r="BL29" s="535">
        <f t="shared" si="7"/>
        <v>0</v>
      </c>
      <c r="BM29" s="543">
        <f t="shared" si="8"/>
        <v>1</v>
      </c>
      <c r="BN29" s="535"/>
    </row>
    <row r="30" spans="1:66" s="25" customFormat="1" x14ac:dyDescent="0.25">
      <c r="A30" s="491">
        <v>112</v>
      </c>
      <c r="B30" s="65" t="s">
        <v>102</v>
      </c>
      <c r="C30" s="491">
        <v>1157</v>
      </c>
      <c r="D30" s="65" t="s">
        <v>104</v>
      </c>
      <c r="E30" s="491">
        <v>1</v>
      </c>
      <c r="F30" s="585"/>
      <c r="G30" s="585"/>
      <c r="H30" s="585"/>
      <c r="I30" s="585"/>
      <c r="J30" s="585"/>
      <c r="K30" s="655"/>
      <c r="L30" s="192" t="s">
        <v>1107</v>
      </c>
      <c r="M30" s="192" t="s">
        <v>1127</v>
      </c>
      <c r="N30" s="192" t="s">
        <v>48</v>
      </c>
      <c r="O30" s="191" t="s">
        <v>836</v>
      </c>
      <c r="P30" s="192" t="s">
        <v>1108</v>
      </c>
      <c r="Q30" s="428">
        <v>42023</v>
      </c>
      <c r="R30" s="428">
        <v>42156</v>
      </c>
      <c r="S30" s="191" t="s">
        <v>807</v>
      </c>
      <c r="T30" s="192" t="s">
        <v>1497</v>
      </c>
      <c r="U30" s="191" t="s">
        <v>418</v>
      </c>
      <c r="V30" s="192" t="s">
        <v>419</v>
      </c>
      <c r="W30" s="192" t="s">
        <v>420</v>
      </c>
      <c r="X30" s="191">
        <v>1200</v>
      </c>
      <c r="Y30" s="191" t="s">
        <v>1316</v>
      </c>
      <c r="Z30" s="192"/>
      <c r="AA30" s="366">
        <v>373</v>
      </c>
      <c r="AB30" s="430">
        <v>42023</v>
      </c>
      <c r="AC30" s="505">
        <v>321</v>
      </c>
      <c r="AD30" s="391">
        <v>756000000</v>
      </c>
      <c r="AE30" s="535"/>
      <c r="AF30" s="535"/>
      <c r="AG30" s="535"/>
      <c r="AH30" s="535"/>
      <c r="AI30" s="535"/>
      <c r="AJ30" s="535">
        <v>108000000</v>
      </c>
      <c r="AK30" s="535">
        <v>108000000</v>
      </c>
      <c r="AL30" s="535">
        <v>108000000</v>
      </c>
      <c r="AM30" s="535">
        <v>108000000</v>
      </c>
      <c r="AN30" s="535">
        <v>108000000</v>
      </c>
      <c r="AO30" s="535">
        <v>108000000</v>
      </c>
      <c r="AP30" s="535">
        <v>108000000</v>
      </c>
      <c r="AQ30" s="535">
        <f t="shared" si="0"/>
        <v>756000000</v>
      </c>
      <c r="AR30" s="535">
        <f t="shared" si="1"/>
        <v>0</v>
      </c>
      <c r="AS30" s="540">
        <f t="shared" si="10"/>
        <v>1</v>
      </c>
      <c r="AT30" s="192"/>
      <c r="AU30" s="366"/>
      <c r="AV30" s="173"/>
      <c r="AW30" s="366"/>
      <c r="AX30" s="534"/>
      <c r="AY30" s="535"/>
      <c r="AZ30" s="535"/>
      <c r="BA30" s="535"/>
      <c r="BB30" s="535"/>
      <c r="BC30" s="535"/>
      <c r="BD30" s="535"/>
      <c r="BE30" s="535"/>
      <c r="BF30" s="535"/>
      <c r="BG30" s="535"/>
      <c r="BH30" s="535"/>
      <c r="BI30" s="535"/>
      <c r="BJ30" s="535"/>
      <c r="BK30" s="535">
        <f t="shared" si="6"/>
        <v>0</v>
      </c>
      <c r="BL30" s="535">
        <f t="shared" si="7"/>
        <v>0</v>
      </c>
      <c r="BM30" s="543" t="e">
        <f t="shared" si="8"/>
        <v>#DIV/0!</v>
      </c>
      <c r="BN30" s="535"/>
    </row>
    <row r="31" spans="1:66" s="25" customFormat="1" x14ac:dyDescent="0.25">
      <c r="A31" s="491">
        <v>112</v>
      </c>
      <c r="B31" s="65" t="s">
        <v>102</v>
      </c>
      <c r="C31" s="491">
        <v>1157</v>
      </c>
      <c r="D31" s="65" t="s">
        <v>104</v>
      </c>
      <c r="E31" s="491">
        <v>1</v>
      </c>
      <c r="F31" s="585"/>
      <c r="G31" s="585"/>
      <c r="H31" s="585"/>
      <c r="I31" s="585"/>
      <c r="J31" s="585"/>
      <c r="K31" s="655"/>
      <c r="L31" s="192" t="s">
        <v>1107</v>
      </c>
      <c r="M31" s="192" t="s">
        <v>1127</v>
      </c>
      <c r="N31" s="192" t="s">
        <v>48</v>
      </c>
      <c r="O31" s="191" t="s">
        <v>836</v>
      </c>
      <c r="P31" s="192" t="s">
        <v>1108</v>
      </c>
      <c r="Q31" s="428">
        <v>42023</v>
      </c>
      <c r="R31" s="428">
        <v>42221</v>
      </c>
      <c r="S31" s="191" t="s">
        <v>807</v>
      </c>
      <c r="T31" s="192" t="s">
        <v>1497</v>
      </c>
      <c r="U31" s="191" t="s">
        <v>418</v>
      </c>
      <c r="V31" s="192" t="s">
        <v>419</v>
      </c>
      <c r="W31" s="192" t="s">
        <v>420</v>
      </c>
      <c r="X31" s="191">
        <v>1200</v>
      </c>
      <c r="Y31" s="191" t="s">
        <v>1316</v>
      </c>
      <c r="Z31" s="192"/>
      <c r="AA31" s="366">
        <v>622</v>
      </c>
      <c r="AB31" s="430">
        <v>42219</v>
      </c>
      <c r="AC31" s="505">
        <v>696</v>
      </c>
      <c r="AD31" s="391">
        <v>3096000000</v>
      </c>
      <c r="AE31" s="535"/>
      <c r="AF31" s="535"/>
      <c r="AG31" s="536">
        <v>245760000</v>
      </c>
      <c r="AH31" s="535"/>
      <c r="AI31" s="535"/>
      <c r="AJ31" s="535"/>
      <c r="AK31" s="535"/>
      <c r="AL31" s="535"/>
      <c r="AM31" s="535">
        <v>26760000</v>
      </c>
      <c r="AN31" s="535">
        <v>75480000</v>
      </c>
      <c r="AO31" s="535">
        <v>85920000</v>
      </c>
      <c r="AP31" s="535">
        <v>109680000</v>
      </c>
      <c r="AQ31" s="535">
        <f t="shared" si="0"/>
        <v>543600000</v>
      </c>
      <c r="AR31" s="535">
        <f t="shared" si="1"/>
        <v>2552400000</v>
      </c>
      <c r="AS31" s="540">
        <f t="shared" si="10"/>
        <v>0.17558139534883721</v>
      </c>
      <c r="AT31" s="192"/>
      <c r="AU31" s="366">
        <v>107</v>
      </c>
      <c r="AV31" s="401">
        <v>42388</v>
      </c>
      <c r="AW31" s="366">
        <v>100</v>
      </c>
      <c r="AX31" s="534">
        <f>+AR31</f>
        <v>2552400000</v>
      </c>
      <c r="AY31" s="535"/>
      <c r="AZ31" s="535">
        <v>258480000</v>
      </c>
      <c r="BA31" s="535">
        <v>245760000</v>
      </c>
      <c r="BB31" s="535">
        <v>271800000</v>
      </c>
      <c r="BC31" s="535">
        <v>272160000</v>
      </c>
      <c r="BD31" s="535">
        <v>274080000</v>
      </c>
      <c r="BE31" s="535">
        <v>278040000</v>
      </c>
      <c r="BF31" s="535">
        <v>281520000</v>
      </c>
      <c r="BG31" s="535">
        <v>284040000</v>
      </c>
      <c r="BH31" s="535">
        <f>285720000+1080000</f>
        <v>286800000</v>
      </c>
      <c r="BI31" s="535">
        <v>289560000</v>
      </c>
      <c r="BJ31" s="535">
        <v>55920000</v>
      </c>
      <c r="BK31" s="535">
        <f t="shared" si="6"/>
        <v>2798160000</v>
      </c>
      <c r="BL31" s="535">
        <f t="shared" si="7"/>
        <v>-245760000</v>
      </c>
      <c r="BM31" s="543">
        <f t="shared" si="8"/>
        <v>1.09628584861307</v>
      </c>
      <c r="BN31" s="535"/>
    </row>
    <row r="32" spans="1:66" s="25" customFormat="1" x14ac:dyDescent="0.25">
      <c r="A32" s="491">
        <v>112</v>
      </c>
      <c r="B32" s="65" t="s">
        <v>102</v>
      </c>
      <c r="C32" s="491">
        <v>1157</v>
      </c>
      <c r="D32" s="65" t="s">
        <v>104</v>
      </c>
      <c r="E32" s="491">
        <v>1</v>
      </c>
      <c r="F32" s="585"/>
      <c r="G32" s="585"/>
      <c r="H32" s="585"/>
      <c r="I32" s="585"/>
      <c r="J32" s="585"/>
      <c r="K32" s="655"/>
      <c r="L32" s="192" t="s">
        <v>1582</v>
      </c>
      <c r="M32" s="192" t="s">
        <v>1127</v>
      </c>
      <c r="N32" s="192" t="s">
        <v>48</v>
      </c>
      <c r="O32" s="191" t="s">
        <v>836</v>
      </c>
      <c r="P32" s="192" t="s">
        <v>1108</v>
      </c>
      <c r="Q32" s="428">
        <v>42313</v>
      </c>
      <c r="R32" s="428">
        <v>42313</v>
      </c>
      <c r="S32" s="191" t="s">
        <v>1292</v>
      </c>
      <c r="T32" s="192" t="s">
        <v>1497</v>
      </c>
      <c r="U32" s="191" t="s">
        <v>418</v>
      </c>
      <c r="V32" s="192" t="s">
        <v>419</v>
      </c>
      <c r="W32" s="192" t="s">
        <v>420</v>
      </c>
      <c r="X32" s="191">
        <v>2300</v>
      </c>
      <c r="Y32" s="191" t="s">
        <v>1316</v>
      </c>
      <c r="Z32" s="192"/>
      <c r="AA32" s="366">
        <v>664</v>
      </c>
      <c r="AB32" s="430">
        <v>42313</v>
      </c>
      <c r="AC32" s="505">
        <v>830</v>
      </c>
      <c r="AD32" s="391">
        <v>48544460</v>
      </c>
      <c r="AE32" s="535"/>
      <c r="AF32" s="535"/>
      <c r="AG32" s="535"/>
      <c r="AH32" s="535"/>
      <c r="AI32" s="535"/>
      <c r="AJ32" s="535"/>
      <c r="AK32" s="535"/>
      <c r="AL32" s="535"/>
      <c r="AM32" s="535"/>
      <c r="AN32" s="535"/>
      <c r="AO32" s="535"/>
      <c r="AP32" s="535"/>
      <c r="AQ32" s="535"/>
      <c r="AR32" s="535">
        <f t="shared" si="1"/>
        <v>48544460</v>
      </c>
      <c r="AS32" s="540"/>
      <c r="AT32" s="192"/>
      <c r="AU32" s="366">
        <v>174</v>
      </c>
      <c r="AV32" s="173"/>
      <c r="AW32" s="366">
        <v>242</v>
      </c>
      <c r="AX32" s="534">
        <v>48544460</v>
      </c>
      <c r="AY32" s="535"/>
      <c r="AZ32" s="535"/>
      <c r="BA32" s="535">
        <f>4504200+3718024</f>
        <v>8222224</v>
      </c>
      <c r="BB32" s="535"/>
      <c r="BC32" s="535">
        <v>3604556</v>
      </c>
      <c r="BD32" s="535">
        <v>3297000</v>
      </c>
      <c r="BE32" s="535">
        <v>3400401</v>
      </c>
      <c r="BF32" s="535">
        <v>3414955</v>
      </c>
      <c r="BG32" s="535">
        <v>3451877</v>
      </c>
      <c r="BH32" s="535">
        <v>3639573</v>
      </c>
      <c r="BI32" s="535">
        <f>3617991+3554279</f>
        <v>7172270</v>
      </c>
      <c r="BJ32" s="535">
        <v>3671764</v>
      </c>
      <c r="BK32" s="535">
        <f t="shared" si="6"/>
        <v>39874620</v>
      </c>
      <c r="BL32" s="535">
        <f t="shared" si="7"/>
        <v>8669840</v>
      </c>
      <c r="BM32" s="543">
        <f t="shared" si="8"/>
        <v>0.82140413138801005</v>
      </c>
      <c r="BN32" s="535"/>
    </row>
    <row r="33" spans="1:66" s="25" customFormat="1" x14ac:dyDescent="0.25">
      <c r="A33" s="491">
        <v>112</v>
      </c>
      <c r="B33" s="65" t="s">
        <v>102</v>
      </c>
      <c r="C33" s="491">
        <v>1157</v>
      </c>
      <c r="D33" s="65" t="s">
        <v>104</v>
      </c>
      <c r="E33" s="491">
        <v>1</v>
      </c>
      <c r="F33" s="585"/>
      <c r="G33" s="585"/>
      <c r="H33" s="585"/>
      <c r="I33" s="585"/>
      <c r="J33" s="585"/>
      <c r="K33" s="655"/>
      <c r="L33" s="192" t="s">
        <v>1496</v>
      </c>
      <c r="M33" s="192" t="s">
        <v>1127</v>
      </c>
      <c r="N33" s="192" t="s">
        <v>48</v>
      </c>
      <c r="O33" s="191" t="s">
        <v>793</v>
      </c>
      <c r="P33" s="192" t="s">
        <v>1461</v>
      </c>
      <c r="Q33" s="428">
        <v>42179</v>
      </c>
      <c r="R33" s="428">
        <v>42188</v>
      </c>
      <c r="S33" s="191" t="s">
        <v>867</v>
      </c>
      <c r="T33" s="192">
        <v>80</v>
      </c>
      <c r="U33" s="191" t="s">
        <v>798</v>
      </c>
      <c r="V33" s="192" t="s">
        <v>1495</v>
      </c>
      <c r="W33" s="192">
        <v>1024524906</v>
      </c>
      <c r="X33" s="191" t="s">
        <v>90</v>
      </c>
      <c r="Y33" s="191" t="s">
        <v>1316</v>
      </c>
      <c r="Z33" s="192"/>
      <c r="AA33" s="366">
        <v>529</v>
      </c>
      <c r="AB33" s="430">
        <v>42178</v>
      </c>
      <c r="AC33" s="505">
        <v>608</v>
      </c>
      <c r="AD33" s="391">
        <v>24000000</v>
      </c>
      <c r="AE33" s="535"/>
      <c r="AF33" s="535"/>
      <c r="AG33" s="536">
        <v>4800000</v>
      </c>
      <c r="AH33" s="535"/>
      <c r="AI33" s="535"/>
      <c r="AJ33" s="535"/>
      <c r="AK33" s="535"/>
      <c r="AL33" s="535">
        <v>1200000</v>
      </c>
      <c r="AM33" s="535">
        <v>3000000</v>
      </c>
      <c r="AN33" s="535">
        <v>3000000</v>
      </c>
      <c r="AO33" s="535">
        <v>3000000</v>
      </c>
      <c r="AP33" s="535">
        <f>3000000+3000000</f>
        <v>6000000</v>
      </c>
      <c r="AQ33" s="535">
        <f t="shared" si="0"/>
        <v>21000000</v>
      </c>
      <c r="AR33" s="535">
        <f t="shared" si="1"/>
        <v>3000000</v>
      </c>
      <c r="AS33" s="540">
        <f t="shared" si="10"/>
        <v>0.875</v>
      </c>
      <c r="AT33" s="192"/>
      <c r="AU33" s="366">
        <v>76</v>
      </c>
      <c r="AV33" s="401">
        <v>42388</v>
      </c>
      <c r="AW33" s="366">
        <v>73</v>
      </c>
      <c r="AX33" s="534">
        <f>+AR33</f>
        <v>3000000</v>
      </c>
      <c r="AY33" s="535"/>
      <c r="AZ33" s="535">
        <v>3000000</v>
      </c>
      <c r="BA33" s="535">
        <f>3000000+1800000</f>
        <v>4800000</v>
      </c>
      <c r="BB33" s="535"/>
      <c r="BC33" s="535"/>
      <c r="BD33" s="535"/>
      <c r="BE33" s="535"/>
      <c r="BF33" s="535"/>
      <c r="BG33" s="535"/>
      <c r="BH33" s="535"/>
      <c r="BI33" s="535"/>
      <c r="BJ33" s="535"/>
      <c r="BK33" s="535">
        <f t="shared" si="6"/>
        <v>7800000</v>
      </c>
      <c r="BL33" s="535">
        <f t="shared" si="7"/>
        <v>-4800000</v>
      </c>
      <c r="BM33" s="543">
        <f t="shared" si="8"/>
        <v>2.6</v>
      </c>
      <c r="BN33" s="535"/>
    </row>
    <row r="34" spans="1:66" s="25" customFormat="1" x14ac:dyDescent="0.25">
      <c r="A34" s="491">
        <v>112</v>
      </c>
      <c r="B34" s="65" t="s">
        <v>102</v>
      </c>
      <c r="C34" s="491">
        <v>1157</v>
      </c>
      <c r="D34" s="65" t="s">
        <v>104</v>
      </c>
      <c r="E34" s="491">
        <v>1</v>
      </c>
      <c r="F34" s="585"/>
      <c r="G34" s="585"/>
      <c r="H34" s="585"/>
      <c r="I34" s="585"/>
      <c r="J34" s="585"/>
      <c r="K34" s="655"/>
      <c r="L34" s="192" t="s">
        <v>1494</v>
      </c>
      <c r="M34" s="192" t="s">
        <v>1127</v>
      </c>
      <c r="N34" s="192" t="s">
        <v>48</v>
      </c>
      <c r="O34" s="191" t="s">
        <v>793</v>
      </c>
      <c r="P34" s="192" t="s">
        <v>1120</v>
      </c>
      <c r="Q34" s="428">
        <v>42179</v>
      </c>
      <c r="R34" s="428">
        <v>42188</v>
      </c>
      <c r="S34" s="191" t="s">
        <v>867</v>
      </c>
      <c r="T34" s="192">
        <v>71</v>
      </c>
      <c r="U34" s="191" t="s">
        <v>798</v>
      </c>
      <c r="V34" s="192" t="s">
        <v>1493</v>
      </c>
      <c r="W34" s="192">
        <v>79316075</v>
      </c>
      <c r="X34" s="191" t="s">
        <v>90</v>
      </c>
      <c r="Y34" s="191" t="s">
        <v>1316</v>
      </c>
      <c r="Z34" s="192"/>
      <c r="AA34" s="366">
        <v>527</v>
      </c>
      <c r="AB34" s="430">
        <v>42178</v>
      </c>
      <c r="AC34" s="505">
        <v>610</v>
      </c>
      <c r="AD34" s="391">
        <v>24000000</v>
      </c>
      <c r="AE34" s="535"/>
      <c r="AF34" s="535"/>
      <c r="AG34" s="536">
        <v>9000000</v>
      </c>
      <c r="AH34" s="535"/>
      <c r="AI34" s="535"/>
      <c r="AJ34" s="535"/>
      <c r="AK34" s="535"/>
      <c r="AL34" s="535"/>
      <c r="AM34" s="535"/>
      <c r="AN34" s="535"/>
      <c r="AO34" s="535"/>
      <c r="AP34" s="535">
        <v>6600000</v>
      </c>
      <c r="AQ34" s="535">
        <f t="shared" si="0"/>
        <v>15600000</v>
      </c>
      <c r="AR34" s="535">
        <f t="shared" si="1"/>
        <v>8400000</v>
      </c>
      <c r="AS34" s="540">
        <f t="shared" si="10"/>
        <v>0.65</v>
      </c>
      <c r="AT34" s="192"/>
      <c r="AU34" s="366">
        <v>78</v>
      </c>
      <c r="AV34" s="401">
        <v>42388</v>
      </c>
      <c r="AW34" s="366">
        <v>74</v>
      </c>
      <c r="AX34" s="534">
        <v>17400000</v>
      </c>
      <c r="AY34" s="535"/>
      <c r="AZ34" s="535"/>
      <c r="BA34" s="535">
        <v>9000000</v>
      </c>
      <c r="BB34" s="535"/>
      <c r="BC34" s="535"/>
      <c r="BD34" s="535"/>
      <c r="BE34" s="535"/>
      <c r="BF34" s="535"/>
      <c r="BG34" s="535">
        <v>8400000</v>
      </c>
      <c r="BH34" s="535"/>
      <c r="BI34" s="535"/>
      <c r="BJ34" s="535"/>
      <c r="BK34" s="535">
        <f t="shared" si="6"/>
        <v>17400000</v>
      </c>
      <c r="BL34" s="535">
        <f t="shared" si="7"/>
        <v>0</v>
      </c>
      <c r="BM34" s="543">
        <f t="shared" si="8"/>
        <v>1</v>
      </c>
      <c r="BN34" s="535"/>
    </row>
    <row r="35" spans="1:66" s="25" customFormat="1" x14ac:dyDescent="0.25">
      <c r="A35" s="491">
        <v>112</v>
      </c>
      <c r="B35" s="65" t="s">
        <v>102</v>
      </c>
      <c r="C35" s="491">
        <v>1157</v>
      </c>
      <c r="D35" s="65" t="s">
        <v>104</v>
      </c>
      <c r="E35" s="491">
        <v>1</v>
      </c>
      <c r="F35" s="585"/>
      <c r="G35" s="585"/>
      <c r="H35" s="585"/>
      <c r="I35" s="585"/>
      <c r="J35" s="585"/>
      <c r="K35" s="655"/>
      <c r="L35" s="192" t="s">
        <v>1492</v>
      </c>
      <c r="M35" s="192" t="s">
        <v>1127</v>
      </c>
      <c r="N35" s="192" t="s">
        <v>48</v>
      </c>
      <c r="O35" s="191" t="s">
        <v>793</v>
      </c>
      <c r="P35" s="192" t="s">
        <v>1120</v>
      </c>
      <c r="Q35" s="428">
        <v>42179</v>
      </c>
      <c r="R35" s="428">
        <v>42188</v>
      </c>
      <c r="S35" s="191" t="s">
        <v>378</v>
      </c>
      <c r="T35" s="192">
        <v>86</v>
      </c>
      <c r="U35" s="191" t="s">
        <v>798</v>
      </c>
      <c r="V35" s="192" t="s">
        <v>1491</v>
      </c>
      <c r="W35" s="192">
        <v>79816345</v>
      </c>
      <c r="X35" s="191" t="s">
        <v>90</v>
      </c>
      <c r="Y35" s="191" t="s">
        <v>1316</v>
      </c>
      <c r="Z35" s="192"/>
      <c r="AA35" s="366">
        <v>548</v>
      </c>
      <c r="AB35" s="430">
        <v>42178</v>
      </c>
      <c r="AC35" s="505">
        <v>611</v>
      </c>
      <c r="AD35" s="391">
        <v>3600000</v>
      </c>
      <c r="AE35" s="535"/>
      <c r="AF35" s="535"/>
      <c r="AG35" s="535"/>
      <c r="AH35" s="535"/>
      <c r="AI35" s="535"/>
      <c r="AJ35" s="535"/>
      <c r="AK35" s="535"/>
      <c r="AL35" s="535">
        <v>720000</v>
      </c>
      <c r="AM35" s="535">
        <v>1800000</v>
      </c>
      <c r="AN35" s="535"/>
      <c r="AO35" s="535">
        <v>1080000</v>
      </c>
      <c r="AP35" s="535"/>
      <c r="AQ35" s="535">
        <f t="shared" si="0"/>
        <v>3600000</v>
      </c>
      <c r="AR35" s="535">
        <f t="shared" si="1"/>
        <v>0</v>
      </c>
      <c r="AS35" s="540">
        <f t="shared" si="10"/>
        <v>1</v>
      </c>
      <c r="AT35" s="192"/>
      <c r="AU35" s="366"/>
      <c r="AV35" s="173"/>
      <c r="AW35" s="366"/>
      <c r="AX35" s="534"/>
      <c r="AY35" s="535"/>
      <c r="AZ35" s="535"/>
      <c r="BA35" s="535"/>
      <c r="BB35" s="535"/>
      <c r="BC35" s="535"/>
      <c r="BD35" s="535"/>
      <c r="BE35" s="535"/>
      <c r="BF35" s="535"/>
      <c r="BG35" s="535"/>
      <c r="BH35" s="535"/>
      <c r="BI35" s="535"/>
      <c r="BJ35" s="535"/>
      <c r="BK35" s="535">
        <f t="shared" si="6"/>
        <v>0</v>
      </c>
      <c r="BL35" s="535">
        <f t="shared" si="7"/>
        <v>0</v>
      </c>
      <c r="BM35" s="543" t="e">
        <f t="shared" si="8"/>
        <v>#DIV/0!</v>
      </c>
      <c r="BN35" s="535"/>
    </row>
    <row r="36" spans="1:66" s="25" customFormat="1" x14ac:dyDescent="0.25">
      <c r="A36" s="491">
        <v>112</v>
      </c>
      <c r="B36" s="65" t="s">
        <v>102</v>
      </c>
      <c r="C36" s="491">
        <v>1157</v>
      </c>
      <c r="D36" s="65" t="s">
        <v>104</v>
      </c>
      <c r="E36" s="491">
        <v>1</v>
      </c>
      <c r="F36" s="585"/>
      <c r="G36" s="585"/>
      <c r="H36" s="585"/>
      <c r="I36" s="585"/>
      <c r="J36" s="585"/>
      <c r="K36" s="655"/>
      <c r="L36" s="192" t="s">
        <v>1490</v>
      </c>
      <c r="M36" s="192" t="s">
        <v>1127</v>
      </c>
      <c r="N36" s="192" t="s">
        <v>48</v>
      </c>
      <c r="O36" s="191" t="s">
        <v>793</v>
      </c>
      <c r="P36" s="192" t="s">
        <v>1120</v>
      </c>
      <c r="Q36" s="428">
        <v>42179</v>
      </c>
      <c r="R36" s="428">
        <v>42188</v>
      </c>
      <c r="S36" s="191" t="s">
        <v>378</v>
      </c>
      <c r="T36" s="192">
        <v>84</v>
      </c>
      <c r="U36" s="191" t="s">
        <v>798</v>
      </c>
      <c r="V36" s="192" t="s">
        <v>1489</v>
      </c>
      <c r="W36" s="528">
        <v>1053791418</v>
      </c>
      <c r="X36" s="191" t="s">
        <v>90</v>
      </c>
      <c r="Y36" s="191" t="s">
        <v>1316</v>
      </c>
      <c r="Z36" s="192"/>
      <c r="AA36" s="366">
        <v>545</v>
      </c>
      <c r="AB36" s="430">
        <v>42178</v>
      </c>
      <c r="AC36" s="505">
        <v>612</v>
      </c>
      <c r="AD36" s="391">
        <v>3600000</v>
      </c>
      <c r="AE36" s="535"/>
      <c r="AF36" s="535"/>
      <c r="AG36" s="535"/>
      <c r="AH36" s="535"/>
      <c r="AI36" s="535"/>
      <c r="AJ36" s="535"/>
      <c r="AK36" s="535"/>
      <c r="AL36" s="535"/>
      <c r="AM36" s="535">
        <v>2520000</v>
      </c>
      <c r="AN36" s="535"/>
      <c r="AO36" s="535"/>
      <c r="AP36" s="535">
        <v>1080000</v>
      </c>
      <c r="AQ36" s="535">
        <f t="shared" si="0"/>
        <v>3600000</v>
      </c>
      <c r="AR36" s="535">
        <f t="shared" si="1"/>
        <v>0</v>
      </c>
      <c r="AS36" s="540">
        <f t="shared" si="10"/>
        <v>1</v>
      </c>
      <c r="AT36" s="192"/>
      <c r="AU36" s="366"/>
      <c r="AV36" s="173"/>
      <c r="AW36" s="366"/>
      <c r="AX36" s="534"/>
      <c r="AY36" s="535"/>
      <c r="AZ36" s="535"/>
      <c r="BA36" s="535"/>
      <c r="BB36" s="535"/>
      <c r="BC36" s="535"/>
      <c r="BD36" s="535"/>
      <c r="BE36" s="535"/>
      <c r="BF36" s="535"/>
      <c r="BG36" s="535"/>
      <c r="BH36" s="535"/>
      <c r="BI36" s="535"/>
      <c r="BJ36" s="535"/>
      <c r="BK36" s="535">
        <f t="shared" si="6"/>
        <v>0</v>
      </c>
      <c r="BL36" s="535">
        <f t="shared" si="7"/>
        <v>0</v>
      </c>
      <c r="BM36" s="543" t="e">
        <f t="shared" si="8"/>
        <v>#DIV/0!</v>
      </c>
      <c r="BN36" s="535"/>
    </row>
    <row r="37" spans="1:66" s="25" customFormat="1" x14ac:dyDescent="0.25">
      <c r="A37" s="491">
        <v>112</v>
      </c>
      <c r="B37" s="65" t="s">
        <v>102</v>
      </c>
      <c r="C37" s="491">
        <v>1157</v>
      </c>
      <c r="D37" s="65" t="s">
        <v>104</v>
      </c>
      <c r="E37" s="491">
        <v>1</v>
      </c>
      <c r="F37" s="585"/>
      <c r="G37" s="585"/>
      <c r="H37" s="585"/>
      <c r="I37" s="585"/>
      <c r="J37" s="585"/>
      <c r="K37" s="655"/>
      <c r="L37" s="192" t="s">
        <v>1488</v>
      </c>
      <c r="M37" s="192" t="s">
        <v>1127</v>
      </c>
      <c r="N37" s="192" t="s">
        <v>48</v>
      </c>
      <c r="O37" s="191" t="s">
        <v>793</v>
      </c>
      <c r="P37" s="192" t="s">
        <v>1120</v>
      </c>
      <c r="Q37" s="428">
        <v>42179</v>
      </c>
      <c r="R37" s="428">
        <v>42188</v>
      </c>
      <c r="S37" s="191" t="s">
        <v>378</v>
      </c>
      <c r="T37" s="192">
        <v>82</v>
      </c>
      <c r="U37" s="191" t="s">
        <v>798</v>
      </c>
      <c r="V37" s="192" t="s">
        <v>1487</v>
      </c>
      <c r="W37" s="192">
        <v>19192348</v>
      </c>
      <c r="X37" s="191" t="s">
        <v>90</v>
      </c>
      <c r="Y37" s="191" t="s">
        <v>1316</v>
      </c>
      <c r="Z37" s="192"/>
      <c r="AA37" s="366">
        <v>546</v>
      </c>
      <c r="AB37" s="430">
        <v>42178</v>
      </c>
      <c r="AC37" s="505">
        <v>614</v>
      </c>
      <c r="AD37" s="391">
        <v>3600000</v>
      </c>
      <c r="AE37" s="535"/>
      <c r="AF37" s="535"/>
      <c r="AG37" s="535"/>
      <c r="AH37" s="535"/>
      <c r="AI37" s="535"/>
      <c r="AJ37" s="535"/>
      <c r="AK37" s="535"/>
      <c r="AL37" s="535">
        <v>300000</v>
      </c>
      <c r="AM37" s="535">
        <v>2220000</v>
      </c>
      <c r="AN37" s="535"/>
      <c r="AO37" s="535"/>
      <c r="AP37" s="535">
        <v>1080000</v>
      </c>
      <c r="AQ37" s="535">
        <f t="shared" si="0"/>
        <v>3600000</v>
      </c>
      <c r="AR37" s="535">
        <f t="shared" ref="AR37:AR85" si="11">+AD37-AQ37</f>
        <v>0</v>
      </c>
      <c r="AS37" s="540">
        <f t="shared" si="10"/>
        <v>1</v>
      </c>
      <c r="AT37" s="192"/>
      <c r="AU37" s="366"/>
      <c r="AV37" s="173"/>
      <c r="AW37" s="366"/>
      <c r="AX37" s="534"/>
      <c r="AY37" s="535"/>
      <c r="AZ37" s="535"/>
      <c r="BA37" s="535"/>
      <c r="BB37" s="535"/>
      <c r="BC37" s="535"/>
      <c r="BD37" s="535"/>
      <c r="BE37" s="535"/>
      <c r="BF37" s="535"/>
      <c r="BG37" s="535"/>
      <c r="BH37" s="535"/>
      <c r="BI37" s="535"/>
      <c r="BJ37" s="535"/>
      <c r="BK37" s="535">
        <f t="shared" si="6"/>
        <v>0</v>
      </c>
      <c r="BL37" s="535">
        <f t="shared" si="7"/>
        <v>0</v>
      </c>
      <c r="BM37" s="543" t="e">
        <f t="shared" si="8"/>
        <v>#DIV/0!</v>
      </c>
      <c r="BN37" s="535"/>
    </row>
    <row r="38" spans="1:66" s="25" customFormat="1" x14ac:dyDescent="0.25">
      <c r="A38" s="491">
        <v>112</v>
      </c>
      <c r="B38" s="65" t="s">
        <v>102</v>
      </c>
      <c r="C38" s="491">
        <v>1157</v>
      </c>
      <c r="D38" s="65" t="s">
        <v>104</v>
      </c>
      <c r="E38" s="491">
        <v>1</v>
      </c>
      <c r="F38" s="585"/>
      <c r="G38" s="585"/>
      <c r="H38" s="585"/>
      <c r="I38" s="585"/>
      <c r="J38" s="585"/>
      <c r="K38" s="655"/>
      <c r="L38" s="192" t="s">
        <v>1486</v>
      </c>
      <c r="M38" s="192" t="s">
        <v>1127</v>
      </c>
      <c r="N38" s="192" t="s">
        <v>48</v>
      </c>
      <c r="O38" s="191" t="s">
        <v>793</v>
      </c>
      <c r="P38" s="192" t="s">
        <v>1120</v>
      </c>
      <c r="Q38" s="428">
        <v>42179</v>
      </c>
      <c r="R38" s="428">
        <v>42188</v>
      </c>
      <c r="S38" s="191" t="s">
        <v>867</v>
      </c>
      <c r="T38" s="192">
        <v>78</v>
      </c>
      <c r="U38" s="191" t="s">
        <v>798</v>
      </c>
      <c r="V38" s="192" t="s">
        <v>1485</v>
      </c>
      <c r="W38" s="192">
        <v>39681409</v>
      </c>
      <c r="X38" s="191" t="s">
        <v>90</v>
      </c>
      <c r="Y38" s="191" t="s">
        <v>1316</v>
      </c>
      <c r="Z38" s="192"/>
      <c r="AA38" s="366">
        <v>528</v>
      </c>
      <c r="AB38" s="430">
        <v>42178</v>
      </c>
      <c r="AC38" s="505">
        <v>615</v>
      </c>
      <c r="AD38" s="391">
        <v>24000000</v>
      </c>
      <c r="AE38" s="535"/>
      <c r="AF38" s="535"/>
      <c r="AG38" s="536">
        <v>6000000</v>
      </c>
      <c r="AH38" s="535"/>
      <c r="AI38" s="535"/>
      <c r="AJ38" s="535"/>
      <c r="AK38" s="535"/>
      <c r="AL38" s="535"/>
      <c r="AM38" s="535">
        <v>2400000</v>
      </c>
      <c r="AN38" s="535">
        <f>3000000+1800000</f>
        <v>4800000</v>
      </c>
      <c r="AO38" s="535">
        <v>3000000</v>
      </c>
      <c r="AP38" s="535">
        <v>3000000</v>
      </c>
      <c r="AQ38" s="535">
        <f t="shared" ref="AQ38:AQ90" si="12">SUM(AE38:AP38)</f>
        <v>19200000</v>
      </c>
      <c r="AR38" s="535">
        <f t="shared" si="11"/>
        <v>4800000</v>
      </c>
      <c r="AS38" s="540">
        <f t="shared" si="10"/>
        <v>0.8</v>
      </c>
      <c r="AT38" s="192"/>
      <c r="AU38" s="366">
        <v>80</v>
      </c>
      <c r="AV38" s="401">
        <v>42388</v>
      </c>
      <c r="AW38" s="366">
        <v>76</v>
      </c>
      <c r="AX38" s="534">
        <v>10800000</v>
      </c>
      <c r="AY38" s="535"/>
      <c r="AZ38" s="535">
        <v>3000000</v>
      </c>
      <c r="BA38" s="535">
        <f>3000000+3000000</f>
        <v>6000000</v>
      </c>
      <c r="BB38" s="535"/>
      <c r="BC38" s="535"/>
      <c r="BD38" s="535">
        <v>1800000</v>
      </c>
      <c r="BE38" s="535"/>
      <c r="BF38" s="535"/>
      <c r="BG38" s="535"/>
      <c r="BH38" s="535"/>
      <c r="BI38" s="535"/>
      <c r="BJ38" s="535"/>
      <c r="BK38" s="535">
        <f t="shared" si="6"/>
        <v>10800000</v>
      </c>
      <c r="BL38" s="535">
        <f t="shared" si="7"/>
        <v>0</v>
      </c>
      <c r="BM38" s="543">
        <f t="shared" si="8"/>
        <v>1</v>
      </c>
      <c r="BN38" s="535"/>
    </row>
    <row r="39" spans="1:66" s="25" customFormat="1" x14ac:dyDescent="0.25">
      <c r="A39" s="491">
        <v>112</v>
      </c>
      <c r="B39" s="65" t="s">
        <v>102</v>
      </c>
      <c r="C39" s="491">
        <v>1157</v>
      </c>
      <c r="D39" s="65" t="s">
        <v>104</v>
      </c>
      <c r="E39" s="491">
        <v>1</v>
      </c>
      <c r="F39" s="585"/>
      <c r="G39" s="585"/>
      <c r="H39" s="585"/>
      <c r="I39" s="585"/>
      <c r="J39" s="585"/>
      <c r="K39" s="655"/>
      <c r="L39" s="192" t="s">
        <v>1484</v>
      </c>
      <c r="M39" s="192" t="s">
        <v>1127</v>
      </c>
      <c r="N39" s="192" t="s">
        <v>48</v>
      </c>
      <c r="O39" s="191" t="s">
        <v>793</v>
      </c>
      <c r="P39" s="192" t="s">
        <v>1120</v>
      </c>
      <c r="Q39" s="428">
        <v>42179</v>
      </c>
      <c r="R39" s="428">
        <v>42188</v>
      </c>
      <c r="S39" s="191" t="s">
        <v>378</v>
      </c>
      <c r="T39" s="192">
        <v>79</v>
      </c>
      <c r="U39" s="191" t="s">
        <v>798</v>
      </c>
      <c r="V39" s="192" t="s">
        <v>1483</v>
      </c>
      <c r="W39" s="192">
        <v>1072426339</v>
      </c>
      <c r="X39" s="191" t="s">
        <v>90</v>
      </c>
      <c r="Y39" s="191" t="s">
        <v>1316</v>
      </c>
      <c r="Z39" s="192"/>
      <c r="AA39" s="366">
        <v>537</v>
      </c>
      <c r="AB39" s="430">
        <v>42178</v>
      </c>
      <c r="AC39" s="505">
        <v>616</v>
      </c>
      <c r="AD39" s="391">
        <v>3600000</v>
      </c>
      <c r="AE39" s="535"/>
      <c r="AF39" s="535"/>
      <c r="AG39" s="535"/>
      <c r="AH39" s="535"/>
      <c r="AI39" s="535"/>
      <c r="AJ39" s="535"/>
      <c r="AK39" s="535"/>
      <c r="AL39" s="535">
        <v>720000</v>
      </c>
      <c r="AM39" s="535">
        <v>1800000</v>
      </c>
      <c r="AN39" s="535"/>
      <c r="AO39" s="535">
        <v>1080000</v>
      </c>
      <c r="AP39" s="535"/>
      <c r="AQ39" s="535">
        <f t="shared" si="12"/>
        <v>3600000</v>
      </c>
      <c r="AR39" s="535">
        <f t="shared" si="11"/>
        <v>0</v>
      </c>
      <c r="AS39" s="540">
        <f t="shared" si="10"/>
        <v>1</v>
      </c>
      <c r="AT39" s="192"/>
      <c r="AU39" s="366"/>
      <c r="AV39" s="173"/>
      <c r="AW39" s="366"/>
      <c r="AX39" s="534"/>
      <c r="AY39" s="535"/>
      <c r="AZ39" s="535"/>
      <c r="BA39" s="535"/>
      <c r="BB39" s="535"/>
      <c r="BC39" s="535"/>
      <c r="BD39" s="535"/>
      <c r="BE39" s="535"/>
      <c r="BF39" s="535"/>
      <c r="BG39" s="535"/>
      <c r="BH39" s="535"/>
      <c r="BI39" s="535"/>
      <c r="BJ39" s="535"/>
      <c r="BK39" s="535">
        <f t="shared" si="6"/>
        <v>0</v>
      </c>
      <c r="BL39" s="535">
        <f t="shared" si="7"/>
        <v>0</v>
      </c>
      <c r="BM39" s="543" t="e">
        <f t="shared" si="8"/>
        <v>#DIV/0!</v>
      </c>
      <c r="BN39" s="535"/>
    </row>
    <row r="40" spans="1:66" s="25" customFormat="1" x14ac:dyDescent="0.25">
      <c r="A40" s="491">
        <v>112</v>
      </c>
      <c r="B40" s="65" t="s">
        <v>102</v>
      </c>
      <c r="C40" s="491">
        <v>1157</v>
      </c>
      <c r="D40" s="65" t="s">
        <v>104</v>
      </c>
      <c r="E40" s="491">
        <v>1</v>
      </c>
      <c r="F40" s="585"/>
      <c r="G40" s="585"/>
      <c r="H40" s="585"/>
      <c r="I40" s="585"/>
      <c r="J40" s="585"/>
      <c r="K40" s="655"/>
      <c r="L40" s="192" t="s">
        <v>1482</v>
      </c>
      <c r="M40" s="192" t="s">
        <v>1127</v>
      </c>
      <c r="N40" s="192" t="s">
        <v>48</v>
      </c>
      <c r="O40" s="191" t="s">
        <v>793</v>
      </c>
      <c r="P40" s="192" t="s">
        <v>1120</v>
      </c>
      <c r="Q40" s="428">
        <v>42179</v>
      </c>
      <c r="R40" s="428">
        <v>42188</v>
      </c>
      <c r="S40" s="191" t="s">
        <v>867</v>
      </c>
      <c r="T40" s="192">
        <v>95</v>
      </c>
      <c r="U40" s="191" t="s">
        <v>798</v>
      </c>
      <c r="V40" s="192" t="s">
        <v>1481</v>
      </c>
      <c r="W40" s="192">
        <v>6457862</v>
      </c>
      <c r="X40" s="191" t="s">
        <v>90</v>
      </c>
      <c r="Y40" s="191" t="s">
        <v>1316</v>
      </c>
      <c r="Z40" s="192"/>
      <c r="AA40" s="366">
        <v>533</v>
      </c>
      <c r="AB40" s="430">
        <v>42178</v>
      </c>
      <c r="AC40" s="505">
        <v>617</v>
      </c>
      <c r="AD40" s="391">
        <v>24000000</v>
      </c>
      <c r="AE40" s="535"/>
      <c r="AF40" s="535"/>
      <c r="AG40" s="536">
        <v>6000000</v>
      </c>
      <c r="AH40" s="535"/>
      <c r="AI40" s="535"/>
      <c r="AJ40" s="535"/>
      <c r="AK40" s="535"/>
      <c r="AL40" s="535">
        <v>1200000</v>
      </c>
      <c r="AM40" s="535">
        <v>3000000</v>
      </c>
      <c r="AN40" s="535">
        <v>3000000</v>
      </c>
      <c r="AO40" s="535">
        <v>3000000</v>
      </c>
      <c r="AP40" s="535">
        <f>3000000+3000000</f>
        <v>6000000</v>
      </c>
      <c r="AQ40" s="535">
        <f t="shared" si="12"/>
        <v>22200000</v>
      </c>
      <c r="AR40" s="535">
        <f t="shared" si="11"/>
        <v>1800000</v>
      </c>
      <c r="AS40" s="540">
        <f t="shared" si="10"/>
        <v>0.92500000000000004</v>
      </c>
      <c r="AT40" s="192"/>
      <c r="AU40" s="366">
        <v>81</v>
      </c>
      <c r="AV40" s="401">
        <v>42388</v>
      </c>
      <c r="AW40" s="366">
        <v>77</v>
      </c>
      <c r="AX40" s="534">
        <f>+AR40</f>
        <v>1800000</v>
      </c>
      <c r="AY40" s="535"/>
      <c r="AZ40" s="535"/>
      <c r="BA40" s="535">
        <f>3000000+3000000</f>
        <v>6000000</v>
      </c>
      <c r="BB40" s="535"/>
      <c r="BC40" s="535"/>
      <c r="BD40" s="535">
        <v>1800000</v>
      </c>
      <c r="BE40" s="535"/>
      <c r="BF40" s="535"/>
      <c r="BG40" s="535"/>
      <c r="BH40" s="535"/>
      <c r="BI40" s="535"/>
      <c r="BJ40" s="535"/>
      <c r="BK40" s="535">
        <f t="shared" si="6"/>
        <v>7800000</v>
      </c>
      <c r="BL40" s="535">
        <f t="shared" si="7"/>
        <v>-6000000</v>
      </c>
      <c r="BM40" s="543">
        <f t="shared" si="8"/>
        <v>4.333333333333333</v>
      </c>
      <c r="BN40" s="535"/>
    </row>
    <row r="41" spans="1:66" s="25" customFormat="1" x14ac:dyDescent="0.25">
      <c r="A41" s="491">
        <v>112</v>
      </c>
      <c r="B41" s="65" t="s">
        <v>102</v>
      </c>
      <c r="C41" s="491">
        <v>1157</v>
      </c>
      <c r="D41" s="65" t="s">
        <v>104</v>
      </c>
      <c r="E41" s="491">
        <v>1</v>
      </c>
      <c r="F41" s="585"/>
      <c r="G41" s="585"/>
      <c r="H41" s="585"/>
      <c r="I41" s="585"/>
      <c r="J41" s="585"/>
      <c r="K41" s="655"/>
      <c r="L41" s="192" t="s">
        <v>1480</v>
      </c>
      <c r="M41" s="192" t="s">
        <v>1127</v>
      </c>
      <c r="N41" s="192" t="s">
        <v>48</v>
      </c>
      <c r="O41" s="191" t="s">
        <v>793</v>
      </c>
      <c r="P41" s="192" t="s">
        <v>1461</v>
      </c>
      <c r="Q41" s="428">
        <v>42179</v>
      </c>
      <c r="R41" s="428">
        <v>42188</v>
      </c>
      <c r="S41" s="191" t="s">
        <v>867</v>
      </c>
      <c r="T41" s="192">
        <v>87</v>
      </c>
      <c r="U41" s="191" t="s">
        <v>798</v>
      </c>
      <c r="V41" s="192" t="s">
        <v>1479</v>
      </c>
      <c r="W41" s="192">
        <v>51685840</v>
      </c>
      <c r="X41" s="191" t="s">
        <v>90</v>
      </c>
      <c r="Y41" s="191" t="s">
        <v>1316</v>
      </c>
      <c r="Z41" s="192"/>
      <c r="AA41" s="366">
        <v>530</v>
      </c>
      <c r="AB41" s="430">
        <v>42178</v>
      </c>
      <c r="AC41" s="505">
        <v>618</v>
      </c>
      <c r="AD41" s="391">
        <v>24000000</v>
      </c>
      <c r="AE41" s="535"/>
      <c r="AF41" s="535"/>
      <c r="AG41" s="536">
        <v>3000000</v>
      </c>
      <c r="AH41" s="535"/>
      <c r="AI41" s="535"/>
      <c r="AJ41" s="535"/>
      <c r="AK41" s="535"/>
      <c r="AL41" s="535">
        <v>1200000</v>
      </c>
      <c r="AM41" s="535">
        <v>3000000</v>
      </c>
      <c r="AN41" s="535">
        <v>3000000</v>
      </c>
      <c r="AO41" s="535">
        <v>3000000</v>
      </c>
      <c r="AP41" s="535">
        <v>3000000</v>
      </c>
      <c r="AQ41" s="535">
        <f t="shared" si="12"/>
        <v>16200000</v>
      </c>
      <c r="AR41" s="535">
        <f t="shared" si="11"/>
        <v>7800000</v>
      </c>
      <c r="AS41" s="540">
        <f t="shared" si="10"/>
        <v>0.67500000000000004</v>
      </c>
      <c r="AT41" s="192"/>
      <c r="AU41" s="366">
        <v>82</v>
      </c>
      <c r="AV41" s="401">
        <v>42388</v>
      </c>
      <c r="AW41" s="366">
        <v>78</v>
      </c>
      <c r="AX41" s="534">
        <f>+AR41</f>
        <v>7800000</v>
      </c>
      <c r="AY41" s="535"/>
      <c r="AZ41" s="535">
        <v>6000000</v>
      </c>
      <c r="BA41" s="535">
        <v>3000000</v>
      </c>
      <c r="BB41" s="535"/>
      <c r="BC41" s="535"/>
      <c r="BD41" s="535">
        <v>1800000</v>
      </c>
      <c r="BE41" s="535"/>
      <c r="BF41" s="535"/>
      <c r="BG41" s="535"/>
      <c r="BH41" s="535"/>
      <c r="BI41" s="535"/>
      <c r="BJ41" s="535"/>
      <c r="BK41" s="535">
        <f t="shared" si="6"/>
        <v>10800000</v>
      </c>
      <c r="BL41" s="535">
        <f t="shared" si="7"/>
        <v>-3000000</v>
      </c>
      <c r="BM41" s="543">
        <f t="shared" si="8"/>
        <v>1.3846153846153846</v>
      </c>
      <c r="BN41" s="535"/>
    </row>
    <row r="42" spans="1:66" s="25" customFormat="1" x14ac:dyDescent="0.25">
      <c r="A42" s="491">
        <v>112</v>
      </c>
      <c r="B42" s="65" t="s">
        <v>102</v>
      </c>
      <c r="C42" s="491">
        <v>1157</v>
      </c>
      <c r="D42" s="65" t="s">
        <v>104</v>
      </c>
      <c r="E42" s="491">
        <v>1</v>
      </c>
      <c r="F42" s="585"/>
      <c r="G42" s="585"/>
      <c r="H42" s="585"/>
      <c r="I42" s="585"/>
      <c r="J42" s="585"/>
      <c r="K42" s="655"/>
      <c r="L42" s="192" t="s">
        <v>1478</v>
      </c>
      <c r="M42" s="192" t="s">
        <v>1127</v>
      </c>
      <c r="N42" s="192" t="s">
        <v>48</v>
      </c>
      <c r="O42" s="191" t="s">
        <v>793</v>
      </c>
      <c r="P42" s="192" t="s">
        <v>1120</v>
      </c>
      <c r="Q42" s="428">
        <v>42179</v>
      </c>
      <c r="R42" s="428">
        <v>42188</v>
      </c>
      <c r="S42" s="191" t="s">
        <v>867</v>
      </c>
      <c r="T42" s="192">
        <v>89</v>
      </c>
      <c r="U42" s="191" t="s">
        <v>798</v>
      </c>
      <c r="V42" s="192" t="s">
        <v>1477</v>
      </c>
      <c r="W42" s="192">
        <v>55238978</v>
      </c>
      <c r="X42" s="191" t="s">
        <v>90</v>
      </c>
      <c r="Y42" s="191" t="s">
        <v>1316</v>
      </c>
      <c r="Z42" s="192"/>
      <c r="AA42" s="366">
        <v>531</v>
      </c>
      <c r="AB42" s="430">
        <v>42178</v>
      </c>
      <c r="AC42" s="505">
        <v>619</v>
      </c>
      <c r="AD42" s="391">
        <v>24000000</v>
      </c>
      <c r="AE42" s="535"/>
      <c r="AF42" s="535"/>
      <c r="AG42" s="536">
        <v>4800000</v>
      </c>
      <c r="AH42" s="535"/>
      <c r="AI42" s="535"/>
      <c r="AJ42" s="535"/>
      <c r="AK42" s="535"/>
      <c r="AL42" s="535">
        <v>1200000</v>
      </c>
      <c r="AM42" s="535">
        <v>3000000</v>
      </c>
      <c r="AN42" s="535">
        <v>3000000</v>
      </c>
      <c r="AO42" s="535">
        <v>3000000</v>
      </c>
      <c r="AP42" s="535">
        <f>3000000+3000000</f>
        <v>6000000</v>
      </c>
      <c r="AQ42" s="535">
        <f t="shared" si="12"/>
        <v>21000000</v>
      </c>
      <c r="AR42" s="535">
        <f t="shared" si="11"/>
        <v>3000000</v>
      </c>
      <c r="AS42" s="540">
        <f t="shared" si="10"/>
        <v>0.875</v>
      </c>
      <c r="AT42" s="192"/>
      <c r="AU42" s="366">
        <v>83</v>
      </c>
      <c r="AV42" s="401">
        <v>42388</v>
      </c>
      <c r="AW42" s="366">
        <v>79</v>
      </c>
      <c r="AX42" s="534">
        <f>+AR42</f>
        <v>3000000</v>
      </c>
      <c r="AY42" s="535"/>
      <c r="AZ42" s="535">
        <v>3000000</v>
      </c>
      <c r="BA42" s="535">
        <f>3000000+1800000</f>
        <v>4800000</v>
      </c>
      <c r="BB42" s="535"/>
      <c r="BC42" s="535"/>
      <c r="BD42" s="535"/>
      <c r="BE42" s="535"/>
      <c r="BF42" s="535"/>
      <c r="BG42" s="535"/>
      <c r="BH42" s="535"/>
      <c r="BI42" s="535"/>
      <c r="BJ42" s="535"/>
      <c r="BK42" s="535">
        <f t="shared" si="6"/>
        <v>7800000</v>
      </c>
      <c r="BL42" s="535">
        <f t="shared" si="7"/>
        <v>-4800000</v>
      </c>
      <c r="BM42" s="543">
        <f t="shared" si="8"/>
        <v>2.6</v>
      </c>
      <c r="BN42" s="535"/>
    </row>
    <row r="43" spans="1:66" s="25" customFormat="1" x14ac:dyDescent="0.25">
      <c r="A43" s="491">
        <v>112</v>
      </c>
      <c r="B43" s="65" t="s">
        <v>102</v>
      </c>
      <c r="C43" s="491">
        <v>1157</v>
      </c>
      <c r="D43" s="65" t="s">
        <v>104</v>
      </c>
      <c r="E43" s="491">
        <v>1</v>
      </c>
      <c r="F43" s="585"/>
      <c r="G43" s="585"/>
      <c r="H43" s="585"/>
      <c r="I43" s="585"/>
      <c r="J43" s="585"/>
      <c r="K43" s="655"/>
      <c r="L43" s="192" t="s">
        <v>1476</v>
      </c>
      <c r="M43" s="192" t="s">
        <v>1127</v>
      </c>
      <c r="N43" s="192" t="s">
        <v>48</v>
      </c>
      <c r="O43" s="191" t="s">
        <v>793</v>
      </c>
      <c r="P43" s="192" t="s">
        <v>1120</v>
      </c>
      <c r="Q43" s="428">
        <v>42179</v>
      </c>
      <c r="R43" s="428">
        <v>42188</v>
      </c>
      <c r="S43" s="191" t="s">
        <v>867</v>
      </c>
      <c r="T43" s="192">
        <v>77</v>
      </c>
      <c r="U43" s="191" t="s">
        <v>798</v>
      </c>
      <c r="V43" s="192" t="s">
        <v>1475</v>
      </c>
      <c r="W43" s="192">
        <v>56067782</v>
      </c>
      <c r="X43" s="191" t="s">
        <v>90</v>
      </c>
      <c r="Y43" s="191" t="s">
        <v>1316</v>
      </c>
      <c r="Z43" s="192"/>
      <c r="AA43" s="366">
        <v>526</v>
      </c>
      <c r="AB43" s="430">
        <v>42178</v>
      </c>
      <c r="AC43" s="505">
        <v>620</v>
      </c>
      <c r="AD43" s="391">
        <v>24000000</v>
      </c>
      <c r="AE43" s="535"/>
      <c r="AF43" s="535"/>
      <c r="AG43" s="536">
        <v>3000000</v>
      </c>
      <c r="AH43" s="535"/>
      <c r="AI43" s="535"/>
      <c r="AJ43" s="535"/>
      <c r="AK43" s="535"/>
      <c r="AL43" s="535"/>
      <c r="AM43" s="535">
        <v>4200000</v>
      </c>
      <c r="AN43" s="535">
        <v>3000000</v>
      </c>
      <c r="AO43" s="535">
        <v>3000000</v>
      </c>
      <c r="AP43" s="535">
        <f>3000000+3000000</f>
        <v>6000000</v>
      </c>
      <c r="AQ43" s="535">
        <f t="shared" si="12"/>
        <v>19200000</v>
      </c>
      <c r="AR43" s="535">
        <f t="shared" si="11"/>
        <v>4800000</v>
      </c>
      <c r="AS43" s="540">
        <f t="shared" si="10"/>
        <v>0.8</v>
      </c>
      <c r="AT43" s="192"/>
      <c r="AU43" s="366">
        <v>84</v>
      </c>
      <c r="AV43" s="401">
        <v>42388</v>
      </c>
      <c r="AW43" s="366">
        <v>80</v>
      </c>
      <c r="AX43" s="534">
        <f>+AR43</f>
        <v>4800000</v>
      </c>
      <c r="AY43" s="535"/>
      <c r="AZ43" s="535">
        <v>3000000</v>
      </c>
      <c r="BA43" s="535">
        <v>3000000</v>
      </c>
      <c r="BB43" s="535"/>
      <c r="BC43" s="535"/>
      <c r="BD43" s="535">
        <v>1800000</v>
      </c>
      <c r="BE43" s="535"/>
      <c r="BF43" s="535"/>
      <c r="BG43" s="535"/>
      <c r="BH43" s="535"/>
      <c r="BI43" s="535"/>
      <c r="BJ43" s="535"/>
      <c r="BK43" s="535">
        <f t="shared" si="6"/>
        <v>7800000</v>
      </c>
      <c r="BL43" s="535">
        <f t="shared" si="7"/>
        <v>-3000000</v>
      </c>
      <c r="BM43" s="543">
        <f t="shared" si="8"/>
        <v>1.625</v>
      </c>
      <c r="BN43" s="535"/>
    </row>
    <row r="44" spans="1:66" s="25" customFormat="1" x14ac:dyDescent="0.25">
      <c r="A44" s="491">
        <v>112</v>
      </c>
      <c r="B44" s="65" t="s">
        <v>102</v>
      </c>
      <c r="C44" s="491">
        <v>1157</v>
      </c>
      <c r="D44" s="65" t="s">
        <v>104</v>
      </c>
      <c r="E44" s="491">
        <v>1</v>
      </c>
      <c r="F44" s="585"/>
      <c r="G44" s="585"/>
      <c r="H44" s="585"/>
      <c r="I44" s="585"/>
      <c r="J44" s="585"/>
      <c r="K44" s="655"/>
      <c r="L44" s="192" t="s">
        <v>1474</v>
      </c>
      <c r="M44" s="192" t="s">
        <v>1127</v>
      </c>
      <c r="N44" s="192" t="s">
        <v>48</v>
      </c>
      <c r="O44" s="191" t="s">
        <v>793</v>
      </c>
      <c r="P44" s="192" t="s">
        <v>1120</v>
      </c>
      <c r="Q44" s="428">
        <v>42179</v>
      </c>
      <c r="R44" s="428">
        <v>42188</v>
      </c>
      <c r="S44" s="191" t="s">
        <v>867</v>
      </c>
      <c r="T44" s="192">
        <v>97</v>
      </c>
      <c r="U44" s="191" t="s">
        <v>798</v>
      </c>
      <c r="V44" s="192" t="s">
        <v>1473</v>
      </c>
      <c r="W44" s="192">
        <v>52732091</v>
      </c>
      <c r="X44" s="191" t="s">
        <v>90</v>
      </c>
      <c r="Y44" s="191" t="s">
        <v>1316</v>
      </c>
      <c r="Z44" s="192"/>
      <c r="AA44" s="366">
        <v>525</v>
      </c>
      <c r="AB44" s="430">
        <v>42178</v>
      </c>
      <c r="AC44" s="505">
        <v>621</v>
      </c>
      <c r="AD44" s="391">
        <v>24000000</v>
      </c>
      <c r="AE44" s="535"/>
      <c r="AF44" s="535"/>
      <c r="AG44" s="536">
        <v>3000000</v>
      </c>
      <c r="AH44" s="535"/>
      <c r="AI44" s="535"/>
      <c r="AJ44" s="535"/>
      <c r="AK44" s="535"/>
      <c r="AL44" s="535">
        <v>1200000</v>
      </c>
      <c r="AM44" s="535">
        <v>3000000</v>
      </c>
      <c r="AN44" s="535">
        <v>3000000</v>
      </c>
      <c r="AO44" s="535">
        <v>3000000</v>
      </c>
      <c r="AP44" s="535">
        <f>3000000+3000000</f>
        <v>6000000</v>
      </c>
      <c r="AQ44" s="535">
        <f t="shared" si="12"/>
        <v>19200000</v>
      </c>
      <c r="AR44" s="535">
        <f t="shared" si="11"/>
        <v>4800000</v>
      </c>
      <c r="AS44" s="540">
        <f t="shared" si="10"/>
        <v>0.8</v>
      </c>
      <c r="AT44" s="192"/>
      <c r="AU44" s="366">
        <v>85</v>
      </c>
      <c r="AV44" s="401">
        <v>42388</v>
      </c>
      <c r="AW44" s="366">
        <v>81</v>
      </c>
      <c r="AX44" s="534">
        <f>+AR44</f>
        <v>4800000</v>
      </c>
      <c r="AY44" s="535"/>
      <c r="AZ44" s="535">
        <v>3000000</v>
      </c>
      <c r="BA44" s="535">
        <v>3000000</v>
      </c>
      <c r="BB44" s="535"/>
      <c r="BC44" s="535"/>
      <c r="BD44" s="535">
        <v>1800000</v>
      </c>
      <c r="BE44" s="535"/>
      <c r="BF44" s="535"/>
      <c r="BG44" s="535"/>
      <c r="BH44" s="535"/>
      <c r="BI44" s="535"/>
      <c r="BJ44" s="535"/>
      <c r="BK44" s="535">
        <f t="shared" si="6"/>
        <v>7800000</v>
      </c>
      <c r="BL44" s="535">
        <f t="shared" si="7"/>
        <v>-3000000</v>
      </c>
      <c r="BM44" s="543">
        <f t="shared" si="8"/>
        <v>1.625</v>
      </c>
      <c r="BN44" s="535"/>
    </row>
    <row r="45" spans="1:66" s="25" customFormat="1" x14ac:dyDescent="0.25">
      <c r="A45" s="491">
        <v>112</v>
      </c>
      <c r="B45" s="65" t="s">
        <v>102</v>
      </c>
      <c r="C45" s="491">
        <v>1157</v>
      </c>
      <c r="D45" s="65" t="s">
        <v>104</v>
      </c>
      <c r="E45" s="491">
        <v>1</v>
      </c>
      <c r="F45" s="585"/>
      <c r="G45" s="585"/>
      <c r="H45" s="585"/>
      <c r="I45" s="585"/>
      <c r="J45" s="585"/>
      <c r="K45" s="655"/>
      <c r="L45" s="192" t="s">
        <v>1472</v>
      </c>
      <c r="M45" s="192" t="s">
        <v>1127</v>
      </c>
      <c r="N45" s="192" t="s">
        <v>48</v>
      </c>
      <c r="O45" s="191" t="s">
        <v>793</v>
      </c>
      <c r="P45" s="192" t="s">
        <v>1120</v>
      </c>
      <c r="Q45" s="428">
        <v>42179</v>
      </c>
      <c r="R45" s="428">
        <v>42188</v>
      </c>
      <c r="S45" s="191" t="s">
        <v>378</v>
      </c>
      <c r="T45" s="192">
        <v>85</v>
      </c>
      <c r="U45" s="191" t="s">
        <v>798</v>
      </c>
      <c r="V45" s="192" t="s">
        <v>1471</v>
      </c>
      <c r="W45" s="192">
        <v>52839508</v>
      </c>
      <c r="X45" s="191" t="s">
        <v>90</v>
      </c>
      <c r="Y45" s="191" t="s">
        <v>1316</v>
      </c>
      <c r="Z45" s="192"/>
      <c r="AA45" s="366">
        <v>536</v>
      </c>
      <c r="AB45" s="430">
        <v>42178</v>
      </c>
      <c r="AC45" s="505">
        <v>622</v>
      </c>
      <c r="AD45" s="391">
        <v>3600000</v>
      </c>
      <c r="AE45" s="535"/>
      <c r="AF45" s="535"/>
      <c r="AG45" s="535"/>
      <c r="AH45" s="535"/>
      <c r="AI45" s="535"/>
      <c r="AJ45" s="535"/>
      <c r="AK45" s="535"/>
      <c r="AL45" s="535"/>
      <c r="AM45" s="535">
        <v>2520000</v>
      </c>
      <c r="AN45" s="535"/>
      <c r="AO45" s="535"/>
      <c r="AP45" s="535">
        <v>1080000</v>
      </c>
      <c r="AQ45" s="535">
        <f t="shared" si="12"/>
        <v>3600000</v>
      </c>
      <c r="AR45" s="535">
        <f t="shared" si="11"/>
        <v>0</v>
      </c>
      <c r="AS45" s="540">
        <f t="shared" si="10"/>
        <v>1</v>
      </c>
      <c r="AT45" s="192"/>
      <c r="AU45" s="366"/>
      <c r="AV45" s="173"/>
      <c r="AW45" s="366"/>
      <c r="AX45" s="534"/>
      <c r="AY45" s="535"/>
      <c r="AZ45" s="535"/>
      <c r="BA45" s="535"/>
      <c r="BB45" s="535"/>
      <c r="BC45" s="535"/>
      <c r="BD45" s="535"/>
      <c r="BE45" s="535"/>
      <c r="BF45" s="535"/>
      <c r="BG45" s="535"/>
      <c r="BH45" s="535"/>
      <c r="BI45" s="535"/>
      <c r="BJ45" s="535"/>
      <c r="BK45" s="535">
        <f t="shared" si="6"/>
        <v>0</v>
      </c>
      <c r="BL45" s="535">
        <f t="shared" si="7"/>
        <v>0</v>
      </c>
      <c r="BM45" s="543" t="e">
        <f t="shared" si="8"/>
        <v>#DIV/0!</v>
      </c>
      <c r="BN45" s="535"/>
    </row>
    <row r="46" spans="1:66" s="25" customFormat="1" x14ac:dyDescent="0.25">
      <c r="A46" s="491">
        <v>112</v>
      </c>
      <c r="B46" s="65" t="s">
        <v>102</v>
      </c>
      <c r="C46" s="491">
        <v>1157</v>
      </c>
      <c r="D46" s="65" t="s">
        <v>104</v>
      </c>
      <c r="E46" s="491">
        <v>1</v>
      </c>
      <c r="F46" s="585"/>
      <c r="G46" s="585"/>
      <c r="H46" s="585"/>
      <c r="I46" s="585"/>
      <c r="J46" s="585"/>
      <c r="K46" s="655"/>
      <c r="L46" s="192" t="s">
        <v>1470</v>
      </c>
      <c r="M46" s="192" t="s">
        <v>1127</v>
      </c>
      <c r="N46" s="192" t="s">
        <v>48</v>
      </c>
      <c r="O46" s="191" t="s">
        <v>793</v>
      </c>
      <c r="P46" s="192" t="s">
        <v>1120</v>
      </c>
      <c r="Q46" s="428">
        <v>42179</v>
      </c>
      <c r="R46" s="428">
        <v>42188</v>
      </c>
      <c r="S46" s="191" t="s">
        <v>378</v>
      </c>
      <c r="T46" s="192">
        <v>90</v>
      </c>
      <c r="U46" s="191" t="s">
        <v>798</v>
      </c>
      <c r="V46" s="192" t="s">
        <v>1469</v>
      </c>
      <c r="W46" s="192">
        <v>1030618154</v>
      </c>
      <c r="X46" s="191" t="s">
        <v>90</v>
      </c>
      <c r="Y46" s="191" t="s">
        <v>1316</v>
      </c>
      <c r="Z46" s="192"/>
      <c r="AA46" s="366">
        <v>542</v>
      </c>
      <c r="AB46" s="430">
        <v>42178</v>
      </c>
      <c r="AC46" s="505">
        <v>623</v>
      </c>
      <c r="AD46" s="391">
        <v>3600000</v>
      </c>
      <c r="AE46" s="535"/>
      <c r="AF46" s="535"/>
      <c r="AG46" s="535"/>
      <c r="AH46" s="535"/>
      <c r="AI46" s="535"/>
      <c r="AJ46" s="535"/>
      <c r="AK46" s="535"/>
      <c r="AL46" s="535"/>
      <c r="AM46" s="535">
        <v>2520000</v>
      </c>
      <c r="AN46" s="535"/>
      <c r="AO46" s="535">
        <v>1080000</v>
      </c>
      <c r="AP46" s="535"/>
      <c r="AQ46" s="535">
        <f t="shared" si="12"/>
        <v>3600000</v>
      </c>
      <c r="AR46" s="535">
        <f t="shared" si="11"/>
        <v>0</v>
      </c>
      <c r="AS46" s="540">
        <f t="shared" si="10"/>
        <v>1</v>
      </c>
      <c r="AT46" s="192"/>
      <c r="AU46" s="366"/>
      <c r="AV46" s="173"/>
      <c r="AW46" s="366"/>
      <c r="AX46" s="534"/>
      <c r="AY46" s="535"/>
      <c r="AZ46" s="535"/>
      <c r="BA46" s="535"/>
      <c r="BB46" s="535"/>
      <c r="BC46" s="535"/>
      <c r="BD46" s="535"/>
      <c r="BE46" s="535"/>
      <c r="BF46" s="535"/>
      <c r="BG46" s="535"/>
      <c r="BH46" s="535"/>
      <c r="BI46" s="535"/>
      <c r="BJ46" s="535"/>
      <c r="BK46" s="535">
        <f t="shared" si="6"/>
        <v>0</v>
      </c>
      <c r="BL46" s="535">
        <f t="shared" si="7"/>
        <v>0</v>
      </c>
      <c r="BM46" s="543" t="e">
        <f t="shared" si="8"/>
        <v>#DIV/0!</v>
      </c>
      <c r="BN46" s="535"/>
    </row>
    <row r="47" spans="1:66" s="25" customFormat="1" x14ac:dyDescent="0.25">
      <c r="A47" s="491">
        <v>112</v>
      </c>
      <c r="B47" s="65" t="s">
        <v>102</v>
      </c>
      <c r="C47" s="491">
        <v>1157</v>
      </c>
      <c r="D47" s="65" t="s">
        <v>104</v>
      </c>
      <c r="E47" s="491">
        <v>1</v>
      </c>
      <c r="F47" s="585"/>
      <c r="G47" s="585"/>
      <c r="H47" s="585"/>
      <c r="I47" s="585"/>
      <c r="J47" s="585"/>
      <c r="K47" s="655"/>
      <c r="L47" s="192" t="s">
        <v>1468</v>
      </c>
      <c r="M47" s="192" t="s">
        <v>1127</v>
      </c>
      <c r="N47" s="192" t="s">
        <v>48</v>
      </c>
      <c r="O47" s="191" t="s">
        <v>793</v>
      </c>
      <c r="P47" s="192" t="s">
        <v>1120</v>
      </c>
      <c r="Q47" s="428">
        <v>42179</v>
      </c>
      <c r="R47" s="428">
        <v>42188</v>
      </c>
      <c r="S47" s="191" t="s">
        <v>378</v>
      </c>
      <c r="T47" s="192">
        <v>83</v>
      </c>
      <c r="U47" s="191" t="s">
        <v>798</v>
      </c>
      <c r="V47" s="192" t="s">
        <v>1467</v>
      </c>
      <c r="W47" s="192">
        <v>80238468</v>
      </c>
      <c r="X47" s="191" t="s">
        <v>90</v>
      </c>
      <c r="Y47" s="191" t="s">
        <v>1316</v>
      </c>
      <c r="Z47" s="192"/>
      <c r="AA47" s="366">
        <v>540</v>
      </c>
      <c r="AB47" s="430">
        <v>42178</v>
      </c>
      <c r="AC47" s="505">
        <v>624</v>
      </c>
      <c r="AD47" s="391">
        <v>3480000</v>
      </c>
      <c r="AE47" s="535"/>
      <c r="AF47" s="535"/>
      <c r="AG47" s="535"/>
      <c r="AH47" s="535"/>
      <c r="AI47" s="535"/>
      <c r="AJ47" s="535"/>
      <c r="AK47" s="535"/>
      <c r="AL47" s="535"/>
      <c r="AM47" s="535"/>
      <c r="AN47" s="535"/>
      <c r="AO47" s="535"/>
      <c r="AP47" s="535">
        <v>3480000</v>
      </c>
      <c r="AQ47" s="535">
        <f t="shared" si="12"/>
        <v>3480000</v>
      </c>
      <c r="AR47" s="535">
        <f t="shared" si="11"/>
        <v>0</v>
      </c>
      <c r="AS47" s="540">
        <f t="shared" si="10"/>
        <v>1</v>
      </c>
      <c r="AT47" s="192"/>
      <c r="AU47" s="366"/>
      <c r="AV47" s="173"/>
      <c r="AW47" s="366"/>
      <c r="AX47" s="534"/>
      <c r="AY47" s="535"/>
      <c r="AZ47" s="535"/>
      <c r="BA47" s="535"/>
      <c r="BB47" s="535"/>
      <c r="BC47" s="535"/>
      <c r="BD47" s="535"/>
      <c r="BE47" s="535"/>
      <c r="BF47" s="535"/>
      <c r="BG47" s="535"/>
      <c r="BH47" s="535"/>
      <c r="BI47" s="535"/>
      <c r="BJ47" s="535"/>
      <c r="BK47" s="535">
        <f t="shared" si="6"/>
        <v>0</v>
      </c>
      <c r="BL47" s="535">
        <f t="shared" si="7"/>
        <v>0</v>
      </c>
      <c r="BM47" s="543" t="e">
        <f t="shared" si="8"/>
        <v>#DIV/0!</v>
      </c>
      <c r="BN47" s="535"/>
    </row>
    <row r="48" spans="1:66" s="25" customFormat="1" x14ac:dyDescent="0.25">
      <c r="A48" s="491">
        <v>112</v>
      </c>
      <c r="B48" s="65" t="s">
        <v>102</v>
      </c>
      <c r="C48" s="491">
        <v>1157</v>
      </c>
      <c r="D48" s="65" t="s">
        <v>104</v>
      </c>
      <c r="E48" s="491">
        <v>1</v>
      </c>
      <c r="F48" s="585"/>
      <c r="G48" s="585"/>
      <c r="H48" s="585"/>
      <c r="I48" s="585"/>
      <c r="J48" s="585"/>
      <c r="K48" s="655"/>
      <c r="L48" s="192" t="s">
        <v>1466</v>
      </c>
      <c r="M48" s="192" t="s">
        <v>1127</v>
      </c>
      <c r="N48" s="192" t="s">
        <v>48</v>
      </c>
      <c r="O48" s="191" t="s">
        <v>793</v>
      </c>
      <c r="P48" s="192" t="s">
        <v>1120</v>
      </c>
      <c r="Q48" s="428">
        <v>42179</v>
      </c>
      <c r="R48" s="428">
        <v>42188</v>
      </c>
      <c r="S48" s="191" t="s">
        <v>378</v>
      </c>
      <c r="T48" s="192">
        <v>81</v>
      </c>
      <c r="U48" s="191" t="s">
        <v>798</v>
      </c>
      <c r="V48" s="192" t="s">
        <v>1465</v>
      </c>
      <c r="W48" s="192">
        <v>1013629258</v>
      </c>
      <c r="X48" s="191" t="s">
        <v>90</v>
      </c>
      <c r="Y48" s="191" t="s">
        <v>1316</v>
      </c>
      <c r="Z48" s="192"/>
      <c r="AA48" s="366">
        <v>541</v>
      </c>
      <c r="AB48" s="430">
        <v>42178</v>
      </c>
      <c r="AC48" s="505">
        <v>625</v>
      </c>
      <c r="AD48" s="391">
        <v>3600000</v>
      </c>
      <c r="AE48" s="535"/>
      <c r="AF48" s="535"/>
      <c r="AG48" s="535"/>
      <c r="AH48" s="535"/>
      <c r="AI48" s="535"/>
      <c r="AJ48" s="535"/>
      <c r="AK48" s="535"/>
      <c r="AL48" s="535"/>
      <c r="AM48" s="535">
        <v>2520000</v>
      </c>
      <c r="AN48" s="535"/>
      <c r="AO48" s="535">
        <v>1080000</v>
      </c>
      <c r="AP48" s="535"/>
      <c r="AQ48" s="535">
        <f t="shared" si="12"/>
        <v>3600000</v>
      </c>
      <c r="AR48" s="535">
        <f t="shared" si="11"/>
        <v>0</v>
      </c>
      <c r="AS48" s="540">
        <f t="shared" si="10"/>
        <v>1</v>
      </c>
      <c r="AT48" s="192"/>
      <c r="AU48" s="366"/>
      <c r="AV48" s="173"/>
      <c r="AW48" s="366"/>
      <c r="AX48" s="534"/>
      <c r="AY48" s="535"/>
      <c r="AZ48" s="535"/>
      <c r="BA48" s="535"/>
      <c r="BB48" s="535"/>
      <c r="BC48" s="535"/>
      <c r="BD48" s="535"/>
      <c r="BE48" s="535"/>
      <c r="BF48" s="535"/>
      <c r="BG48" s="535"/>
      <c r="BH48" s="535"/>
      <c r="BI48" s="535"/>
      <c r="BJ48" s="535"/>
      <c r="BK48" s="535">
        <f t="shared" si="6"/>
        <v>0</v>
      </c>
      <c r="BL48" s="535">
        <f t="shared" si="7"/>
        <v>0</v>
      </c>
      <c r="BM48" s="543" t="e">
        <f t="shared" si="8"/>
        <v>#DIV/0!</v>
      </c>
      <c r="BN48" s="535"/>
    </row>
    <row r="49" spans="1:66" s="25" customFormat="1" x14ac:dyDescent="0.25">
      <c r="A49" s="491">
        <v>112</v>
      </c>
      <c r="B49" s="65" t="s">
        <v>102</v>
      </c>
      <c r="C49" s="491">
        <v>1157</v>
      </c>
      <c r="D49" s="65" t="s">
        <v>104</v>
      </c>
      <c r="E49" s="491">
        <v>1</v>
      </c>
      <c r="F49" s="585"/>
      <c r="G49" s="585"/>
      <c r="H49" s="585"/>
      <c r="I49" s="585"/>
      <c r="J49" s="585"/>
      <c r="K49" s="655"/>
      <c r="L49" s="192" t="s">
        <v>1464</v>
      </c>
      <c r="M49" s="192" t="s">
        <v>1127</v>
      </c>
      <c r="N49" s="192" t="s">
        <v>48</v>
      </c>
      <c r="O49" s="191" t="s">
        <v>793</v>
      </c>
      <c r="P49" s="192" t="s">
        <v>1120</v>
      </c>
      <c r="Q49" s="428">
        <v>42179</v>
      </c>
      <c r="R49" s="428">
        <v>42188</v>
      </c>
      <c r="S49" s="191" t="s">
        <v>378</v>
      </c>
      <c r="T49" s="192">
        <v>92</v>
      </c>
      <c r="U49" s="191" t="s">
        <v>798</v>
      </c>
      <c r="V49" s="192" t="s">
        <v>1463</v>
      </c>
      <c r="W49" s="192">
        <v>1030563796</v>
      </c>
      <c r="X49" s="191" t="s">
        <v>90</v>
      </c>
      <c r="Y49" s="191" t="s">
        <v>1316</v>
      </c>
      <c r="Z49" s="192"/>
      <c r="AA49" s="366">
        <v>549</v>
      </c>
      <c r="AB49" s="430">
        <v>42178</v>
      </c>
      <c r="AC49" s="505">
        <v>627</v>
      </c>
      <c r="AD49" s="391">
        <v>3600000</v>
      </c>
      <c r="AE49" s="535"/>
      <c r="AF49" s="535"/>
      <c r="AG49" s="535"/>
      <c r="AH49" s="535"/>
      <c r="AI49" s="535"/>
      <c r="AJ49" s="535"/>
      <c r="AK49" s="535"/>
      <c r="AL49" s="535"/>
      <c r="AM49" s="535">
        <v>2520000</v>
      </c>
      <c r="AN49" s="535"/>
      <c r="AO49" s="535"/>
      <c r="AP49" s="535">
        <v>1080000</v>
      </c>
      <c r="AQ49" s="535">
        <f t="shared" si="12"/>
        <v>3600000</v>
      </c>
      <c r="AR49" s="535">
        <f t="shared" si="11"/>
        <v>0</v>
      </c>
      <c r="AS49" s="540">
        <f t="shared" si="10"/>
        <v>1</v>
      </c>
      <c r="AT49" s="192"/>
      <c r="AU49" s="366"/>
      <c r="AV49" s="173"/>
      <c r="AW49" s="366"/>
      <c r="AX49" s="534"/>
      <c r="AY49" s="535"/>
      <c r="AZ49" s="535"/>
      <c r="BA49" s="535"/>
      <c r="BB49" s="535"/>
      <c r="BC49" s="535"/>
      <c r="BD49" s="535"/>
      <c r="BE49" s="535"/>
      <c r="BF49" s="535"/>
      <c r="BG49" s="535"/>
      <c r="BH49" s="535"/>
      <c r="BI49" s="535"/>
      <c r="BJ49" s="535"/>
      <c r="BK49" s="535">
        <f t="shared" si="6"/>
        <v>0</v>
      </c>
      <c r="BL49" s="535">
        <f t="shared" si="7"/>
        <v>0</v>
      </c>
      <c r="BM49" s="543" t="e">
        <f t="shared" si="8"/>
        <v>#DIV/0!</v>
      </c>
      <c r="BN49" s="535"/>
    </row>
    <row r="50" spans="1:66" s="25" customFormat="1" x14ac:dyDescent="0.25">
      <c r="A50" s="491">
        <v>112</v>
      </c>
      <c r="B50" s="65" t="s">
        <v>102</v>
      </c>
      <c r="C50" s="491">
        <v>1157</v>
      </c>
      <c r="D50" s="65" t="s">
        <v>104</v>
      </c>
      <c r="E50" s="491">
        <v>1</v>
      </c>
      <c r="F50" s="585"/>
      <c r="G50" s="585"/>
      <c r="H50" s="585"/>
      <c r="I50" s="585"/>
      <c r="J50" s="585"/>
      <c r="K50" s="655"/>
      <c r="L50" s="192" t="s">
        <v>1462</v>
      </c>
      <c r="M50" s="192" t="s">
        <v>1127</v>
      </c>
      <c r="N50" s="192" t="s">
        <v>48</v>
      </c>
      <c r="O50" s="191" t="s">
        <v>793</v>
      </c>
      <c r="P50" s="192" t="s">
        <v>1461</v>
      </c>
      <c r="Q50" s="428">
        <v>42179</v>
      </c>
      <c r="R50" s="428">
        <v>42188</v>
      </c>
      <c r="S50" s="191" t="s">
        <v>867</v>
      </c>
      <c r="T50" s="192">
        <v>91</v>
      </c>
      <c r="U50" s="191" t="s">
        <v>798</v>
      </c>
      <c r="V50" s="192" t="s">
        <v>1460</v>
      </c>
      <c r="W50" s="192">
        <v>32710145</v>
      </c>
      <c r="X50" s="191" t="s">
        <v>90</v>
      </c>
      <c r="Y50" s="191" t="s">
        <v>1316</v>
      </c>
      <c r="Z50" s="192"/>
      <c r="AA50" s="366">
        <v>532</v>
      </c>
      <c r="AB50" s="430">
        <v>42178</v>
      </c>
      <c r="AC50" s="505">
        <v>628</v>
      </c>
      <c r="AD50" s="391">
        <v>24000000</v>
      </c>
      <c r="AE50" s="535"/>
      <c r="AF50" s="535"/>
      <c r="AG50" s="536">
        <v>3000000</v>
      </c>
      <c r="AH50" s="535"/>
      <c r="AI50" s="535"/>
      <c r="AJ50" s="535"/>
      <c r="AK50" s="535"/>
      <c r="AL50" s="535"/>
      <c r="AM50" s="535">
        <v>4200000</v>
      </c>
      <c r="AN50" s="535">
        <v>3000000</v>
      </c>
      <c r="AO50" s="535">
        <v>3000000</v>
      </c>
      <c r="AP50" s="535">
        <f>3000000+3000000</f>
        <v>6000000</v>
      </c>
      <c r="AQ50" s="535">
        <f t="shared" si="12"/>
        <v>19200000</v>
      </c>
      <c r="AR50" s="535">
        <f t="shared" si="11"/>
        <v>4800000</v>
      </c>
      <c r="AS50" s="540">
        <f t="shared" si="10"/>
        <v>0.8</v>
      </c>
      <c r="AT50" s="192"/>
      <c r="AU50" s="366">
        <v>87</v>
      </c>
      <c r="AV50" s="401">
        <v>42388</v>
      </c>
      <c r="AW50" s="366">
        <v>83</v>
      </c>
      <c r="AX50" s="534">
        <f>+AR50</f>
        <v>4800000</v>
      </c>
      <c r="AY50" s="535"/>
      <c r="AZ50" s="535">
        <v>3000000</v>
      </c>
      <c r="BA50" s="535">
        <v>3000000</v>
      </c>
      <c r="BB50" s="535"/>
      <c r="BC50" s="535"/>
      <c r="BD50" s="535">
        <v>1800000</v>
      </c>
      <c r="BE50" s="535"/>
      <c r="BF50" s="535"/>
      <c r="BG50" s="535"/>
      <c r="BH50" s="535"/>
      <c r="BI50" s="535"/>
      <c r="BJ50" s="535"/>
      <c r="BK50" s="535">
        <f t="shared" si="6"/>
        <v>7800000</v>
      </c>
      <c r="BL50" s="535">
        <f t="shared" si="7"/>
        <v>-3000000</v>
      </c>
      <c r="BM50" s="543">
        <f t="shared" si="8"/>
        <v>1.625</v>
      </c>
      <c r="BN50" s="535"/>
    </row>
    <row r="51" spans="1:66" s="25" customFormat="1" x14ac:dyDescent="0.25">
      <c r="A51" s="491">
        <v>112</v>
      </c>
      <c r="B51" s="65" t="s">
        <v>102</v>
      </c>
      <c r="C51" s="491">
        <v>1157</v>
      </c>
      <c r="D51" s="65" t="s">
        <v>104</v>
      </c>
      <c r="E51" s="491">
        <v>1</v>
      </c>
      <c r="F51" s="585"/>
      <c r="G51" s="585"/>
      <c r="H51" s="585"/>
      <c r="I51" s="585"/>
      <c r="J51" s="585"/>
      <c r="K51" s="655"/>
      <c r="L51" s="192" t="s">
        <v>1459</v>
      </c>
      <c r="M51" s="192" t="s">
        <v>1127</v>
      </c>
      <c r="N51" s="192" t="s">
        <v>48</v>
      </c>
      <c r="O51" s="191" t="s">
        <v>793</v>
      </c>
      <c r="P51" s="192" t="s">
        <v>1120</v>
      </c>
      <c r="Q51" s="428">
        <v>42179</v>
      </c>
      <c r="R51" s="428">
        <v>42188</v>
      </c>
      <c r="S51" s="191" t="s">
        <v>378</v>
      </c>
      <c r="T51" s="192">
        <v>94</v>
      </c>
      <c r="U51" s="191" t="s">
        <v>798</v>
      </c>
      <c r="V51" s="192" t="s">
        <v>1458</v>
      </c>
      <c r="W51" s="192">
        <v>1015416866</v>
      </c>
      <c r="X51" s="191" t="s">
        <v>90</v>
      </c>
      <c r="Y51" s="191" t="s">
        <v>1316</v>
      </c>
      <c r="Z51" s="192"/>
      <c r="AA51" s="366">
        <v>543</v>
      </c>
      <c r="AB51" s="430">
        <v>42178</v>
      </c>
      <c r="AC51" s="505">
        <v>629</v>
      </c>
      <c r="AD51" s="391">
        <v>3600000</v>
      </c>
      <c r="AE51" s="535"/>
      <c r="AF51" s="535"/>
      <c r="AG51" s="535"/>
      <c r="AH51" s="535"/>
      <c r="AI51" s="535"/>
      <c r="AJ51" s="535"/>
      <c r="AK51" s="535"/>
      <c r="AL51" s="535"/>
      <c r="AM51" s="535">
        <v>2520000</v>
      </c>
      <c r="AN51" s="535"/>
      <c r="AO51" s="535"/>
      <c r="AP51" s="535">
        <v>1080000</v>
      </c>
      <c r="AQ51" s="535">
        <f t="shared" si="12"/>
        <v>3600000</v>
      </c>
      <c r="AR51" s="535">
        <f t="shared" si="11"/>
        <v>0</v>
      </c>
      <c r="AS51" s="540">
        <f t="shared" si="10"/>
        <v>1</v>
      </c>
      <c r="AT51" s="192"/>
      <c r="AU51" s="366"/>
      <c r="AV51" s="173"/>
      <c r="AW51" s="366"/>
      <c r="AX51" s="534"/>
      <c r="AY51" s="535"/>
      <c r="AZ51" s="535"/>
      <c r="BA51" s="535"/>
      <c r="BB51" s="535"/>
      <c r="BC51" s="535"/>
      <c r="BD51" s="535"/>
      <c r="BE51" s="535"/>
      <c r="BF51" s="535"/>
      <c r="BG51" s="535"/>
      <c r="BH51" s="535"/>
      <c r="BI51" s="535"/>
      <c r="BJ51" s="535"/>
      <c r="BK51" s="535">
        <f t="shared" si="6"/>
        <v>0</v>
      </c>
      <c r="BL51" s="535">
        <f t="shared" si="7"/>
        <v>0</v>
      </c>
      <c r="BM51" s="543" t="e">
        <f t="shared" si="8"/>
        <v>#DIV/0!</v>
      </c>
      <c r="BN51" s="535"/>
    </row>
    <row r="52" spans="1:66" s="25" customFormat="1" x14ac:dyDescent="0.25">
      <c r="A52" s="491">
        <v>112</v>
      </c>
      <c r="B52" s="65" t="s">
        <v>102</v>
      </c>
      <c r="C52" s="491">
        <v>1157</v>
      </c>
      <c r="D52" s="65" t="s">
        <v>104</v>
      </c>
      <c r="E52" s="491">
        <v>1</v>
      </c>
      <c r="F52" s="585"/>
      <c r="G52" s="585"/>
      <c r="H52" s="585"/>
      <c r="I52" s="585"/>
      <c r="J52" s="585"/>
      <c r="K52" s="655"/>
      <c r="L52" s="192" t="s">
        <v>1457</v>
      </c>
      <c r="M52" s="192" t="s">
        <v>1127</v>
      </c>
      <c r="N52" s="192" t="s">
        <v>48</v>
      </c>
      <c r="O52" s="191" t="s">
        <v>793</v>
      </c>
      <c r="P52" s="192" t="s">
        <v>1120</v>
      </c>
      <c r="Q52" s="428">
        <v>42179</v>
      </c>
      <c r="R52" s="428">
        <v>42188</v>
      </c>
      <c r="S52" s="191" t="s">
        <v>378</v>
      </c>
      <c r="T52" s="192">
        <v>93</v>
      </c>
      <c r="U52" s="191" t="s">
        <v>798</v>
      </c>
      <c r="V52" s="192" t="s">
        <v>1456</v>
      </c>
      <c r="W52" s="192">
        <v>1015454896</v>
      </c>
      <c r="X52" s="191" t="s">
        <v>90</v>
      </c>
      <c r="Y52" s="191" t="s">
        <v>1316</v>
      </c>
      <c r="Z52" s="192"/>
      <c r="AA52" s="366">
        <v>547</v>
      </c>
      <c r="AB52" s="430">
        <v>42178</v>
      </c>
      <c r="AC52" s="505">
        <v>630</v>
      </c>
      <c r="AD52" s="391">
        <v>3600000</v>
      </c>
      <c r="AE52" s="535"/>
      <c r="AF52" s="535"/>
      <c r="AG52" s="535"/>
      <c r="AH52" s="535"/>
      <c r="AI52" s="535"/>
      <c r="AJ52" s="535"/>
      <c r="AK52" s="535"/>
      <c r="AL52" s="535"/>
      <c r="AM52" s="535"/>
      <c r="AN52" s="535"/>
      <c r="AO52" s="535"/>
      <c r="AP52" s="535"/>
      <c r="AQ52" s="535">
        <f t="shared" si="12"/>
        <v>0</v>
      </c>
      <c r="AR52" s="535">
        <f t="shared" si="11"/>
        <v>3600000</v>
      </c>
      <c r="AS52" s="540">
        <f t="shared" si="10"/>
        <v>0</v>
      </c>
      <c r="AT52" s="192"/>
      <c r="AU52" s="366">
        <v>88</v>
      </c>
      <c r="AV52" s="401">
        <v>42388</v>
      </c>
      <c r="AW52" s="366">
        <v>84</v>
      </c>
      <c r="AX52" s="534">
        <f>+AR52</f>
        <v>3600000</v>
      </c>
      <c r="AY52" s="535"/>
      <c r="AZ52" s="535"/>
      <c r="BA52" s="535"/>
      <c r="BB52" s="535"/>
      <c r="BC52" s="535"/>
      <c r="BD52" s="535"/>
      <c r="BE52" s="535"/>
      <c r="BF52" s="535"/>
      <c r="BG52" s="535"/>
      <c r="BH52" s="535"/>
      <c r="BI52" s="535"/>
      <c r="BJ52" s="535"/>
      <c r="BK52" s="535">
        <f t="shared" si="6"/>
        <v>0</v>
      </c>
      <c r="BL52" s="535">
        <f t="shared" si="7"/>
        <v>3600000</v>
      </c>
      <c r="BM52" s="543">
        <f t="shared" si="8"/>
        <v>0</v>
      </c>
      <c r="BN52" s="535"/>
    </row>
    <row r="53" spans="1:66" s="25" customFormat="1" x14ac:dyDescent="0.25">
      <c r="A53" s="491">
        <v>112</v>
      </c>
      <c r="B53" s="65" t="s">
        <v>102</v>
      </c>
      <c r="C53" s="491">
        <v>1157</v>
      </c>
      <c r="D53" s="65" t="s">
        <v>104</v>
      </c>
      <c r="E53" s="491">
        <v>1</v>
      </c>
      <c r="F53" s="585"/>
      <c r="G53" s="585"/>
      <c r="H53" s="585"/>
      <c r="I53" s="585"/>
      <c r="J53" s="585"/>
      <c r="K53" s="655"/>
      <c r="L53" s="192" t="s">
        <v>1455</v>
      </c>
      <c r="M53" s="192" t="s">
        <v>1127</v>
      </c>
      <c r="N53" s="192" t="s">
        <v>48</v>
      </c>
      <c r="O53" s="191" t="s">
        <v>793</v>
      </c>
      <c r="P53" s="192" t="s">
        <v>1120</v>
      </c>
      <c r="Q53" s="428">
        <v>42179</v>
      </c>
      <c r="R53" s="428">
        <v>42188</v>
      </c>
      <c r="S53" s="191" t="s">
        <v>378</v>
      </c>
      <c r="T53" s="192">
        <v>88</v>
      </c>
      <c r="U53" s="191" t="s">
        <v>798</v>
      </c>
      <c r="V53" s="192" t="s">
        <v>1454</v>
      </c>
      <c r="W53" s="192">
        <v>79903300</v>
      </c>
      <c r="X53" s="191" t="s">
        <v>90</v>
      </c>
      <c r="Y53" s="191" t="s">
        <v>1316</v>
      </c>
      <c r="Z53" s="192"/>
      <c r="AA53" s="366">
        <v>539</v>
      </c>
      <c r="AB53" s="430">
        <v>42178</v>
      </c>
      <c r="AC53" s="505">
        <v>631</v>
      </c>
      <c r="AD53" s="391">
        <v>3600000</v>
      </c>
      <c r="AE53" s="535"/>
      <c r="AF53" s="535"/>
      <c r="AG53" s="535"/>
      <c r="AH53" s="535"/>
      <c r="AI53" s="535"/>
      <c r="AJ53" s="535"/>
      <c r="AK53" s="535"/>
      <c r="AL53" s="535">
        <v>720000</v>
      </c>
      <c r="AM53" s="535">
        <v>1800000</v>
      </c>
      <c r="AN53" s="535"/>
      <c r="AO53" s="535">
        <v>1080000</v>
      </c>
      <c r="AP53" s="535"/>
      <c r="AQ53" s="535">
        <f t="shared" si="12"/>
        <v>3600000</v>
      </c>
      <c r="AR53" s="535">
        <f t="shared" si="11"/>
        <v>0</v>
      </c>
      <c r="AS53" s="540">
        <f t="shared" si="10"/>
        <v>1</v>
      </c>
      <c r="AT53" s="192"/>
      <c r="AU53" s="366"/>
      <c r="AV53" s="173"/>
      <c r="AW53" s="366"/>
      <c r="AX53" s="534"/>
      <c r="AY53" s="535"/>
      <c r="AZ53" s="535"/>
      <c r="BA53" s="535"/>
      <c r="BB53" s="535"/>
      <c r="BC53" s="535"/>
      <c r="BD53" s="535"/>
      <c r="BE53" s="535"/>
      <c r="BF53" s="535"/>
      <c r="BG53" s="535"/>
      <c r="BH53" s="535"/>
      <c r="BI53" s="535"/>
      <c r="BJ53" s="535"/>
      <c r="BK53" s="535">
        <f t="shared" si="6"/>
        <v>0</v>
      </c>
      <c r="BL53" s="535">
        <f t="shared" si="7"/>
        <v>0</v>
      </c>
      <c r="BM53" s="543" t="e">
        <f t="shared" si="8"/>
        <v>#DIV/0!</v>
      </c>
      <c r="BN53" s="535"/>
    </row>
    <row r="54" spans="1:66" s="25" customFormat="1" x14ac:dyDescent="0.25">
      <c r="A54" s="491">
        <v>112</v>
      </c>
      <c r="B54" s="65" t="s">
        <v>102</v>
      </c>
      <c r="C54" s="491">
        <v>1157</v>
      </c>
      <c r="D54" s="65" t="s">
        <v>104</v>
      </c>
      <c r="E54" s="491">
        <v>1</v>
      </c>
      <c r="F54" s="585"/>
      <c r="G54" s="585"/>
      <c r="H54" s="585"/>
      <c r="I54" s="585"/>
      <c r="J54" s="585"/>
      <c r="K54" s="655"/>
      <c r="L54" s="192" t="s">
        <v>1453</v>
      </c>
      <c r="M54" s="192" t="s">
        <v>1127</v>
      </c>
      <c r="N54" s="192" t="s">
        <v>48</v>
      </c>
      <c r="O54" s="191" t="s">
        <v>793</v>
      </c>
      <c r="P54" s="192" t="s">
        <v>1120</v>
      </c>
      <c r="Q54" s="428">
        <v>42179</v>
      </c>
      <c r="R54" s="428">
        <v>42188</v>
      </c>
      <c r="S54" s="191" t="s">
        <v>378</v>
      </c>
      <c r="T54" s="192">
        <v>96</v>
      </c>
      <c r="U54" s="191" t="s">
        <v>798</v>
      </c>
      <c r="V54" s="192" t="s">
        <v>1452</v>
      </c>
      <c r="W54" s="192">
        <v>77194686</v>
      </c>
      <c r="X54" s="191" t="s">
        <v>90</v>
      </c>
      <c r="Y54" s="191" t="s">
        <v>1316</v>
      </c>
      <c r="Z54" s="192"/>
      <c r="AA54" s="366">
        <v>538</v>
      </c>
      <c r="AB54" s="430">
        <v>42178</v>
      </c>
      <c r="AC54" s="505">
        <v>632</v>
      </c>
      <c r="AD54" s="391">
        <v>3600000</v>
      </c>
      <c r="AE54" s="535"/>
      <c r="AF54" s="535"/>
      <c r="AG54" s="535"/>
      <c r="AH54" s="535"/>
      <c r="AI54" s="535"/>
      <c r="AJ54" s="535"/>
      <c r="AK54" s="535"/>
      <c r="AL54" s="535"/>
      <c r="AM54" s="535">
        <v>2520000</v>
      </c>
      <c r="AN54" s="535"/>
      <c r="AO54" s="535"/>
      <c r="AP54" s="535">
        <v>1080000</v>
      </c>
      <c r="AQ54" s="535">
        <f t="shared" si="12"/>
        <v>3600000</v>
      </c>
      <c r="AR54" s="535">
        <f t="shared" si="11"/>
        <v>0</v>
      </c>
      <c r="AS54" s="540">
        <f t="shared" si="10"/>
        <v>1</v>
      </c>
      <c r="AT54" s="192"/>
      <c r="AU54" s="366"/>
      <c r="AV54" s="173"/>
      <c r="AW54" s="366"/>
      <c r="AX54" s="534"/>
      <c r="AY54" s="535"/>
      <c r="AZ54" s="535"/>
      <c r="BA54" s="535"/>
      <c r="BB54" s="535"/>
      <c r="BC54" s="535"/>
      <c r="BD54" s="535"/>
      <c r="BE54" s="535"/>
      <c r="BF54" s="535"/>
      <c r="BG54" s="535"/>
      <c r="BH54" s="535"/>
      <c r="BI54" s="535"/>
      <c r="BJ54" s="535"/>
      <c r="BK54" s="535">
        <f t="shared" si="6"/>
        <v>0</v>
      </c>
      <c r="BL54" s="535">
        <f t="shared" si="7"/>
        <v>0</v>
      </c>
      <c r="BM54" s="543" t="e">
        <f t="shared" si="8"/>
        <v>#DIV/0!</v>
      </c>
      <c r="BN54" s="535"/>
    </row>
    <row r="55" spans="1:66" s="25" customFormat="1" x14ac:dyDescent="0.25">
      <c r="A55" s="491">
        <v>112</v>
      </c>
      <c r="B55" s="65" t="s">
        <v>102</v>
      </c>
      <c r="C55" s="491">
        <v>1157</v>
      </c>
      <c r="D55" s="65" t="s">
        <v>104</v>
      </c>
      <c r="E55" s="491">
        <v>1</v>
      </c>
      <c r="F55" s="585"/>
      <c r="G55" s="585"/>
      <c r="H55" s="585"/>
      <c r="I55" s="585"/>
      <c r="J55" s="585"/>
      <c r="K55" s="655"/>
      <c r="L55" s="192" t="s">
        <v>1451</v>
      </c>
      <c r="M55" s="192" t="s">
        <v>1127</v>
      </c>
      <c r="N55" s="192" t="s">
        <v>48</v>
      </c>
      <c r="O55" s="191" t="s">
        <v>793</v>
      </c>
      <c r="P55" s="192" t="s">
        <v>1120</v>
      </c>
      <c r="Q55" s="428">
        <v>42179</v>
      </c>
      <c r="R55" s="428">
        <v>42188</v>
      </c>
      <c r="S55" s="191" t="s">
        <v>378</v>
      </c>
      <c r="T55" s="192">
        <v>98</v>
      </c>
      <c r="U55" s="191" t="s">
        <v>798</v>
      </c>
      <c r="V55" s="192" t="s">
        <v>1450</v>
      </c>
      <c r="W55" s="192">
        <v>79715952</v>
      </c>
      <c r="X55" s="191" t="s">
        <v>90</v>
      </c>
      <c r="Y55" s="191" t="s">
        <v>1316</v>
      </c>
      <c r="Z55" s="192"/>
      <c r="AA55" s="366">
        <v>535</v>
      </c>
      <c r="AB55" s="430">
        <v>42178</v>
      </c>
      <c r="AC55" s="505">
        <v>645</v>
      </c>
      <c r="AD55" s="391">
        <v>3600000</v>
      </c>
      <c r="AE55" s="535"/>
      <c r="AF55" s="535"/>
      <c r="AG55" s="535"/>
      <c r="AH55" s="535"/>
      <c r="AI55" s="535"/>
      <c r="AJ55" s="535"/>
      <c r="AK55" s="535"/>
      <c r="AL55" s="535"/>
      <c r="AM55" s="535">
        <v>2520000</v>
      </c>
      <c r="AN55" s="535"/>
      <c r="AO55" s="535">
        <v>1080000</v>
      </c>
      <c r="AP55" s="535"/>
      <c r="AQ55" s="535">
        <f t="shared" si="12"/>
        <v>3600000</v>
      </c>
      <c r="AR55" s="535">
        <f t="shared" si="11"/>
        <v>0</v>
      </c>
      <c r="AS55" s="540">
        <f t="shared" si="10"/>
        <v>1</v>
      </c>
      <c r="AT55" s="192"/>
      <c r="AU55" s="366"/>
      <c r="AV55" s="173"/>
      <c r="AW55" s="366"/>
      <c r="AX55" s="534"/>
      <c r="AY55" s="535"/>
      <c r="AZ55" s="535"/>
      <c r="BA55" s="535"/>
      <c r="BB55" s="535"/>
      <c r="BC55" s="535"/>
      <c r="BD55" s="535"/>
      <c r="BE55" s="535"/>
      <c r="BF55" s="535"/>
      <c r="BG55" s="535"/>
      <c r="BH55" s="535"/>
      <c r="BI55" s="535"/>
      <c r="BJ55" s="535"/>
      <c r="BK55" s="535">
        <f t="shared" si="6"/>
        <v>0</v>
      </c>
      <c r="BL55" s="535">
        <f t="shared" si="7"/>
        <v>0</v>
      </c>
      <c r="BM55" s="543" t="e">
        <f t="shared" si="8"/>
        <v>#DIV/0!</v>
      </c>
      <c r="BN55" s="535"/>
    </row>
    <row r="56" spans="1:66" s="25" customFormat="1" x14ac:dyDescent="0.25">
      <c r="A56" s="491">
        <v>112</v>
      </c>
      <c r="B56" s="65" t="s">
        <v>102</v>
      </c>
      <c r="C56" s="491">
        <v>1157</v>
      </c>
      <c r="D56" s="65" t="s">
        <v>104</v>
      </c>
      <c r="E56" s="491">
        <v>1</v>
      </c>
      <c r="F56" s="585"/>
      <c r="G56" s="585"/>
      <c r="H56" s="585"/>
      <c r="I56" s="585"/>
      <c r="J56" s="585"/>
      <c r="K56" s="655"/>
      <c r="L56" s="192" t="s">
        <v>1604</v>
      </c>
      <c r="M56" s="192" t="s">
        <v>1127</v>
      </c>
      <c r="N56" s="192" t="s">
        <v>48</v>
      </c>
      <c r="O56" s="191" t="s">
        <v>793</v>
      </c>
      <c r="P56" s="192" t="s">
        <v>1120</v>
      </c>
      <c r="Q56" s="428">
        <v>42366</v>
      </c>
      <c r="R56" s="428">
        <v>42373</v>
      </c>
      <c r="S56" s="191" t="s">
        <v>1292</v>
      </c>
      <c r="T56" s="192">
        <v>148</v>
      </c>
      <c r="U56" s="191" t="s">
        <v>798</v>
      </c>
      <c r="V56" s="192" t="s">
        <v>1605</v>
      </c>
      <c r="W56" s="192">
        <v>52889857</v>
      </c>
      <c r="X56" s="191" t="s">
        <v>90</v>
      </c>
      <c r="Y56" s="191" t="s">
        <v>808</v>
      </c>
      <c r="Z56" s="192"/>
      <c r="AA56" s="366">
        <v>691</v>
      </c>
      <c r="AB56" s="430">
        <v>42352</v>
      </c>
      <c r="AC56" s="505">
        <v>910</v>
      </c>
      <c r="AD56" s="391">
        <v>24000000</v>
      </c>
      <c r="AE56" s="535"/>
      <c r="AF56" s="535"/>
      <c r="AG56" s="536">
        <v>4466667</v>
      </c>
      <c r="AH56" s="535"/>
      <c r="AI56" s="535"/>
      <c r="AJ56" s="535"/>
      <c r="AK56" s="535"/>
      <c r="AL56" s="535"/>
      <c r="AM56" s="535"/>
      <c r="AN56" s="535"/>
      <c r="AO56" s="535"/>
      <c r="AP56" s="535"/>
      <c r="AQ56" s="535"/>
      <c r="AR56" s="535">
        <f t="shared" si="11"/>
        <v>24000000</v>
      </c>
      <c r="AS56" s="540"/>
      <c r="AT56" s="192"/>
      <c r="AU56" s="366">
        <v>206</v>
      </c>
      <c r="AV56" s="401">
        <v>42388</v>
      </c>
      <c r="AW56" s="366">
        <v>195</v>
      </c>
      <c r="AX56" s="534">
        <v>24000000</v>
      </c>
      <c r="AY56" s="535"/>
      <c r="AZ56" s="535"/>
      <c r="BA56" s="535">
        <f>2466667+2000000</f>
        <v>4466667</v>
      </c>
      <c r="BB56" s="535"/>
      <c r="BC56" s="535">
        <v>2000000</v>
      </c>
      <c r="BD56" s="535">
        <v>2000000</v>
      </c>
      <c r="BE56" s="535">
        <v>2000000</v>
      </c>
      <c r="BF56" s="535">
        <v>2000000</v>
      </c>
      <c r="BG56" s="535">
        <v>2000000</v>
      </c>
      <c r="BH56" s="535">
        <v>2000000</v>
      </c>
      <c r="BI56" s="535">
        <v>2000000</v>
      </c>
      <c r="BJ56" s="535">
        <f>2000000+2000000</f>
        <v>4000000</v>
      </c>
      <c r="BK56" s="535">
        <f t="shared" si="6"/>
        <v>22466667</v>
      </c>
      <c r="BL56" s="535">
        <f t="shared" si="7"/>
        <v>1533333</v>
      </c>
      <c r="BM56" s="543">
        <f t="shared" si="8"/>
        <v>0.93611112500000004</v>
      </c>
      <c r="BN56" s="535"/>
    </row>
    <row r="57" spans="1:66" s="25" customFormat="1" x14ac:dyDescent="0.25">
      <c r="A57" s="491">
        <v>112</v>
      </c>
      <c r="B57" s="65" t="s">
        <v>102</v>
      </c>
      <c r="C57" s="491">
        <v>1157</v>
      </c>
      <c r="D57" s="65" t="s">
        <v>104</v>
      </c>
      <c r="E57" s="491">
        <v>1</v>
      </c>
      <c r="F57" s="585"/>
      <c r="G57" s="585"/>
      <c r="H57" s="585"/>
      <c r="I57" s="585"/>
      <c r="J57" s="585"/>
      <c r="K57" s="655"/>
      <c r="L57" s="192" t="s">
        <v>1606</v>
      </c>
      <c r="M57" s="192" t="s">
        <v>1127</v>
      </c>
      <c r="N57" s="192" t="s">
        <v>48</v>
      </c>
      <c r="O57" s="191" t="s">
        <v>793</v>
      </c>
      <c r="P57" s="192" t="s">
        <v>1120</v>
      </c>
      <c r="Q57" s="428">
        <v>42355</v>
      </c>
      <c r="R57" s="428">
        <v>42360</v>
      </c>
      <c r="S57" s="191" t="s">
        <v>1292</v>
      </c>
      <c r="T57" s="192">
        <v>145</v>
      </c>
      <c r="U57" s="191" t="s">
        <v>798</v>
      </c>
      <c r="V57" s="192" t="s">
        <v>846</v>
      </c>
      <c r="W57" s="192">
        <v>52931830</v>
      </c>
      <c r="X57" s="191" t="s">
        <v>90</v>
      </c>
      <c r="Y57" s="191" t="s">
        <v>1316</v>
      </c>
      <c r="Z57" s="192"/>
      <c r="AA57" s="366">
        <v>687</v>
      </c>
      <c r="AB57" s="430">
        <v>42347</v>
      </c>
      <c r="AC57" s="505">
        <v>903</v>
      </c>
      <c r="AD57" s="391">
        <v>36000000</v>
      </c>
      <c r="AE57" s="535"/>
      <c r="AF57" s="535"/>
      <c r="AG57" s="536">
        <v>7900000</v>
      </c>
      <c r="AH57" s="535"/>
      <c r="AI57" s="535"/>
      <c r="AJ57" s="535"/>
      <c r="AK57" s="535"/>
      <c r="AL57" s="535"/>
      <c r="AM57" s="535"/>
      <c r="AN57" s="535"/>
      <c r="AO57" s="535"/>
      <c r="AP57" s="535"/>
      <c r="AQ57" s="535"/>
      <c r="AR57" s="535">
        <f t="shared" si="11"/>
        <v>36000000</v>
      </c>
      <c r="AS57" s="540"/>
      <c r="AT57" s="192"/>
      <c r="AU57" s="366">
        <v>200</v>
      </c>
      <c r="AV57" s="401">
        <v>42388</v>
      </c>
      <c r="AW57" s="366">
        <v>189</v>
      </c>
      <c r="AX57" s="534">
        <v>36000000</v>
      </c>
      <c r="AY57" s="535"/>
      <c r="AZ57" s="535"/>
      <c r="BA57" s="535">
        <f>1900000+3000000+3000000</f>
        <v>7900000</v>
      </c>
      <c r="BB57" s="535"/>
      <c r="BC57" s="535">
        <v>3000000</v>
      </c>
      <c r="BD57" s="535">
        <v>3000000</v>
      </c>
      <c r="BE57" s="535"/>
      <c r="BF57" s="535">
        <v>6000000</v>
      </c>
      <c r="BG57" s="535">
        <v>3000000</v>
      </c>
      <c r="BH57" s="535">
        <v>3000000</v>
      </c>
      <c r="BI57" s="535">
        <v>3000000</v>
      </c>
      <c r="BJ57" s="535">
        <f>3000000+3000000</f>
        <v>6000000</v>
      </c>
      <c r="BK57" s="535">
        <f t="shared" si="6"/>
        <v>34900000</v>
      </c>
      <c r="BL57" s="535">
        <f t="shared" si="7"/>
        <v>1100000</v>
      </c>
      <c r="BM57" s="543">
        <f t="shared" si="8"/>
        <v>0.96944444444444444</v>
      </c>
      <c r="BN57" s="535"/>
    </row>
    <row r="58" spans="1:66" s="25" customFormat="1" x14ac:dyDescent="0.25">
      <c r="A58" s="491">
        <v>112</v>
      </c>
      <c r="B58" s="65" t="s">
        <v>102</v>
      </c>
      <c r="C58" s="491">
        <v>1157</v>
      </c>
      <c r="D58" s="65" t="s">
        <v>104</v>
      </c>
      <c r="E58" s="491">
        <v>1</v>
      </c>
      <c r="F58" s="585"/>
      <c r="G58" s="585"/>
      <c r="H58" s="585"/>
      <c r="I58" s="585"/>
      <c r="J58" s="585"/>
      <c r="K58" s="655"/>
      <c r="L58" s="192" t="s">
        <v>1607</v>
      </c>
      <c r="M58" s="192" t="s">
        <v>1127</v>
      </c>
      <c r="N58" s="192" t="s">
        <v>48</v>
      </c>
      <c r="O58" s="191" t="s">
        <v>793</v>
      </c>
      <c r="P58" s="192" t="s">
        <v>1120</v>
      </c>
      <c r="Q58" s="428">
        <v>42355</v>
      </c>
      <c r="R58" s="428">
        <v>42360</v>
      </c>
      <c r="S58" s="191" t="s">
        <v>1292</v>
      </c>
      <c r="T58" s="192">
        <v>146</v>
      </c>
      <c r="U58" s="191" t="s">
        <v>798</v>
      </c>
      <c r="V58" s="192" t="s">
        <v>849</v>
      </c>
      <c r="W58" s="192">
        <v>53092253</v>
      </c>
      <c r="X58" s="191" t="s">
        <v>90</v>
      </c>
      <c r="Y58" s="191" t="s">
        <v>1316</v>
      </c>
      <c r="Z58" s="192"/>
      <c r="AA58" s="366">
        <v>690</v>
      </c>
      <c r="AB58" s="430">
        <v>42348</v>
      </c>
      <c r="AC58" s="505">
        <v>904</v>
      </c>
      <c r="AD58" s="391">
        <v>36000000</v>
      </c>
      <c r="AE58" s="535"/>
      <c r="AF58" s="535"/>
      <c r="AG58" s="536">
        <v>7900000</v>
      </c>
      <c r="AH58" s="535"/>
      <c r="AI58" s="535"/>
      <c r="AJ58" s="535"/>
      <c r="AK58" s="535"/>
      <c r="AL58" s="535"/>
      <c r="AM58" s="535"/>
      <c r="AN58" s="535"/>
      <c r="AO58" s="535"/>
      <c r="AP58" s="535"/>
      <c r="AQ58" s="535"/>
      <c r="AR58" s="535">
        <f t="shared" si="11"/>
        <v>36000000</v>
      </c>
      <c r="AS58" s="540"/>
      <c r="AT58" s="192"/>
      <c r="AU58" s="366">
        <v>201</v>
      </c>
      <c r="AV58" s="401">
        <v>42388</v>
      </c>
      <c r="AW58" s="366">
        <v>190</v>
      </c>
      <c r="AX58" s="534">
        <f>+AR58</f>
        <v>36000000</v>
      </c>
      <c r="AY58" s="535"/>
      <c r="AZ58" s="535"/>
      <c r="BA58" s="535">
        <f>3000000+1900000+3000000</f>
        <v>7900000</v>
      </c>
      <c r="BB58" s="535"/>
      <c r="BC58" s="535">
        <v>3000000</v>
      </c>
      <c r="BD58" s="535">
        <v>3000000</v>
      </c>
      <c r="BE58" s="535">
        <v>3000000</v>
      </c>
      <c r="BF58" s="535">
        <v>3000000</v>
      </c>
      <c r="BG58" s="535">
        <v>3000000</v>
      </c>
      <c r="BH58" s="535"/>
      <c r="BI58" s="535">
        <f>3000000+2900000</f>
        <v>5900000</v>
      </c>
      <c r="BJ58" s="535"/>
      <c r="BK58" s="535">
        <f t="shared" si="6"/>
        <v>28800000</v>
      </c>
      <c r="BL58" s="535">
        <f t="shared" si="7"/>
        <v>7200000</v>
      </c>
      <c r="BM58" s="543">
        <f t="shared" si="8"/>
        <v>0.8</v>
      </c>
      <c r="BN58" s="535"/>
    </row>
    <row r="59" spans="1:66" s="25" customFormat="1" x14ac:dyDescent="0.25">
      <c r="A59" s="491">
        <v>112</v>
      </c>
      <c r="B59" s="65" t="s">
        <v>102</v>
      </c>
      <c r="C59" s="491">
        <v>1157</v>
      </c>
      <c r="D59" s="65" t="s">
        <v>104</v>
      </c>
      <c r="E59" s="491">
        <v>1</v>
      </c>
      <c r="F59" s="585"/>
      <c r="G59" s="585"/>
      <c r="H59" s="585"/>
      <c r="I59" s="585"/>
      <c r="J59" s="585"/>
      <c r="K59" s="655"/>
      <c r="L59" s="192" t="s">
        <v>1608</v>
      </c>
      <c r="M59" s="192" t="s">
        <v>1127</v>
      </c>
      <c r="N59" s="192" t="s">
        <v>48</v>
      </c>
      <c r="O59" s="191" t="s">
        <v>793</v>
      </c>
      <c r="P59" s="192" t="s">
        <v>1120</v>
      </c>
      <c r="Q59" s="428">
        <v>42355</v>
      </c>
      <c r="R59" s="428">
        <v>42360</v>
      </c>
      <c r="S59" s="191" t="s">
        <v>1292</v>
      </c>
      <c r="T59" s="192">
        <v>144</v>
      </c>
      <c r="U59" s="191" t="s">
        <v>798</v>
      </c>
      <c r="V59" s="192" t="s">
        <v>862</v>
      </c>
      <c r="W59" s="192">
        <v>52827709</v>
      </c>
      <c r="X59" s="191" t="s">
        <v>90</v>
      </c>
      <c r="Y59" s="191" t="s">
        <v>1316</v>
      </c>
      <c r="Z59" s="192"/>
      <c r="AA59" s="366">
        <v>685</v>
      </c>
      <c r="AB59" s="430">
        <v>42347</v>
      </c>
      <c r="AC59" s="505">
        <v>905</v>
      </c>
      <c r="AD59" s="391">
        <v>36000000</v>
      </c>
      <c r="AE59" s="535"/>
      <c r="AF59" s="535"/>
      <c r="AG59" s="536">
        <v>7900000</v>
      </c>
      <c r="AH59" s="535"/>
      <c r="AI59" s="535"/>
      <c r="AJ59" s="535"/>
      <c r="AK59" s="535"/>
      <c r="AL59" s="535"/>
      <c r="AM59" s="535"/>
      <c r="AN59" s="535"/>
      <c r="AO59" s="535"/>
      <c r="AP59" s="535"/>
      <c r="AQ59" s="535"/>
      <c r="AR59" s="535">
        <f t="shared" si="11"/>
        <v>36000000</v>
      </c>
      <c r="AS59" s="540"/>
      <c r="AT59" s="192"/>
      <c r="AU59" s="366">
        <v>202</v>
      </c>
      <c r="AV59" s="401">
        <v>42388</v>
      </c>
      <c r="AW59" s="366">
        <v>191</v>
      </c>
      <c r="AX59" s="534">
        <f>+AR59</f>
        <v>36000000</v>
      </c>
      <c r="AY59" s="535"/>
      <c r="AZ59" s="535"/>
      <c r="BA59" s="535">
        <f>1900000+3000000+3000000</f>
        <v>7900000</v>
      </c>
      <c r="BB59" s="535"/>
      <c r="BC59" s="535">
        <v>3000000</v>
      </c>
      <c r="BD59" s="535">
        <v>3000000</v>
      </c>
      <c r="BE59" s="535">
        <v>3000000</v>
      </c>
      <c r="BF59" s="535">
        <v>3000000</v>
      </c>
      <c r="BG59" s="535">
        <v>3000000</v>
      </c>
      <c r="BH59" s="535">
        <v>3000000</v>
      </c>
      <c r="BI59" s="535">
        <v>3000000</v>
      </c>
      <c r="BJ59" s="535">
        <f>3000000+3000000</f>
        <v>6000000</v>
      </c>
      <c r="BK59" s="535">
        <f t="shared" si="6"/>
        <v>34900000</v>
      </c>
      <c r="BL59" s="535">
        <f t="shared" si="7"/>
        <v>1100000</v>
      </c>
      <c r="BM59" s="543">
        <f t="shared" si="8"/>
        <v>0.96944444444444444</v>
      </c>
      <c r="BN59" s="535"/>
    </row>
    <row r="60" spans="1:66" s="25" customFormat="1" x14ac:dyDescent="0.25">
      <c r="A60" s="491">
        <v>112</v>
      </c>
      <c r="B60" s="65" t="s">
        <v>102</v>
      </c>
      <c r="C60" s="491">
        <v>1157</v>
      </c>
      <c r="D60" s="65" t="s">
        <v>104</v>
      </c>
      <c r="E60" s="491">
        <v>1</v>
      </c>
      <c r="F60" s="590"/>
      <c r="G60" s="590"/>
      <c r="H60" s="590"/>
      <c r="I60" s="590"/>
      <c r="J60" s="590"/>
      <c r="K60" s="656"/>
      <c r="L60" s="192" t="s">
        <v>1609</v>
      </c>
      <c r="M60" s="192" t="s">
        <v>1127</v>
      </c>
      <c r="N60" s="192" t="s">
        <v>48</v>
      </c>
      <c r="O60" s="191" t="s">
        <v>793</v>
      </c>
      <c r="P60" s="192" t="s">
        <v>1120</v>
      </c>
      <c r="Q60" s="428">
        <v>42355</v>
      </c>
      <c r="R60" s="428">
        <v>42360</v>
      </c>
      <c r="S60" s="191" t="s">
        <v>1292</v>
      </c>
      <c r="T60" s="192">
        <v>142</v>
      </c>
      <c r="U60" s="191" t="s">
        <v>798</v>
      </c>
      <c r="V60" s="192" t="s">
        <v>571</v>
      </c>
      <c r="W60" s="192">
        <v>20687100</v>
      </c>
      <c r="X60" s="191" t="s">
        <v>90</v>
      </c>
      <c r="Y60" s="191" t="s">
        <v>1316</v>
      </c>
      <c r="Z60" s="192"/>
      <c r="AA60" s="366">
        <v>686</v>
      </c>
      <c r="AB60" s="430">
        <v>42347</v>
      </c>
      <c r="AC60" s="505">
        <v>906</v>
      </c>
      <c r="AD60" s="391">
        <v>36000000</v>
      </c>
      <c r="AE60" s="535"/>
      <c r="AF60" s="535"/>
      <c r="AG60" s="536">
        <v>7900000</v>
      </c>
      <c r="AH60" s="535"/>
      <c r="AI60" s="535"/>
      <c r="AJ60" s="535"/>
      <c r="AK60" s="535"/>
      <c r="AL60" s="535"/>
      <c r="AM60" s="535"/>
      <c r="AN60" s="535"/>
      <c r="AO60" s="535"/>
      <c r="AP60" s="535"/>
      <c r="AQ60" s="535"/>
      <c r="AR60" s="535">
        <f t="shared" si="11"/>
        <v>36000000</v>
      </c>
      <c r="AS60" s="540"/>
      <c r="AT60" s="192"/>
      <c r="AU60" s="366">
        <v>203</v>
      </c>
      <c r="AV60" s="401">
        <v>42388</v>
      </c>
      <c r="AW60" s="366">
        <v>192</v>
      </c>
      <c r="AX60" s="534">
        <f>+AR60</f>
        <v>36000000</v>
      </c>
      <c r="AY60" s="535"/>
      <c r="AZ60" s="535"/>
      <c r="BA60" s="535">
        <f>3000000+1900000+3000000</f>
        <v>7900000</v>
      </c>
      <c r="BB60" s="535"/>
      <c r="BC60" s="535">
        <v>3000000</v>
      </c>
      <c r="BD60" s="535">
        <v>3000000</v>
      </c>
      <c r="BE60" s="535">
        <v>3000000</v>
      </c>
      <c r="BF60" s="535">
        <v>3000000</v>
      </c>
      <c r="BG60" s="535">
        <v>3000000</v>
      </c>
      <c r="BH60" s="535">
        <v>3000000</v>
      </c>
      <c r="BI60" s="535">
        <v>3000000</v>
      </c>
      <c r="BJ60" s="535">
        <f>3000000+3000000</f>
        <v>6000000</v>
      </c>
      <c r="BK60" s="535">
        <f t="shared" si="6"/>
        <v>34900000</v>
      </c>
      <c r="BL60" s="535">
        <f t="shared" si="7"/>
        <v>1100000</v>
      </c>
      <c r="BM60" s="543">
        <f t="shared" si="8"/>
        <v>0.96944444444444444</v>
      </c>
      <c r="BN60" s="535"/>
    </row>
    <row r="61" spans="1:66" s="25" customFormat="1" x14ac:dyDescent="0.25">
      <c r="A61" s="490">
        <v>114</v>
      </c>
      <c r="B61" s="63" t="s">
        <v>112</v>
      </c>
      <c r="C61" s="490">
        <v>1157</v>
      </c>
      <c r="D61" s="63" t="s">
        <v>104</v>
      </c>
      <c r="E61" s="490">
        <v>3</v>
      </c>
      <c r="F61" s="584" t="s">
        <v>53</v>
      </c>
      <c r="G61" s="584">
        <v>5000</v>
      </c>
      <c r="H61" s="584" t="s">
        <v>61</v>
      </c>
      <c r="I61" s="584" t="s">
        <v>114</v>
      </c>
      <c r="J61" s="584"/>
      <c r="K61" s="654"/>
      <c r="L61" s="192" t="s">
        <v>1449</v>
      </c>
      <c r="M61" s="192" t="s">
        <v>1119</v>
      </c>
      <c r="N61" s="192" t="s">
        <v>48</v>
      </c>
      <c r="O61" s="191" t="s">
        <v>793</v>
      </c>
      <c r="P61" s="192" t="s">
        <v>1108</v>
      </c>
      <c r="Q61" s="428">
        <v>42178</v>
      </c>
      <c r="R61" s="428">
        <v>42192</v>
      </c>
      <c r="S61" s="191" t="s">
        <v>1054</v>
      </c>
      <c r="T61" s="192">
        <v>69</v>
      </c>
      <c r="U61" s="191" t="s">
        <v>1287</v>
      </c>
      <c r="V61" s="192" t="s">
        <v>786</v>
      </c>
      <c r="W61" s="192" t="s">
        <v>1349</v>
      </c>
      <c r="X61" s="191">
        <v>1800</v>
      </c>
      <c r="Y61" s="191" t="s">
        <v>1674</v>
      </c>
      <c r="Z61" s="192"/>
      <c r="AA61" s="366">
        <v>523</v>
      </c>
      <c r="AB61" s="430">
        <v>42172</v>
      </c>
      <c r="AC61" s="505">
        <v>602</v>
      </c>
      <c r="AD61" s="391">
        <v>297050000</v>
      </c>
      <c r="AE61" s="535"/>
      <c r="AF61" s="535"/>
      <c r="AG61" s="535"/>
      <c r="AH61" s="535"/>
      <c r="AI61" s="535"/>
      <c r="AJ61" s="535"/>
      <c r="AK61" s="535"/>
      <c r="AL61" s="535"/>
      <c r="AM61" s="535">
        <v>5900000</v>
      </c>
      <c r="AN61" s="535">
        <v>11108000</v>
      </c>
      <c r="AO61" s="535"/>
      <c r="AP61" s="535">
        <f>17240000+262802000</f>
        <v>280042000</v>
      </c>
      <c r="AQ61" s="535">
        <f t="shared" si="12"/>
        <v>297050000</v>
      </c>
      <c r="AR61" s="535">
        <f t="shared" si="11"/>
        <v>0</v>
      </c>
      <c r="AS61" s="540">
        <f t="shared" si="10"/>
        <v>1</v>
      </c>
      <c r="AT61" s="192"/>
      <c r="AU61" s="366"/>
      <c r="AV61" s="173"/>
      <c r="AW61" s="366"/>
      <c r="AX61" s="534"/>
      <c r="AY61" s="535"/>
      <c r="AZ61" s="535"/>
      <c r="BA61" s="535"/>
      <c r="BB61" s="535"/>
      <c r="BC61" s="535"/>
      <c r="BD61" s="535"/>
      <c r="BE61" s="535"/>
      <c r="BF61" s="535"/>
      <c r="BG61" s="535"/>
      <c r="BH61" s="535"/>
      <c r="BI61" s="535"/>
      <c r="BJ61" s="535"/>
      <c r="BK61" s="535">
        <f t="shared" si="6"/>
        <v>0</v>
      </c>
      <c r="BL61" s="535">
        <f t="shared" si="7"/>
        <v>0</v>
      </c>
      <c r="BM61" s="543" t="e">
        <f t="shared" si="8"/>
        <v>#DIV/0!</v>
      </c>
      <c r="BN61" s="535"/>
    </row>
    <row r="62" spans="1:66" s="25" customFormat="1" x14ac:dyDescent="0.25">
      <c r="A62" s="490">
        <v>114</v>
      </c>
      <c r="B62" s="63" t="s">
        <v>112</v>
      </c>
      <c r="C62" s="490">
        <v>1157</v>
      </c>
      <c r="D62" s="63" t="s">
        <v>104</v>
      </c>
      <c r="E62" s="490">
        <v>3</v>
      </c>
      <c r="F62" s="585"/>
      <c r="G62" s="585"/>
      <c r="H62" s="585"/>
      <c r="I62" s="585"/>
      <c r="J62" s="585"/>
      <c r="K62" s="655"/>
      <c r="L62" s="192" t="s">
        <v>1448</v>
      </c>
      <c r="M62" s="192" t="s">
        <v>1119</v>
      </c>
      <c r="N62" s="192" t="s">
        <v>48</v>
      </c>
      <c r="O62" s="191" t="s">
        <v>793</v>
      </c>
      <c r="P62" s="192" t="s">
        <v>1026</v>
      </c>
      <c r="Q62" s="428">
        <v>42179</v>
      </c>
      <c r="R62" s="428">
        <v>42192</v>
      </c>
      <c r="S62" s="191" t="s">
        <v>1054</v>
      </c>
      <c r="T62" s="192">
        <v>75</v>
      </c>
      <c r="U62" s="191" t="s">
        <v>798</v>
      </c>
      <c r="V62" s="192" t="s">
        <v>432</v>
      </c>
      <c r="W62" s="192">
        <v>74371098</v>
      </c>
      <c r="X62" s="191" t="s">
        <v>90</v>
      </c>
      <c r="Y62" s="191" t="s">
        <v>1674</v>
      </c>
      <c r="Z62" s="192"/>
      <c r="AA62" s="366">
        <v>551</v>
      </c>
      <c r="AB62" s="430">
        <v>42178</v>
      </c>
      <c r="AC62" s="505">
        <v>607</v>
      </c>
      <c r="AD62" s="391">
        <v>8000000</v>
      </c>
      <c r="AE62" s="535"/>
      <c r="AF62" s="535"/>
      <c r="AG62" s="535"/>
      <c r="AH62" s="535"/>
      <c r="AI62" s="535"/>
      <c r="AJ62" s="535"/>
      <c r="AK62" s="535"/>
      <c r="AL62" s="535"/>
      <c r="AM62" s="535">
        <v>533333</v>
      </c>
      <c r="AN62" s="535">
        <v>2000000</v>
      </c>
      <c r="AO62" s="535">
        <v>2000000</v>
      </c>
      <c r="AP62" s="535">
        <f>2000000+1466667</f>
        <v>3466667</v>
      </c>
      <c r="AQ62" s="535">
        <f t="shared" si="12"/>
        <v>8000000</v>
      </c>
      <c r="AR62" s="535">
        <f t="shared" si="11"/>
        <v>0</v>
      </c>
      <c r="AS62" s="540">
        <f t="shared" ref="AS62:AS91" si="13">+AQ62/AD62</f>
        <v>1</v>
      </c>
      <c r="AT62" s="192"/>
      <c r="AU62" s="366"/>
      <c r="AV62" s="173"/>
      <c r="AW62" s="366"/>
      <c r="AX62" s="534"/>
      <c r="AY62" s="535"/>
      <c r="AZ62" s="535"/>
      <c r="BA62" s="535"/>
      <c r="BB62" s="535"/>
      <c r="BC62" s="535"/>
      <c r="BD62" s="535"/>
      <c r="BE62" s="535"/>
      <c r="BF62" s="535"/>
      <c r="BG62" s="535"/>
      <c r="BH62" s="535"/>
      <c r="BI62" s="535"/>
      <c r="BJ62" s="535"/>
      <c r="BK62" s="535">
        <f t="shared" si="6"/>
        <v>0</v>
      </c>
      <c r="BL62" s="535">
        <f t="shared" si="7"/>
        <v>0</v>
      </c>
      <c r="BM62" s="543" t="e">
        <f t="shared" si="8"/>
        <v>#DIV/0!</v>
      </c>
      <c r="BN62" s="535"/>
    </row>
    <row r="63" spans="1:66" s="25" customFormat="1" x14ac:dyDescent="0.25">
      <c r="A63" s="490">
        <v>114</v>
      </c>
      <c r="B63" s="63" t="s">
        <v>112</v>
      </c>
      <c r="C63" s="490">
        <v>1157</v>
      </c>
      <c r="D63" s="63" t="s">
        <v>104</v>
      </c>
      <c r="E63" s="490">
        <v>3</v>
      </c>
      <c r="F63" s="590"/>
      <c r="G63" s="590"/>
      <c r="H63" s="590"/>
      <c r="I63" s="590"/>
      <c r="J63" s="590"/>
      <c r="K63" s="656"/>
      <c r="L63" s="192"/>
      <c r="M63" s="192"/>
      <c r="N63" s="192"/>
      <c r="O63" s="191"/>
      <c r="P63" s="192"/>
      <c r="Q63" s="428"/>
      <c r="R63" s="428"/>
      <c r="S63" s="191"/>
      <c r="T63" s="192"/>
      <c r="U63" s="191"/>
      <c r="V63" s="192"/>
      <c r="W63" s="192"/>
      <c r="X63" s="191"/>
      <c r="Y63" s="191"/>
      <c r="Z63" s="192"/>
      <c r="AA63" s="366"/>
      <c r="AB63" s="430"/>
      <c r="AC63" s="505"/>
      <c r="AD63" s="391"/>
      <c r="AE63" s="535"/>
      <c r="AF63" s="535"/>
      <c r="AG63" s="535"/>
      <c r="AH63" s="535"/>
      <c r="AI63" s="535"/>
      <c r="AJ63" s="535"/>
      <c r="AK63" s="535"/>
      <c r="AL63" s="535"/>
      <c r="AM63" s="535"/>
      <c r="AN63" s="535"/>
      <c r="AO63" s="535"/>
      <c r="AP63" s="535"/>
      <c r="AQ63" s="535"/>
      <c r="AR63" s="535"/>
      <c r="AS63" s="540"/>
      <c r="AT63" s="192"/>
      <c r="AU63" s="366"/>
      <c r="AV63" s="173"/>
      <c r="AW63" s="366"/>
      <c r="AX63" s="534"/>
      <c r="AY63" s="535"/>
      <c r="AZ63" s="535"/>
      <c r="BA63" s="535"/>
      <c r="BB63" s="535"/>
      <c r="BC63" s="535"/>
      <c r="BD63" s="535"/>
      <c r="BE63" s="535"/>
      <c r="BF63" s="535"/>
      <c r="BG63" s="535"/>
      <c r="BH63" s="535"/>
      <c r="BI63" s="535"/>
      <c r="BJ63" s="535"/>
      <c r="BK63" s="535">
        <f t="shared" si="6"/>
        <v>0</v>
      </c>
      <c r="BL63" s="535">
        <f t="shared" si="7"/>
        <v>0</v>
      </c>
      <c r="BM63" s="543" t="e">
        <f t="shared" si="8"/>
        <v>#DIV/0!</v>
      </c>
      <c r="BN63" s="535"/>
    </row>
    <row r="64" spans="1:66" s="25" customFormat="1" x14ac:dyDescent="0.25">
      <c r="A64" s="490">
        <v>115</v>
      </c>
      <c r="B64" s="63" t="s">
        <v>116</v>
      </c>
      <c r="C64" s="490">
        <v>1157</v>
      </c>
      <c r="D64" s="63" t="s">
        <v>104</v>
      </c>
      <c r="E64" s="490">
        <v>4</v>
      </c>
      <c r="F64" s="584" t="s">
        <v>53</v>
      </c>
      <c r="G64" s="584">
        <v>1000</v>
      </c>
      <c r="H64" s="584" t="s">
        <v>61</v>
      </c>
      <c r="I64" s="584" t="s">
        <v>118</v>
      </c>
      <c r="J64" s="584"/>
      <c r="K64" s="654"/>
      <c r="L64" s="192" t="s">
        <v>1610</v>
      </c>
      <c r="M64" s="192" t="s">
        <v>1611</v>
      </c>
      <c r="N64" s="192" t="s">
        <v>48</v>
      </c>
      <c r="O64" s="191" t="s">
        <v>793</v>
      </c>
      <c r="P64" s="192" t="s">
        <v>1108</v>
      </c>
      <c r="Q64" s="428">
        <v>42366</v>
      </c>
      <c r="R64" s="428">
        <v>42388</v>
      </c>
      <c r="S64" s="191" t="s">
        <v>867</v>
      </c>
      <c r="T64" s="192">
        <v>154</v>
      </c>
      <c r="U64" s="191" t="s">
        <v>1287</v>
      </c>
      <c r="V64" s="192" t="s">
        <v>1612</v>
      </c>
      <c r="W64" s="192" t="s">
        <v>1681</v>
      </c>
      <c r="X64" s="192" t="s">
        <v>1677</v>
      </c>
      <c r="Y64" s="192" t="s">
        <v>1506</v>
      </c>
      <c r="Z64" s="192"/>
      <c r="AA64" s="366">
        <v>697</v>
      </c>
      <c r="AB64" s="506">
        <v>42361</v>
      </c>
      <c r="AC64" s="366">
        <v>915</v>
      </c>
      <c r="AD64" s="391">
        <v>300000000</v>
      </c>
      <c r="AE64" s="535"/>
      <c r="AF64" s="535"/>
      <c r="AG64" s="535"/>
      <c r="AH64" s="535"/>
      <c r="AI64" s="535"/>
      <c r="AJ64" s="535"/>
      <c r="AK64" s="535"/>
      <c r="AL64" s="535"/>
      <c r="AM64" s="535"/>
      <c r="AN64" s="535"/>
      <c r="AO64" s="535"/>
      <c r="AP64" s="535"/>
      <c r="AQ64" s="535">
        <f t="shared" si="12"/>
        <v>0</v>
      </c>
      <c r="AR64" s="535">
        <f t="shared" si="11"/>
        <v>300000000</v>
      </c>
      <c r="AS64" s="540">
        <f t="shared" si="13"/>
        <v>0</v>
      </c>
      <c r="AT64" s="192"/>
      <c r="AU64" s="366">
        <v>211</v>
      </c>
      <c r="AV64" s="173">
        <v>42388</v>
      </c>
      <c r="AW64" s="366">
        <v>244</v>
      </c>
      <c r="AX64" s="534">
        <v>300000000</v>
      </c>
      <c r="AY64" s="535"/>
      <c r="AZ64" s="535"/>
      <c r="BA64" s="535"/>
      <c r="BB64" s="535"/>
      <c r="BC64" s="535"/>
      <c r="BD64" s="535"/>
      <c r="BE64" s="535"/>
      <c r="BF64" s="535"/>
      <c r="BG64" s="535"/>
      <c r="BH64" s="535">
        <v>110276793</v>
      </c>
      <c r="BI64" s="535"/>
      <c r="BJ64" s="535">
        <v>109941350</v>
      </c>
      <c r="BK64" s="535">
        <f t="shared" si="6"/>
        <v>220218143</v>
      </c>
      <c r="BL64" s="535">
        <f t="shared" si="7"/>
        <v>79781857</v>
      </c>
      <c r="BM64" s="543">
        <f t="shared" si="8"/>
        <v>0.73406047666666663</v>
      </c>
      <c r="BN64" s="535"/>
    </row>
    <row r="65" spans="1:66" s="25" customFormat="1" x14ac:dyDescent="0.25">
      <c r="A65" s="490">
        <v>115</v>
      </c>
      <c r="B65" s="63" t="s">
        <v>116</v>
      </c>
      <c r="C65" s="490">
        <v>1157</v>
      </c>
      <c r="D65" s="63" t="s">
        <v>104</v>
      </c>
      <c r="E65" s="490">
        <v>4</v>
      </c>
      <c r="F65" s="585"/>
      <c r="G65" s="585"/>
      <c r="H65" s="585"/>
      <c r="I65" s="585"/>
      <c r="J65" s="585"/>
      <c r="K65" s="655"/>
      <c r="L65" s="192" t="s">
        <v>1613</v>
      </c>
      <c r="M65" s="192" t="s">
        <v>1611</v>
      </c>
      <c r="N65" s="192" t="s">
        <v>48</v>
      </c>
      <c r="O65" s="191" t="s">
        <v>793</v>
      </c>
      <c r="P65" s="192" t="s">
        <v>1026</v>
      </c>
      <c r="Q65" s="428">
        <v>42368</v>
      </c>
      <c r="R65" s="428">
        <v>42388</v>
      </c>
      <c r="S65" s="191" t="s">
        <v>867</v>
      </c>
      <c r="T65" s="192">
        <v>155</v>
      </c>
      <c r="U65" s="191" t="s">
        <v>798</v>
      </c>
      <c r="V65" s="192" t="s">
        <v>1614</v>
      </c>
      <c r="W65" s="192">
        <v>41767618</v>
      </c>
      <c r="X65" s="192" t="s">
        <v>90</v>
      </c>
      <c r="Y65" s="192" t="s">
        <v>1506</v>
      </c>
      <c r="Z65" s="192"/>
      <c r="AA65" s="366">
        <v>702</v>
      </c>
      <c r="AB65" s="173">
        <v>42367</v>
      </c>
      <c r="AC65" s="366">
        <v>923</v>
      </c>
      <c r="AD65" s="391">
        <v>16000000</v>
      </c>
      <c r="AE65" s="535"/>
      <c r="AF65" s="535"/>
      <c r="AG65" s="535"/>
      <c r="AH65" s="535"/>
      <c r="AI65" s="535"/>
      <c r="AJ65" s="535"/>
      <c r="AK65" s="535"/>
      <c r="AL65" s="535"/>
      <c r="AM65" s="535"/>
      <c r="AN65" s="535"/>
      <c r="AO65" s="535"/>
      <c r="AP65" s="535"/>
      <c r="AQ65" s="535">
        <f t="shared" si="12"/>
        <v>0</v>
      </c>
      <c r="AR65" s="535">
        <f t="shared" si="11"/>
        <v>16000000</v>
      </c>
      <c r="AS65" s="540">
        <f t="shared" si="13"/>
        <v>0</v>
      </c>
      <c r="AT65" s="192"/>
      <c r="AU65" s="366">
        <v>218</v>
      </c>
      <c r="AV65" s="401">
        <v>42388</v>
      </c>
      <c r="AW65" s="366">
        <v>204</v>
      </c>
      <c r="AX65" s="534">
        <f>+AR65</f>
        <v>16000000</v>
      </c>
      <c r="AY65" s="535"/>
      <c r="AZ65" s="535"/>
      <c r="BA65" s="535"/>
      <c r="BB65" s="535"/>
      <c r="BC65" s="535"/>
      <c r="BD65" s="535"/>
      <c r="BE65" s="535"/>
      <c r="BF65" s="535"/>
      <c r="BG65" s="535"/>
      <c r="BH65" s="535"/>
      <c r="BI65" s="535"/>
      <c r="BJ65" s="535"/>
      <c r="BK65" s="535">
        <f t="shared" si="6"/>
        <v>0</v>
      </c>
      <c r="BL65" s="535">
        <f t="shared" si="7"/>
        <v>16000000</v>
      </c>
      <c r="BM65" s="543">
        <f t="shared" si="8"/>
        <v>0</v>
      </c>
      <c r="BN65" s="535"/>
    </row>
    <row r="66" spans="1:66" s="25" customFormat="1" x14ac:dyDescent="0.25">
      <c r="A66" s="490">
        <v>115</v>
      </c>
      <c r="B66" s="63" t="s">
        <v>116</v>
      </c>
      <c r="C66" s="490">
        <v>1157</v>
      </c>
      <c r="D66" s="63" t="s">
        <v>104</v>
      </c>
      <c r="E66" s="491">
        <v>4</v>
      </c>
      <c r="F66" s="590"/>
      <c r="G66" s="590"/>
      <c r="H66" s="590"/>
      <c r="I66" s="590"/>
      <c r="J66" s="590"/>
      <c r="K66" s="656"/>
      <c r="L66" s="192"/>
      <c r="M66" s="192"/>
      <c r="N66" s="192"/>
      <c r="O66" s="191"/>
      <c r="P66" s="192"/>
      <c r="Q66" s="428"/>
      <c r="R66" s="428"/>
      <c r="S66" s="191"/>
      <c r="T66" s="192"/>
      <c r="U66" s="191"/>
      <c r="V66" s="192"/>
      <c r="W66" s="192"/>
      <c r="X66" s="192"/>
      <c r="Y66" s="192"/>
      <c r="Z66" s="192"/>
      <c r="AA66" s="366"/>
      <c r="AB66" s="173"/>
      <c r="AC66" s="366"/>
      <c r="AD66" s="391"/>
      <c r="AE66" s="535"/>
      <c r="AF66" s="535"/>
      <c r="AG66" s="535"/>
      <c r="AH66" s="535"/>
      <c r="AI66" s="535"/>
      <c r="AJ66" s="535"/>
      <c r="AK66" s="535"/>
      <c r="AL66" s="535"/>
      <c r="AM66" s="535"/>
      <c r="AN66" s="535"/>
      <c r="AO66" s="535"/>
      <c r="AP66" s="535"/>
      <c r="AQ66" s="535"/>
      <c r="AR66" s="535"/>
      <c r="AS66" s="540"/>
      <c r="AT66" s="192"/>
      <c r="AU66" s="366"/>
      <c r="AV66" s="401"/>
      <c r="AW66" s="366"/>
      <c r="AX66" s="534"/>
      <c r="AY66" s="535"/>
      <c r="AZ66" s="535"/>
      <c r="BA66" s="535"/>
      <c r="BB66" s="535"/>
      <c r="BC66" s="535"/>
      <c r="BD66" s="535"/>
      <c r="BE66" s="535"/>
      <c r="BF66" s="535"/>
      <c r="BG66" s="535"/>
      <c r="BH66" s="535"/>
      <c r="BI66" s="535"/>
      <c r="BJ66" s="535"/>
      <c r="BK66" s="535">
        <f t="shared" si="6"/>
        <v>0</v>
      </c>
      <c r="BL66" s="535">
        <f t="shared" si="7"/>
        <v>0</v>
      </c>
      <c r="BM66" s="543" t="e">
        <f t="shared" si="8"/>
        <v>#DIV/0!</v>
      </c>
      <c r="BN66" s="535"/>
    </row>
    <row r="67" spans="1:66" s="68" customFormat="1" x14ac:dyDescent="0.25">
      <c r="A67" s="491">
        <v>117</v>
      </c>
      <c r="B67" s="65" t="s">
        <v>128</v>
      </c>
      <c r="C67" s="491">
        <v>1161</v>
      </c>
      <c r="D67" s="65" t="s">
        <v>122</v>
      </c>
      <c r="E67" s="491">
        <v>1</v>
      </c>
      <c r="F67" s="584" t="s">
        <v>130</v>
      </c>
      <c r="G67" s="584">
        <v>9</v>
      </c>
      <c r="H67" s="584" t="s">
        <v>131</v>
      </c>
      <c r="I67" s="584" t="s">
        <v>132</v>
      </c>
      <c r="J67" s="584"/>
      <c r="K67" s="654"/>
      <c r="L67" s="431" t="s">
        <v>1447</v>
      </c>
      <c r="M67" s="192" t="s">
        <v>1134</v>
      </c>
      <c r="N67" s="192" t="s">
        <v>493</v>
      </c>
      <c r="O67" s="192" t="s">
        <v>1381</v>
      </c>
      <c r="P67" s="431" t="s">
        <v>1108</v>
      </c>
      <c r="Q67" s="455">
        <v>42139</v>
      </c>
      <c r="R67" s="428">
        <v>42139</v>
      </c>
      <c r="S67" s="192" t="s">
        <v>1446</v>
      </c>
      <c r="T67" s="431">
        <v>54</v>
      </c>
      <c r="U67" s="192" t="s">
        <v>1287</v>
      </c>
      <c r="V67" s="431" t="s">
        <v>1445</v>
      </c>
      <c r="W67" s="192" t="s">
        <v>1444</v>
      </c>
      <c r="X67" s="192">
        <v>250</v>
      </c>
      <c r="Y67" s="192" t="s">
        <v>1397</v>
      </c>
      <c r="Z67" s="192"/>
      <c r="AA67" s="458">
        <v>498</v>
      </c>
      <c r="AB67" s="430">
        <v>42139</v>
      </c>
      <c r="AC67" s="459">
        <v>559</v>
      </c>
      <c r="AD67" s="534">
        <v>40000000</v>
      </c>
      <c r="AE67" s="535"/>
      <c r="AF67" s="535"/>
      <c r="AG67" s="535"/>
      <c r="AH67" s="535"/>
      <c r="AI67" s="535"/>
      <c r="AJ67" s="535"/>
      <c r="AK67" s="535"/>
      <c r="AL67" s="535"/>
      <c r="AM67" s="535"/>
      <c r="AN67" s="535"/>
      <c r="AO67" s="535"/>
      <c r="AP67" s="535">
        <v>40000000</v>
      </c>
      <c r="AQ67" s="535">
        <f t="shared" si="12"/>
        <v>40000000</v>
      </c>
      <c r="AR67" s="535">
        <f t="shared" si="11"/>
        <v>0</v>
      </c>
      <c r="AS67" s="540">
        <f t="shared" si="13"/>
        <v>1</v>
      </c>
      <c r="AT67" s="192"/>
      <c r="AU67" s="366"/>
      <c r="AV67" s="173"/>
      <c r="AW67" s="366"/>
      <c r="AX67" s="534"/>
      <c r="AY67" s="535"/>
      <c r="AZ67" s="535"/>
      <c r="BA67" s="535"/>
      <c r="BB67" s="535"/>
      <c r="BC67" s="535"/>
      <c r="BD67" s="535"/>
      <c r="BE67" s="535"/>
      <c r="BF67" s="535"/>
      <c r="BG67" s="535"/>
      <c r="BH67" s="535"/>
      <c r="BI67" s="535"/>
      <c r="BJ67" s="535"/>
      <c r="BK67" s="535">
        <f t="shared" si="6"/>
        <v>0</v>
      </c>
      <c r="BL67" s="535">
        <f t="shared" si="7"/>
        <v>0</v>
      </c>
      <c r="BM67" s="543" t="e">
        <f t="shared" si="8"/>
        <v>#DIV/0!</v>
      </c>
      <c r="BN67" s="535"/>
    </row>
    <row r="68" spans="1:66" s="68" customFormat="1" x14ac:dyDescent="0.25">
      <c r="A68" s="491">
        <v>117</v>
      </c>
      <c r="B68" s="65" t="s">
        <v>128</v>
      </c>
      <c r="C68" s="491">
        <v>1161</v>
      </c>
      <c r="D68" s="65" t="s">
        <v>122</v>
      </c>
      <c r="E68" s="491">
        <v>1</v>
      </c>
      <c r="F68" s="585"/>
      <c r="G68" s="585"/>
      <c r="H68" s="585"/>
      <c r="I68" s="585"/>
      <c r="J68" s="585"/>
      <c r="K68" s="655"/>
      <c r="L68" s="431" t="s">
        <v>1522</v>
      </c>
      <c r="M68" s="192" t="s">
        <v>1134</v>
      </c>
      <c r="N68" s="192" t="s">
        <v>493</v>
      </c>
      <c r="O68" s="192" t="s">
        <v>1536</v>
      </c>
      <c r="P68" s="431" t="s">
        <v>1108</v>
      </c>
      <c r="Q68" s="455">
        <v>42201</v>
      </c>
      <c r="R68" s="428">
        <v>42201</v>
      </c>
      <c r="S68" s="192" t="s">
        <v>512</v>
      </c>
      <c r="T68" s="431">
        <v>163</v>
      </c>
      <c r="U68" s="192" t="s">
        <v>1287</v>
      </c>
      <c r="V68" s="431" t="s">
        <v>415</v>
      </c>
      <c r="W68" s="192">
        <v>900320309</v>
      </c>
      <c r="X68" s="433" t="s">
        <v>90</v>
      </c>
      <c r="Y68" s="192" t="s">
        <v>1397</v>
      </c>
      <c r="Z68" s="192"/>
      <c r="AA68" s="458">
        <v>567</v>
      </c>
      <c r="AB68" s="430">
        <v>42200</v>
      </c>
      <c r="AC68" s="459">
        <v>668</v>
      </c>
      <c r="AD68" s="534">
        <v>17382000</v>
      </c>
      <c r="AE68" s="535"/>
      <c r="AF68" s="535"/>
      <c r="AG68" s="535"/>
      <c r="AH68" s="535"/>
      <c r="AI68" s="535"/>
      <c r="AJ68" s="535"/>
      <c r="AK68" s="535"/>
      <c r="AL68" s="535"/>
      <c r="AM68" s="535"/>
      <c r="AN68" s="535">
        <v>17382000</v>
      </c>
      <c r="AO68" s="535"/>
      <c r="AP68" s="535"/>
      <c r="AQ68" s="535">
        <f t="shared" si="12"/>
        <v>17382000</v>
      </c>
      <c r="AR68" s="535">
        <f t="shared" si="11"/>
        <v>0</v>
      </c>
      <c r="AS68" s="540">
        <f t="shared" si="13"/>
        <v>1</v>
      </c>
      <c r="AT68" s="192"/>
      <c r="AU68" s="366"/>
      <c r="AV68" s="173"/>
      <c r="AW68" s="366"/>
      <c r="AX68" s="534"/>
      <c r="AY68" s="535"/>
      <c r="AZ68" s="535"/>
      <c r="BA68" s="535"/>
      <c r="BB68" s="535"/>
      <c r="BC68" s="535"/>
      <c r="BD68" s="535"/>
      <c r="BE68" s="535"/>
      <c r="BF68" s="535"/>
      <c r="BG68" s="535"/>
      <c r="BH68" s="535"/>
      <c r="BI68" s="535"/>
      <c r="BJ68" s="535"/>
      <c r="BK68" s="535">
        <f t="shared" ref="BK68:BK131" si="14">SUM(AY68:BJ68)</f>
        <v>0</v>
      </c>
      <c r="BL68" s="535">
        <f t="shared" ref="BL68:BL131" si="15">+AX68-BK68</f>
        <v>0</v>
      </c>
      <c r="BM68" s="543" t="e">
        <f t="shared" ref="BM68:BM131" si="16">+BK68/AX68</f>
        <v>#DIV/0!</v>
      </c>
      <c r="BN68" s="535"/>
    </row>
    <row r="69" spans="1:66" s="68" customFormat="1" x14ac:dyDescent="0.25">
      <c r="A69" s="491">
        <v>117</v>
      </c>
      <c r="B69" s="65" t="s">
        <v>128</v>
      </c>
      <c r="C69" s="491">
        <v>1161</v>
      </c>
      <c r="D69" s="65" t="s">
        <v>122</v>
      </c>
      <c r="E69" s="491">
        <v>1</v>
      </c>
      <c r="F69" s="585"/>
      <c r="G69" s="585"/>
      <c r="H69" s="585"/>
      <c r="I69" s="585"/>
      <c r="J69" s="585"/>
      <c r="K69" s="655"/>
      <c r="L69" s="431" t="s">
        <v>1523</v>
      </c>
      <c r="M69" s="192" t="s">
        <v>1134</v>
      </c>
      <c r="N69" s="192" t="s">
        <v>493</v>
      </c>
      <c r="O69" s="192" t="s">
        <v>1534</v>
      </c>
      <c r="P69" s="431" t="s">
        <v>1120</v>
      </c>
      <c r="Q69" s="455">
        <v>42213</v>
      </c>
      <c r="R69" s="428">
        <v>42213</v>
      </c>
      <c r="S69" s="192" t="s">
        <v>378</v>
      </c>
      <c r="T69" s="431">
        <v>105</v>
      </c>
      <c r="U69" s="192" t="s">
        <v>1287</v>
      </c>
      <c r="V69" s="431" t="s">
        <v>689</v>
      </c>
      <c r="W69" s="192">
        <v>900175862</v>
      </c>
      <c r="X69" s="433" t="s">
        <v>1539</v>
      </c>
      <c r="Y69" s="192" t="s">
        <v>1397</v>
      </c>
      <c r="Z69" s="192"/>
      <c r="AA69" s="458">
        <v>509</v>
      </c>
      <c r="AB69" s="430">
        <v>42166</v>
      </c>
      <c r="AC69" s="459">
        <v>686</v>
      </c>
      <c r="AD69" s="534">
        <v>67446833</v>
      </c>
      <c r="AE69" s="535"/>
      <c r="AF69" s="535"/>
      <c r="AG69" s="535"/>
      <c r="AH69" s="535"/>
      <c r="AI69" s="535"/>
      <c r="AJ69" s="535"/>
      <c r="AK69" s="535"/>
      <c r="AL69" s="535"/>
      <c r="AM69" s="535"/>
      <c r="AN69" s="535">
        <v>26978733</v>
      </c>
      <c r="AO69" s="535"/>
      <c r="AP69" s="535">
        <v>40468100</v>
      </c>
      <c r="AQ69" s="535">
        <f t="shared" si="12"/>
        <v>67446833</v>
      </c>
      <c r="AR69" s="535">
        <f t="shared" si="11"/>
        <v>0</v>
      </c>
      <c r="AS69" s="540">
        <f t="shared" si="13"/>
        <v>1</v>
      </c>
      <c r="AT69" s="192"/>
      <c r="AU69" s="366"/>
      <c r="AV69" s="173"/>
      <c r="AW69" s="366"/>
      <c r="AX69" s="534"/>
      <c r="AY69" s="535"/>
      <c r="AZ69" s="535"/>
      <c r="BA69" s="535"/>
      <c r="BB69" s="535"/>
      <c r="BC69" s="535"/>
      <c r="BD69" s="535"/>
      <c r="BE69" s="535"/>
      <c r="BF69" s="535"/>
      <c r="BG69" s="535"/>
      <c r="BH69" s="535"/>
      <c r="BI69" s="535"/>
      <c r="BJ69" s="535"/>
      <c r="BK69" s="535">
        <f t="shared" si="14"/>
        <v>0</v>
      </c>
      <c r="BL69" s="535">
        <f t="shared" si="15"/>
        <v>0</v>
      </c>
      <c r="BM69" s="543" t="e">
        <f t="shared" si="16"/>
        <v>#DIV/0!</v>
      </c>
      <c r="BN69" s="535"/>
    </row>
    <row r="70" spans="1:66" s="68" customFormat="1" x14ac:dyDescent="0.25">
      <c r="A70" s="491">
        <v>117</v>
      </c>
      <c r="B70" s="65" t="s">
        <v>128</v>
      </c>
      <c r="C70" s="491">
        <v>1161</v>
      </c>
      <c r="D70" s="65" t="s">
        <v>122</v>
      </c>
      <c r="E70" s="491">
        <v>1</v>
      </c>
      <c r="F70" s="585"/>
      <c r="G70" s="585"/>
      <c r="H70" s="585"/>
      <c r="I70" s="585"/>
      <c r="J70" s="585"/>
      <c r="K70" s="655"/>
      <c r="L70" s="431" t="s">
        <v>1578</v>
      </c>
      <c r="M70" s="192" t="s">
        <v>1134</v>
      </c>
      <c r="N70" s="192" t="s">
        <v>493</v>
      </c>
      <c r="O70" s="192" t="s">
        <v>1672</v>
      </c>
      <c r="P70" s="431" t="s">
        <v>1120</v>
      </c>
      <c r="Q70" s="455">
        <v>42286</v>
      </c>
      <c r="R70" s="455">
        <v>42286</v>
      </c>
      <c r="S70" s="192" t="s">
        <v>512</v>
      </c>
      <c r="T70" s="431">
        <v>105</v>
      </c>
      <c r="U70" s="192" t="s">
        <v>1287</v>
      </c>
      <c r="V70" s="431" t="s">
        <v>689</v>
      </c>
      <c r="W70" s="192">
        <v>900175862</v>
      </c>
      <c r="X70" s="433" t="s">
        <v>1539</v>
      </c>
      <c r="Y70" s="192" t="s">
        <v>1397</v>
      </c>
      <c r="Z70" s="192"/>
      <c r="AA70" s="458">
        <v>648</v>
      </c>
      <c r="AB70" s="430">
        <v>42286</v>
      </c>
      <c r="AC70" s="459">
        <v>807</v>
      </c>
      <c r="AD70" s="534">
        <v>8981980</v>
      </c>
      <c r="AE70" s="535"/>
      <c r="AF70" s="535"/>
      <c r="AG70" s="535"/>
      <c r="AH70" s="535"/>
      <c r="AI70" s="535"/>
      <c r="AJ70" s="535"/>
      <c r="AK70" s="535"/>
      <c r="AL70" s="535"/>
      <c r="AM70" s="535"/>
      <c r="AN70" s="535"/>
      <c r="AO70" s="535"/>
      <c r="AP70" s="535">
        <v>8981980</v>
      </c>
      <c r="AQ70" s="535">
        <f t="shared" si="12"/>
        <v>8981980</v>
      </c>
      <c r="AR70" s="535">
        <f t="shared" si="11"/>
        <v>0</v>
      </c>
      <c r="AS70" s="540"/>
      <c r="AT70" s="192"/>
      <c r="AU70" s="366"/>
      <c r="AV70" s="173"/>
      <c r="AW70" s="366"/>
      <c r="AX70" s="534"/>
      <c r="AY70" s="535"/>
      <c r="AZ70" s="535"/>
      <c r="BA70" s="535"/>
      <c r="BB70" s="535"/>
      <c r="BC70" s="535"/>
      <c r="BD70" s="535"/>
      <c r="BE70" s="535"/>
      <c r="BF70" s="535"/>
      <c r="BG70" s="535"/>
      <c r="BH70" s="535"/>
      <c r="BI70" s="535"/>
      <c r="BJ70" s="535"/>
      <c r="BK70" s="535">
        <f t="shared" si="14"/>
        <v>0</v>
      </c>
      <c r="BL70" s="535">
        <f t="shared" si="15"/>
        <v>0</v>
      </c>
      <c r="BM70" s="543" t="e">
        <f t="shared" si="16"/>
        <v>#DIV/0!</v>
      </c>
      <c r="BN70" s="535"/>
    </row>
    <row r="71" spans="1:66" s="68" customFormat="1" x14ac:dyDescent="0.25">
      <c r="A71" s="491">
        <v>117</v>
      </c>
      <c r="B71" s="65" t="s">
        <v>128</v>
      </c>
      <c r="C71" s="491">
        <v>1161</v>
      </c>
      <c r="D71" s="65" t="s">
        <v>122</v>
      </c>
      <c r="E71" s="491">
        <v>1</v>
      </c>
      <c r="F71" s="585"/>
      <c r="G71" s="585"/>
      <c r="H71" s="585"/>
      <c r="I71" s="585"/>
      <c r="J71" s="585"/>
      <c r="K71" s="655"/>
      <c r="L71" s="431" t="s">
        <v>1524</v>
      </c>
      <c r="M71" s="192" t="s">
        <v>1134</v>
      </c>
      <c r="N71" s="192" t="s">
        <v>493</v>
      </c>
      <c r="O71" s="192" t="s">
        <v>1534</v>
      </c>
      <c r="P71" s="431" t="s">
        <v>1120</v>
      </c>
      <c r="Q71" s="455">
        <v>42213</v>
      </c>
      <c r="R71" s="428">
        <v>42215</v>
      </c>
      <c r="S71" s="192" t="s">
        <v>378</v>
      </c>
      <c r="T71" s="431">
        <v>104</v>
      </c>
      <c r="U71" s="192" t="s">
        <v>1287</v>
      </c>
      <c r="V71" s="431" t="s">
        <v>1525</v>
      </c>
      <c r="W71" s="433" t="s">
        <v>1541</v>
      </c>
      <c r="X71" s="433" t="s">
        <v>1539</v>
      </c>
      <c r="Y71" s="192" t="s">
        <v>483</v>
      </c>
      <c r="Z71" s="192"/>
      <c r="AA71" s="458">
        <v>510</v>
      </c>
      <c r="AB71" s="430">
        <v>42166</v>
      </c>
      <c r="AC71" s="459">
        <v>687</v>
      </c>
      <c r="AD71" s="534">
        <v>53172126</v>
      </c>
      <c r="AE71" s="535"/>
      <c r="AF71" s="535"/>
      <c r="AG71" s="535"/>
      <c r="AH71" s="535"/>
      <c r="AI71" s="535"/>
      <c r="AJ71" s="535"/>
      <c r="AK71" s="535"/>
      <c r="AL71" s="535"/>
      <c r="AM71" s="535"/>
      <c r="AN71" s="535"/>
      <c r="AO71" s="535"/>
      <c r="AP71" s="535"/>
      <c r="AQ71" s="535">
        <f t="shared" si="12"/>
        <v>0</v>
      </c>
      <c r="AR71" s="535">
        <f t="shared" si="11"/>
        <v>53172126</v>
      </c>
      <c r="AS71" s="540">
        <f t="shared" si="13"/>
        <v>0</v>
      </c>
      <c r="AT71" s="192"/>
      <c r="AU71" s="366">
        <v>103</v>
      </c>
      <c r="AV71" s="401">
        <v>42388</v>
      </c>
      <c r="AW71" s="366">
        <v>96</v>
      </c>
      <c r="AX71" s="534">
        <f>+AR71</f>
        <v>53172126</v>
      </c>
      <c r="AY71" s="535"/>
      <c r="AZ71" s="535"/>
      <c r="BA71" s="535"/>
      <c r="BB71" s="535"/>
      <c r="BC71" s="535"/>
      <c r="BD71" s="535"/>
      <c r="BE71" s="535"/>
      <c r="BF71" s="535"/>
      <c r="BG71" s="535"/>
      <c r="BH71" s="535"/>
      <c r="BI71" s="535"/>
      <c r="BJ71" s="535"/>
      <c r="BK71" s="535">
        <f t="shared" si="14"/>
        <v>0</v>
      </c>
      <c r="BL71" s="535">
        <f t="shared" si="15"/>
        <v>53172126</v>
      </c>
      <c r="BM71" s="543">
        <f t="shared" si="16"/>
        <v>0</v>
      </c>
      <c r="BN71" s="535"/>
    </row>
    <row r="72" spans="1:66" s="68" customFormat="1" x14ac:dyDescent="0.25">
      <c r="A72" s="491">
        <v>117</v>
      </c>
      <c r="B72" s="65" t="s">
        <v>128</v>
      </c>
      <c r="C72" s="491">
        <v>1161</v>
      </c>
      <c r="D72" s="65" t="s">
        <v>122</v>
      </c>
      <c r="E72" s="491">
        <v>1</v>
      </c>
      <c r="F72" s="585"/>
      <c r="G72" s="585"/>
      <c r="H72" s="585"/>
      <c r="I72" s="585"/>
      <c r="J72" s="585"/>
      <c r="K72" s="655"/>
      <c r="L72" s="431" t="s">
        <v>1546</v>
      </c>
      <c r="M72" s="192" t="s">
        <v>1134</v>
      </c>
      <c r="N72" s="192" t="s">
        <v>493</v>
      </c>
      <c r="O72" s="192" t="s">
        <v>1534</v>
      </c>
      <c r="P72" s="431" t="s">
        <v>1120</v>
      </c>
      <c r="Q72" s="428">
        <v>42275</v>
      </c>
      <c r="R72" s="428">
        <v>42277</v>
      </c>
      <c r="S72" s="192" t="s">
        <v>378</v>
      </c>
      <c r="T72" s="431">
        <v>118</v>
      </c>
      <c r="U72" s="192" t="s">
        <v>1287</v>
      </c>
      <c r="V72" s="431" t="s">
        <v>937</v>
      </c>
      <c r="W72" s="433">
        <v>830508178</v>
      </c>
      <c r="X72" s="433">
        <v>600</v>
      </c>
      <c r="Y72" s="192" t="s">
        <v>1397</v>
      </c>
      <c r="Z72" s="192"/>
      <c r="AA72" s="458">
        <v>632</v>
      </c>
      <c r="AB72" s="430">
        <v>42237</v>
      </c>
      <c r="AC72" s="459">
        <v>793</v>
      </c>
      <c r="AD72" s="534">
        <f>43712799-1698117</f>
        <v>42014682</v>
      </c>
      <c r="AE72" s="535"/>
      <c r="AF72" s="535"/>
      <c r="AG72" s="535"/>
      <c r="AH72" s="535"/>
      <c r="AI72" s="535"/>
      <c r="AJ72" s="535"/>
      <c r="AK72" s="535"/>
      <c r="AL72" s="535"/>
      <c r="AM72" s="535"/>
      <c r="AN72" s="535"/>
      <c r="AO72" s="535"/>
      <c r="AP72" s="535">
        <v>42014682</v>
      </c>
      <c r="AQ72" s="535">
        <f t="shared" si="12"/>
        <v>42014682</v>
      </c>
      <c r="AR72" s="535">
        <f t="shared" si="11"/>
        <v>0</v>
      </c>
      <c r="AS72" s="540">
        <f t="shared" si="13"/>
        <v>1</v>
      </c>
      <c r="AT72" s="192"/>
      <c r="AU72" s="366"/>
      <c r="AV72" s="173"/>
      <c r="AW72" s="366"/>
      <c r="AX72" s="534"/>
      <c r="AY72" s="535"/>
      <c r="AZ72" s="535"/>
      <c r="BA72" s="535"/>
      <c r="BB72" s="535"/>
      <c r="BC72" s="535"/>
      <c r="BD72" s="535"/>
      <c r="BE72" s="535"/>
      <c r="BF72" s="535"/>
      <c r="BG72" s="535"/>
      <c r="BH72" s="535"/>
      <c r="BI72" s="535"/>
      <c r="BJ72" s="535"/>
      <c r="BK72" s="535">
        <f t="shared" si="14"/>
        <v>0</v>
      </c>
      <c r="BL72" s="535">
        <f t="shared" si="15"/>
        <v>0</v>
      </c>
      <c r="BM72" s="543" t="e">
        <f t="shared" si="16"/>
        <v>#DIV/0!</v>
      </c>
      <c r="BN72" s="535"/>
    </row>
    <row r="73" spans="1:66" s="68" customFormat="1" x14ac:dyDescent="0.25">
      <c r="A73" s="491">
        <v>117</v>
      </c>
      <c r="B73" s="65" t="s">
        <v>128</v>
      </c>
      <c r="C73" s="491">
        <v>1161</v>
      </c>
      <c r="D73" s="65" t="s">
        <v>122</v>
      </c>
      <c r="E73" s="491">
        <v>1</v>
      </c>
      <c r="F73" s="585"/>
      <c r="G73" s="585"/>
      <c r="H73" s="585"/>
      <c r="I73" s="585"/>
      <c r="J73" s="585"/>
      <c r="K73" s="655"/>
      <c r="L73" s="431" t="s">
        <v>1548</v>
      </c>
      <c r="M73" s="192" t="s">
        <v>1134</v>
      </c>
      <c r="N73" s="192" t="s">
        <v>493</v>
      </c>
      <c r="O73" s="192" t="s">
        <v>1534</v>
      </c>
      <c r="P73" s="431" t="s">
        <v>1120</v>
      </c>
      <c r="Q73" s="428">
        <v>42248</v>
      </c>
      <c r="R73" s="428">
        <v>42254</v>
      </c>
      <c r="S73" s="192" t="s">
        <v>512</v>
      </c>
      <c r="T73" s="431">
        <v>106</v>
      </c>
      <c r="U73" s="192" t="s">
        <v>1287</v>
      </c>
      <c r="V73" s="431" t="s">
        <v>1551</v>
      </c>
      <c r="W73" s="433">
        <v>900098809</v>
      </c>
      <c r="X73" s="433" t="s">
        <v>1539</v>
      </c>
      <c r="Y73" s="192" t="s">
        <v>1397</v>
      </c>
      <c r="Z73" s="192"/>
      <c r="AA73" s="458">
        <v>570</v>
      </c>
      <c r="AB73" s="430">
        <v>42184</v>
      </c>
      <c r="AC73" s="459">
        <v>756</v>
      </c>
      <c r="AD73" s="534">
        <f>14823843-116480</f>
        <v>14707363</v>
      </c>
      <c r="AE73" s="535"/>
      <c r="AF73" s="535"/>
      <c r="AG73" s="535"/>
      <c r="AH73" s="535"/>
      <c r="AI73" s="535"/>
      <c r="AJ73" s="535"/>
      <c r="AK73" s="535"/>
      <c r="AL73" s="535"/>
      <c r="AM73" s="535"/>
      <c r="AN73" s="535"/>
      <c r="AO73" s="535"/>
      <c r="AP73" s="535">
        <v>14707363</v>
      </c>
      <c r="AQ73" s="535">
        <f t="shared" si="12"/>
        <v>14707363</v>
      </c>
      <c r="AR73" s="535">
        <f t="shared" si="11"/>
        <v>0</v>
      </c>
      <c r="AS73" s="540">
        <f t="shared" si="13"/>
        <v>1</v>
      </c>
      <c r="AT73" s="192"/>
      <c r="AU73" s="366"/>
      <c r="AV73" s="173"/>
      <c r="AW73" s="366"/>
      <c r="AX73" s="534"/>
      <c r="AY73" s="535"/>
      <c r="AZ73" s="535"/>
      <c r="BA73" s="535"/>
      <c r="BB73" s="535"/>
      <c r="BC73" s="535"/>
      <c r="BD73" s="535"/>
      <c r="BE73" s="535"/>
      <c r="BF73" s="535"/>
      <c r="BG73" s="535"/>
      <c r="BH73" s="535"/>
      <c r="BI73" s="535"/>
      <c r="BJ73" s="535"/>
      <c r="BK73" s="535">
        <f t="shared" si="14"/>
        <v>0</v>
      </c>
      <c r="BL73" s="535">
        <f t="shared" si="15"/>
        <v>0</v>
      </c>
      <c r="BM73" s="543" t="e">
        <f t="shared" si="16"/>
        <v>#DIV/0!</v>
      </c>
      <c r="BN73" s="535"/>
    </row>
    <row r="74" spans="1:66" s="68" customFormat="1" x14ac:dyDescent="0.25">
      <c r="A74" s="491">
        <v>117</v>
      </c>
      <c r="B74" s="65" t="s">
        <v>128</v>
      </c>
      <c r="C74" s="491">
        <v>1161</v>
      </c>
      <c r="D74" s="65" t="s">
        <v>122</v>
      </c>
      <c r="E74" s="491">
        <v>1</v>
      </c>
      <c r="F74" s="585"/>
      <c r="G74" s="585"/>
      <c r="H74" s="585"/>
      <c r="I74" s="585"/>
      <c r="J74" s="585"/>
      <c r="K74" s="655"/>
      <c r="L74" s="431" t="s">
        <v>1616</v>
      </c>
      <c r="M74" s="192" t="s">
        <v>1134</v>
      </c>
      <c r="N74" s="192" t="s">
        <v>493</v>
      </c>
      <c r="O74" s="192" t="s">
        <v>1440</v>
      </c>
      <c r="P74" s="431" t="s">
        <v>1108</v>
      </c>
      <c r="Q74" s="455">
        <v>42348</v>
      </c>
      <c r="R74" s="428">
        <v>42348</v>
      </c>
      <c r="S74" s="192" t="s">
        <v>512</v>
      </c>
      <c r="T74" s="431">
        <v>135</v>
      </c>
      <c r="U74" s="192" t="s">
        <v>1287</v>
      </c>
      <c r="V74" s="431" t="s">
        <v>1617</v>
      </c>
      <c r="W74" s="433" t="s">
        <v>1682</v>
      </c>
      <c r="X74" s="433" t="s">
        <v>1539</v>
      </c>
      <c r="Y74" s="192" t="s">
        <v>483</v>
      </c>
      <c r="Z74" s="192"/>
      <c r="AA74" s="458">
        <v>684</v>
      </c>
      <c r="AB74" s="430">
        <v>42345</v>
      </c>
      <c r="AC74" s="459">
        <v>880</v>
      </c>
      <c r="AD74" s="534">
        <v>100000000</v>
      </c>
      <c r="AE74" s="535"/>
      <c r="AF74" s="535"/>
      <c r="AG74" s="535"/>
      <c r="AH74" s="535"/>
      <c r="AI74" s="535"/>
      <c r="AJ74" s="535"/>
      <c r="AK74" s="535"/>
      <c r="AL74" s="535"/>
      <c r="AM74" s="535"/>
      <c r="AN74" s="535"/>
      <c r="AO74" s="535"/>
      <c r="AP74" s="535"/>
      <c r="AQ74" s="535">
        <f t="shared" si="12"/>
        <v>0</v>
      </c>
      <c r="AR74" s="535">
        <f t="shared" si="11"/>
        <v>100000000</v>
      </c>
      <c r="AS74" s="540">
        <f t="shared" si="13"/>
        <v>0</v>
      </c>
      <c r="AT74" s="192"/>
      <c r="AU74" s="366">
        <v>192</v>
      </c>
      <c r="AV74" s="173"/>
      <c r="AW74" s="366">
        <v>248</v>
      </c>
      <c r="AX74" s="534">
        <v>10000000</v>
      </c>
      <c r="AY74" s="535"/>
      <c r="AZ74" s="535"/>
      <c r="BA74" s="535">
        <v>100000000</v>
      </c>
      <c r="BB74" s="535"/>
      <c r="BC74" s="535"/>
      <c r="BD74" s="535"/>
      <c r="BE74" s="535"/>
      <c r="BF74" s="535"/>
      <c r="BG74" s="535"/>
      <c r="BH74" s="535"/>
      <c r="BI74" s="535"/>
      <c r="BJ74" s="535"/>
      <c r="BK74" s="535">
        <f t="shared" si="14"/>
        <v>100000000</v>
      </c>
      <c r="BL74" s="535">
        <f t="shared" si="15"/>
        <v>-90000000</v>
      </c>
      <c r="BM74" s="543">
        <f t="shared" si="16"/>
        <v>10</v>
      </c>
      <c r="BN74" s="535"/>
    </row>
    <row r="75" spans="1:66" s="68" customFormat="1" x14ac:dyDescent="0.25">
      <c r="A75" s="491">
        <v>117</v>
      </c>
      <c r="B75" s="65" t="s">
        <v>128</v>
      </c>
      <c r="C75" s="491">
        <v>1161</v>
      </c>
      <c r="D75" s="65" t="s">
        <v>122</v>
      </c>
      <c r="E75" s="491">
        <v>1</v>
      </c>
      <c r="F75" s="585"/>
      <c r="G75" s="585"/>
      <c r="H75" s="585"/>
      <c r="I75" s="585"/>
      <c r="J75" s="585"/>
      <c r="K75" s="655"/>
      <c r="L75" s="431" t="s">
        <v>1618</v>
      </c>
      <c r="M75" s="192" t="s">
        <v>1134</v>
      </c>
      <c r="N75" s="192" t="s">
        <v>493</v>
      </c>
      <c r="O75" s="192" t="s">
        <v>1440</v>
      </c>
      <c r="P75" s="431" t="s">
        <v>1108</v>
      </c>
      <c r="Q75" s="455">
        <v>42352</v>
      </c>
      <c r="R75" s="428">
        <v>42352</v>
      </c>
      <c r="S75" s="192" t="s">
        <v>378</v>
      </c>
      <c r="T75" s="431">
        <v>140</v>
      </c>
      <c r="U75" s="192" t="s">
        <v>1287</v>
      </c>
      <c r="V75" s="431" t="s">
        <v>1619</v>
      </c>
      <c r="W75" s="433" t="s">
        <v>1673</v>
      </c>
      <c r="X75" s="433" t="s">
        <v>1539</v>
      </c>
      <c r="Y75" s="192" t="s">
        <v>884</v>
      </c>
      <c r="Z75" s="192"/>
      <c r="AA75" s="458">
        <v>688</v>
      </c>
      <c r="AB75" s="430">
        <v>42348</v>
      </c>
      <c r="AC75" s="459">
        <v>882</v>
      </c>
      <c r="AD75" s="534">
        <v>350003400</v>
      </c>
      <c r="AE75" s="535"/>
      <c r="AF75" s="535"/>
      <c r="AG75" s="535"/>
      <c r="AH75" s="535"/>
      <c r="AI75" s="535"/>
      <c r="AJ75" s="535"/>
      <c r="AK75" s="535"/>
      <c r="AL75" s="535"/>
      <c r="AM75" s="535"/>
      <c r="AN75" s="535"/>
      <c r="AO75" s="535"/>
      <c r="AP75" s="535"/>
      <c r="AQ75" s="535">
        <f t="shared" si="12"/>
        <v>0</v>
      </c>
      <c r="AR75" s="535">
        <f t="shared" si="11"/>
        <v>350003400</v>
      </c>
      <c r="AS75" s="540">
        <f t="shared" si="13"/>
        <v>0</v>
      </c>
      <c r="AT75" s="192"/>
      <c r="AU75" s="366">
        <v>193</v>
      </c>
      <c r="AV75" s="173"/>
      <c r="AW75" s="366">
        <v>249</v>
      </c>
      <c r="AX75" s="534">
        <f>350003400-6563722</f>
        <v>343439678</v>
      </c>
      <c r="AY75" s="535"/>
      <c r="AZ75" s="535"/>
      <c r="BA75" s="535">
        <v>343439678</v>
      </c>
      <c r="BB75" s="535"/>
      <c r="BC75" s="535"/>
      <c r="BD75" s="535"/>
      <c r="BE75" s="535"/>
      <c r="BF75" s="535"/>
      <c r="BG75" s="535"/>
      <c r="BH75" s="535"/>
      <c r="BI75" s="535"/>
      <c r="BJ75" s="535"/>
      <c r="BK75" s="535">
        <f t="shared" si="14"/>
        <v>343439678</v>
      </c>
      <c r="BL75" s="535">
        <f t="shared" si="15"/>
        <v>0</v>
      </c>
      <c r="BM75" s="543">
        <f t="shared" si="16"/>
        <v>1</v>
      </c>
      <c r="BN75" s="535"/>
    </row>
    <row r="76" spans="1:66" s="68" customFormat="1" x14ac:dyDescent="0.25">
      <c r="A76" s="491">
        <v>118</v>
      </c>
      <c r="B76" s="65" t="s">
        <v>134</v>
      </c>
      <c r="C76" s="491">
        <v>1163</v>
      </c>
      <c r="D76" s="65" t="s">
        <v>136</v>
      </c>
      <c r="E76" s="491">
        <v>1</v>
      </c>
      <c r="F76" s="584" t="s">
        <v>53</v>
      </c>
      <c r="G76" s="584">
        <v>4500</v>
      </c>
      <c r="H76" s="584" t="s">
        <v>61</v>
      </c>
      <c r="I76" s="584" t="s">
        <v>137</v>
      </c>
      <c r="J76" s="584"/>
      <c r="K76" s="654"/>
      <c r="L76" s="192" t="s">
        <v>1109</v>
      </c>
      <c r="M76" s="192" t="s">
        <v>1134</v>
      </c>
      <c r="N76" s="192" t="s">
        <v>493</v>
      </c>
      <c r="O76" s="191" t="s">
        <v>793</v>
      </c>
      <c r="P76" s="278" t="s">
        <v>1108</v>
      </c>
      <c r="Q76" s="428">
        <v>42053</v>
      </c>
      <c r="R76" s="428">
        <v>42157</v>
      </c>
      <c r="S76" s="191" t="s">
        <v>1336</v>
      </c>
      <c r="T76" s="191">
        <v>31</v>
      </c>
      <c r="U76" s="191" t="s">
        <v>1395</v>
      </c>
      <c r="V76" s="192" t="s">
        <v>444</v>
      </c>
      <c r="W76" s="192">
        <v>900116219</v>
      </c>
      <c r="X76" s="191">
        <v>680</v>
      </c>
      <c r="Y76" s="429" t="s">
        <v>1397</v>
      </c>
      <c r="Z76" s="192"/>
      <c r="AA76" s="366">
        <v>409</v>
      </c>
      <c r="AB76" s="430">
        <v>42053</v>
      </c>
      <c r="AC76" s="366">
        <v>458</v>
      </c>
      <c r="AD76" s="391">
        <f>249960000-1200000</f>
        <v>248760000</v>
      </c>
      <c r="AE76" s="535"/>
      <c r="AF76" s="535"/>
      <c r="AG76" s="535"/>
      <c r="AH76" s="535"/>
      <c r="AI76" s="535"/>
      <c r="AJ76" s="535"/>
      <c r="AK76" s="535"/>
      <c r="AL76" s="535">
        <v>5600000</v>
      </c>
      <c r="AM76" s="535">
        <v>42200000</v>
      </c>
      <c r="AN76" s="535">
        <v>42200000</v>
      </c>
      <c r="AO76" s="535">
        <v>51350000</v>
      </c>
      <c r="AP76" s="535">
        <f>42200000+65210000</f>
        <v>107410000</v>
      </c>
      <c r="AQ76" s="535">
        <f t="shared" si="12"/>
        <v>248760000</v>
      </c>
      <c r="AR76" s="535">
        <f t="shared" si="11"/>
        <v>0</v>
      </c>
      <c r="AS76" s="541">
        <f t="shared" si="13"/>
        <v>1</v>
      </c>
      <c r="AT76" s="192"/>
      <c r="AU76" s="366"/>
      <c r="AV76" s="173"/>
      <c r="AW76" s="366"/>
      <c r="AX76" s="534"/>
      <c r="AY76" s="535"/>
      <c r="AZ76" s="535"/>
      <c r="BA76" s="535"/>
      <c r="BB76" s="535"/>
      <c r="BC76" s="535"/>
      <c r="BD76" s="535"/>
      <c r="BE76" s="535"/>
      <c r="BF76" s="535"/>
      <c r="BG76" s="535"/>
      <c r="BH76" s="535"/>
      <c r="BI76" s="535"/>
      <c r="BJ76" s="535"/>
      <c r="BK76" s="535">
        <f t="shared" si="14"/>
        <v>0</v>
      </c>
      <c r="BL76" s="535">
        <f t="shared" si="15"/>
        <v>0</v>
      </c>
      <c r="BM76" s="543" t="e">
        <f t="shared" si="16"/>
        <v>#DIV/0!</v>
      </c>
      <c r="BN76" s="535"/>
    </row>
    <row r="77" spans="1:66" s="68" customFormat="1" x14ac:dyDescent="0.25">
      <c r="A77" s="491">
        <v>118</v>
      </c>
      <c r="B77" s="65" t="s">
        <v>134</v>
      </c>
      <c r="C77" s="491">
        <v>1163</v>
      </c>
      <c r="D77" s="65" t="s">
        <v>136</v>
      </c>
      <c r="E77" s="491">
        <v>1</v>
      </c>
      <c r="F77" s="585"/>
      <c r="G77" s="585"/>
      <c r="H77" s="585"/>
      <c r="I77" s="585"/>
      <c r="J77" s="585"/>
      <c r="K77" s="655"/>
      <c r="L77" s="192" t="s">
        <v>1443</v>
      </c>
      <c r="M77" s="192" t="s">
        <v>1134</v>
      </c>
      <c r="N77" s="192" t="s">
        <v>493</v>
      </c>
      <c r="O77" s="191" t="s">
        <v>1535</v>
      </c>
      <c r="P77" s="278" t="s">
        <v>1026</v>
      </c>
      <c r="Q77" s="428"/>
      <c r="R77" s="428">
        <v>42138</v>
      </c>
      <c r="S77" s="191" t="s">
        <v>1336</v>
      </c>
      <c r="T77" s="191">
        <v>51</v>
      </c>
      <c r="U77" s="191" t="s">
        <v>798</v>
      </c>
      <c r="V77" s="192" t="s">
        <v>432</v>
      </c>
      <c r="W77" s="192">
        <v>74371098</v>
      </c>
      <c r="X77" s="191" t="s">
        <v>90</v>
      </c>
      <c r="Y77" s="429" t="s">
        <v>1397</v>
      </c>
      <c r="Z77" s="192"/>
      <c r="AA77" s="366">
        <v>474</v>
      </c>
      <c r="AB77" s="430">
        <v>42118</v>
      </c>
      <c r="AC77" s="366">
        <v>558</v>
      </c>
      <c r="AD77" s="391">
        <v>12000000</v>
      </c>
      <c r="AE77" s="535"/>
      <c r="AF77" s="535"/>
      <c r="AG77" s="535"/>
      <c r="AH77" s="537"/>
      <c r="AI77" s="538"/>
      <c r="AJ77" s="537"/>
      <c r="AK77" s="537"/>
      <c r="AL77" s="535">
        <v>2000000</v>
      </c>
      <c r="AM77" s="535">
        <v>2000000</v>
      </c>
      <c r="AN77" s="535">
        <v>2000000</v>
      </c>
      <c r="AO77" s="535">
        <v>2000000</v>
      </c>
      <c r="AP77" s="535">
        <f>2000000+2000000</f>
        <v>4000000</v>
      </c>
      <c r="AQ77" s="535">
        <f t="shared" si="12"/>
        <v>12000000</v>
      </c>
      <c r="AR77" s="535">
        <f t="shared" si="11"/>
        <v>0</v>
      </c>
      <c r="AS77" s="540">
        <f t="shared" si="13"/>
        <v>1</v>
      </c>
      <c r="AT77" s="192"/>
      <c r="AU77" s="366"/>
      <c r="AV77" s="173"/>
      <c r="AW77" s="366"/>
      <c r="AX77" s="534"/>
      <c r="AY77" s="535"/>
      <c r="AZ77" s="535"/>
      <c r="BA77" s="535"/>
      <c r="BB77" s="535"/>
      <c r="BC77" s="535"/>
      <c r="BD77" s="535"/>
      <c r="BE77" s="535"/>
      <c r="BF77" s="535"/>
      <c r="BG77" s="535"/>
      <c r="BH77" s="535"/>
      <c r="BI77" s="535"/>
      <c r="BJ77" s="535"/>
      <c r="BK77" s="535">
        <f t="shared" si="14"/>
        <v>0</v>
      </c>
      <c r="BL77" s="535">
        <f t="shared" si="15"/>
        <v>0</v>
      </c>
      <c r="BM77" s="543" t="e">
        <f t="shared" si="16"/>
        <v>#DIV/0!</v>
      </c>
      <c r="BN77" s="535"/>
    </row>
    <row r="78" spans="1:66" s="68" customFormat="1" x14ac:dyDescent="0.25">
      <c r="A78" s="491">
        <v>118</v>
      </c>
      <c r="B78" s="65" t="s">
        <v>134</v>
      </c>
      <c r="C78" s="491">
        <v>1163</v>
      </c>
      <c r="D78" s="65" t="s">
        <v>136</v>
      </c>
      <c r="E78" s="491">
        <v>1</v>
      </c>
      <c r="F78" s="585"/>
      <c r="G78" s="585"/>
      <c r="H78" s="585"/>
      <c r="I78" s="585"/>
      <c r="J78" s="585"/>
      <c r="K78" s="655"/>
      <c r="L78" s="192" t="s">
        <v>1526</v>
      </c>
      <c r="M78" s="192"/>
      <c r="N78" s="192" t="s">
        <v>493</v>
      </c>
      <c r="O78" s="191" t="s">
        <v>1537</v>
      </c>
      <c r="P78" s="278" t="s">
        <v>1108</v>
      </c>
      <c r="Q78" s="428">
        <v>42192</v>
      </c>
      <c r="R78" s="428">
        <v>42192</v>
      </c>
      <c r="S78" s="191" t="s">
        <v>1336</v>
      </c>
      <c r="T78" s="191">
        <v>128</v>
      </c>
      <c r="U78" s="191" t="s">
        <v>1287</v>
      </c>
      <c r="V78" s="192" t="s">
        <v>558</v>
      </c>
      <c r="W78" s="192">
        <v>900270576</v>
      </c>
      <c r="X78" s="191">
        <v>250</v>
      </c>
      <c r="Y78" s="429" t="s">
        <v>1397</v>
      </c>
      <c r="Z78" s="192"/>
      <c r="AA78" s="366">
        <v>559</v>
      </c>
      <c r="AB78" s="430">
        <v>42192</v>
      </c>
      <c r="AC78" s="366">
        <v>651</v>
      </c>
      <c r="AD78" s="391">
        <v>79919335</v>
      </c>
      <c r="AE78" s="535"/>
      <c r="AF78" s="535"/>
      <c r="AG78" s="535"/>
      <c r="AH78" s="537"/>
      <c r="AI78" s="538"/>
      <c r="AJ78" s="537"/>
      <c r="AK78" s="537"/>
      <c r="AL78" s="535"/>
      <c r="AM78" s="535"/>
      <c r="AN78" s="535"/>
      <c r="AO78" s="535"/>
      <c r="AP78" s="535">
        <v>79919335</v>
      </c>
      <c r="AQ78" s="535">
        <f t="shared" si="12"/>
        <v>79919335</v>
      </c>
      <c r="AR78" s="535">
        <f t="shared" si="11"/>
        <v>0</v>
      </c>
      <c r="AS78" s="540">
        <f t="shared" si="13"/>
        <v>1</v>
      </c>
      <c r="AT78" s="192"/>
      <c r="AU78" s="366"/>
      <c r="AV78" s="173"/>
      <c r="AW78" s="366"/>
      <c r="AX78" s="534"/>
      <c r="AY78" s="535"/>
      <c r="AZ78" s="535"/>
      <c r="BA78" s="535"/>
      <c r="BB78" s="535"/>
      <c r="BC78" s="535"/>
      <c r="BD78" s="535"/>
      <c r="BE78" s="535"/>
      <c r="BF78" s="535"/>
      <c r="BG78" s="535"/>
      <c r="BH78" s="535"/>
      <c r="BI78" s="535"/>
      <c r="BJ78" s="535"/>
      <c r="BK78" s="535">
        <f t="shared" si="14"/>
        <v>0</v>
      </c>
      <c r="BL78" s="535">
        <f t="shared" si="15"/>
        <v>0</v>
      </c>
      <c r="BM78" s="543" t="e">
        <f t="shared" si="16"/>
        <v>#DIV/0!</v>
      </c>
      <c r="BN78" s="535"/>
    </row>
    <row r="79" spans="1:66" s="68" customFormat="1" x14ac:dyDescent="0.25">
      <c r="A79" s="491">
        <v>118</v>
      </c>
      <c r="B79" s="65" t="s">
        <v>134</v>
      </c>
      <c r="C79" s="491">
        <v>1163</v>
      </c>
      <c r="D79" s="65" t="s">
        <v>136</v>
      </c>
      <c r="E79" s="491">
        <v>1</v>
      </c>
      <c r="F79" s="585"/>
      <c r="G79" s="585"/>
      <c r="H79" s="585"/>
      <c r="I79" s="585"/>
      <c r="J79" s="585"/>
      <c r="K79" s="655"/>
      <c r="L79" s="192" t="s">
        <v>1624</v>
      </c>
      <c r="M79" s="192" t="s">
        <v>1134</v>
      </c>
      <c r="N79" s="192" t="s">
        <v>493</v>
      </c>
      <c r="O79" s="191" t="s">
        <v>1535</v>
      </c>
      <c r="P79" s="278" t="s">
        <v>1026</v>
      </c>
      <c r="Q79" s="428">
        <v>42368</v>
      </c>
      <c r="R79" s="428">
        <v>42373</v>
      </c>
      <c r="S79" s="191" t="s">
        <v>378</v>
      </c>
      <c r="T79" s="191">
        <v>156</v>
      </c>
      <c r="U79" s="191" t="s">
        <v>798</v>
      </c>
      <c r="V79" s="192" t="s">
        <v>1436</v>
      </c>
      <c r="W79" s="192">
        <v>80882644</v>
      </c>
      <c r="X79" s="191" t="s">
        <v>90</v>
      </c>
      <c r="Y79" s="192" t="s">
        <v>870</v>
      </c>
      <c r="Z79" s="192"/>
      <c r="AA79" s="366">
        <v>698</v>
      </c>
      <c r="AB79" s="430">
        <v>42367</v>
      </c>
      <c r="AC79" s="366">
        <v>922</v>
      </c>
      <c r="AD79" s="391">
        <v>4000000</v>
      </c>
      <c r="AE79" s="535"/>
      <c r="AF79" s="535"/>
      <c r="AG79" s="536">
        <v>2000000</v>
      </c>
      <c r="AH79" s="535"/>
      <c r="AI79" s="535"/>
      <c r="AJ79" s="535"/>
      <c r="AK79" s="535"/>
      <c r="AL79" s="535"/>
      <c r="AM79" s="535"/>
      <c r="AN79" s="535"/>
      <c r="AO79" s="535"/>
      <c r="AP79" s="535"/>
      <c r="AQ79" s="535">
        <f t="shared" si="12"/>
        <v>2000000</v>
      </c>
      <c r="AR79" s="535">
        <f t="shared" si="11"/>
        <v>2000000</v>
      </c>
      <c r="AS79" s="540">
        <f t="shared" si="13"/>
        <v>0.5</v>
      </c>
      <c r="AT79" s="192"/>
      <c r="AU79" s="366">
        <v>217</v>
      </c>
      <c r="AV79" s="401">
        <v>42388</v>
      </c>
      <c r="AW79" s="366">
        <v>203</v>
      </c>
      <c r="AX79" s="534">
        <f>+AR79</f>
        <v>2000000</v>
      </c>
      <c r="AY79" s="535"/>
      <c r="AZ79" s="535"/>
      <c r="BA79" s="535">
        <v>2000000</v>
      </c>
      <c r="BB79" s="535"/>
      <c r="BC79" s="535">
        <v>2000000</v>
      </c>
      <c r="BD79" s="535"/>
      <c r="BE79" s="535"/>
      <c r="BF79" s="535"/>
      <c r="BG79" s="535"/>
      <c r="BH79" s="535"/>
      <c r="BI79" s="535"/>
      <c r="BJ79" s="535"/>
      <c r="BK79" s="535">
        <f t="shared" si="14"/>
        <v>4000000</v>
      </c>
      <c r="BL79" s="535">
        <f t="shared" si="15"/>
        <v>-2000000</v>
      </c>
      <c r="BM79" s="543">
        <f t="shared" si="16"/>
        <v>2</v>
      </c>
      <c r="BN79" s="535"/>
    </row>
    <row r="80" spans="1:66" s="68" customFormat="1" x14ac:dyDescent="0.25">
      <c r="A80" s="491">
        <v>118</v>
      </c>
      <c r="B80" s="65" t="s">
        <v>134</v>
      </c>
      <c r="C80" s="491">
        <v>1163</v>
      </c>
      <c r="D80" s="65" t="s">
        <v>136</v>
      </c>
      <c r="E80" s="491">
        <v>1</v>
      </c>
      <c r="F80" s="585"/>
      <c r="G80" s="585"/>
      <c r="H80" s="585"/>
      <c r="I80" s="585"/>
      <c r="J80" s="585"/>
      <c r="K80" s="655"/>
      <c r="L80" s="192" t="s">
        <v>1625</v>
      </c>
      <c r="M80" s="192" t="s">
        <v>1134</v>
      </c>
      <c r="N80" s="192" t="s">
        <v>493</v>
      </c>
      <c r="O80" s="191" t="s">
        <v>793</v>
      </c>
      <c r="P80" s="278" t="s">
        <v>1108</v>
      </c>
      <c r="Q80" s="428">
        <v>42366</v>
      </c>
      <c r="R80" s="428">
        <v>42373</v>
      </c>
      <c r="S80" s="191" t="s">
        <v>378</v>
      </c>
      <c r="T80" s="191">
        <v>150</v>
      </c>
      <c r="U80" s="191" t="s">
        <v>1287</v>
      </c>
      <c r="V80" s="192" t="s">
        <v>558</v>
      </c>
      <c r="W80" s="192">
        <v>900270576</v>
      </c>
      <c r="X80" s="191">
        <v>550</v>
      </c>
      <c r="Y80" s="192" t="s">
        <v>870</v>
      </c>
      <c r="Z80" s="192"/>
      <c r="AA80" s="366">
        <v>689</v>
      </c>
      <c r="AB80" s="430">
        <v>42348</v>
      </c>
      <c r="AC80" s="366">
        <v>911</v>
      </c>
      <c r="AD80" s="391">
        <v>252579000</v>
      </c>
      <c r="AE80" s="535"/>
      <c r="AF80" s="535"/>
      <c r="AG80" s="535"/>
      <c r="AH80" s="535"/>
      <c r="AI80" s="535"/>
      <c r="AJ80" s="535"/>
      <c r="AK80" s="535"/>
      <c r="AL80" s="535"/>
      <c r="AM80" s="535"/>
      <c r="AN80" s="535"/>
      <c r="AO80" s="535"/>
      <c r="AP80" s="535"/>
      <c r="AQ80" s="535">
        <f t="shared" si="12"/>
        <v>0</v>
      </c>
      <c r="AR80" s="535">
        <f t="shared" si="11"/>
        <v>252579000</v>
      </c>
      <c r="AS80" s="540">
        <f t="shared" si="13"/>
        <v>0</v>
      </c>
      <c r="AT80" s="192"/>
      <c r="AU80" s="366">
        <v>207</v>
      </c>
      <c r="AV80" s="173">
        <v>42388</v>
      </c>
      <c r="AW80" s="366">
        <v>250</v>
      </c>
      <c r="AX80" s="534">
        <v>252579000</v>
      </c>
      <c r="AY80" s="535"/>
      <c r="AZ80" s="535"/>
      <c r="BA80" s="535"/>
      <c r="BB80" s="535"/>
      <c r="BC80" s="535">
        <v>50418337</v>
      </c>
      <c r="BD80" s="535"/>
      <c r="BE80" s="535"/>
      <c r="BF80" s="535"/>
      <c r="BG80" s="535"/>
      <c r="BH80" s="535"/>
      <c r="BI80" s="535"/>
      <c r="BJ80" s="535"/>
      <c r="BK80" s="535">
        <f t="shared" si="14"/>
        <v>50418337</v>
      </c>
      <c r="BL80" s="535">
        <f t="shared" si="15"/>
        <v>202160663</v>
      </c>
      <c r="BM80" s="543">
        <f t="shared" si="16"/>
        <v>0.19961412864885839</v>
      </c>
      <c r="BN80" s="535"/>
    </row>
    <row r="81" spans="1:66" s="68" customFormat="1" x14ac:dyDescent="0.25">
      <c r="A81" s="491">
        <v>119</v>
      </c>
      <c r="B81" s="65" t="s">
        <v>139</v>
      </c>
      <c r="C81" s="491">
        <v>1161</v>
      </c>
      <c r="D81" s="65" t="s">
        <v>122</v>
      </c>
      <c r="E81" s="491">
        <v>2</v>
      </c>
      <c r="F81" s="584" t="s">
        <v>53</v>
      </c>
      <c r="G81" s="584">
        <v>350</v>
      </c>
      <c r="H81" s="584" t="s">
        <v>141</v>
      </c>
      <c r="I81" s="584" t="s">
        <v>142</v>
      </c>
      <c r="J81" s="584"/>
      <c r="K81" s="654"/>
      <c r="L81" s="431" t="s">
        <v>1442</v>
      </c>
      <c r="M81" s="192" t="s">
        <v>1134</v>
      </c>
      <c r="N81" s="192" t="s">
        <v>493</v>
      </c>
      <c r="O81" s="192" t="s">
        <v>1440</v>
      </c>
      <c r="P81" s="431" t="s">
        <v>1108</v>
      </c>
      <c r="Q81" s="455">
        <v>42157</v>
      </c>
      <c r="R81" s="455">
        <v>42195</v>
      </c>
      <c r="S81" s="192" t="s">
        <v>1336</v>
      </c>
      <c r="T81" s="431">
        <v>59</v>
      </c>
      <c r="U81" s="192" t="s">
        <v>1287</v>
      </c>
      <c r="V81" s="431" t="s">
        <v>582</v>
      </c>
      <c r="W81" s="192" t="s">
        <v>607</v>
      </c>
      <c r="X81" s="192">
        <v>250</v>
      </c>
      <c r="Y81" s="192" t="s">
        <v>884</v>
      </c>
      <c r="Z81" s="192"/>
      <c r="AA81" s="458">
        <v>493</v>
      </c>
      <c r="AB81" s="430">
        <v>42138</v>
      </c>
      <c r="AC81" s="459">
        <v>582</v>
      </c>
      <c r="AD81" s="534">
        <v>390000000</v>
      </c>
      <c r="AE81" s="535"/>
      <c r="AF81" s="535"/>
      <c r="AG81" s="535"/>
      <c r="AH81" s="535"/>
      <c r="AI81" s="535"/>
      <c r="AJ81" s="535"/>
      <c r="AK81" s="535"/>
      <c r="AL81" s="535"/>
      <c r="AM81" s="535">
        <v>39755000</v>
      </c>
      <c r="AN81" s="535">
        <v>68523000</v>
      </c>
      <c r="AO81" s="535">
        <v>64516000</v>
      </c>
      <c r="AP81" s="535">
        <f>56440000+77278000</f>
        <v>133718000</v>
      </c>
      <c r="AQ81" s="535">
        <f t="shared" si="12"/>
        <v>306512000</v>
      </c>
      <c r="AR81" s="535">
        <f t="shared" si="11"/>
        <v>83488000</v>
      </c>
      <c r="AS81" s="540">
        <f t="shared" si="13"/>
        <v>0.78592820512820516</v>
      </c>
      <c r="AT81" s="192"/>
      <c r="AU81" s="366">
        <v>65</v>
      </c>
      <c r="AV81" s="506">
        <v>42388</v>
      </c>
      <c r="AW81" s="366">
        <v>247</v>
      </c>
      <c r="AX81" s="534">
        <v>83488000</v>
      </c>
      <c r="AY81" s="535"/>
      <c r="AZ81" s="535"/>
      <c r="BA81" s="535"/>
      <c r="BB81" s="535"/>
      <c r="BC81" s="535">
        <v>83488000</v>
      </c>
      <c r="BD81" s="535"/>
      <c r="BE81" s="535"/>
      <c r="BF81" s="535"/>
      <c r="BG81" s="535"/>
      <c r="BH81" s="535"/>
      <c r="BI81" s="535"/>
      <c r="BJ81" s="535"/>
      <c r="BK81" s="535">
        <f t="shared" si="14"/>
        <v>83488000</v>
      </c>
      <c r="BL81" s="535">
        <f t="shared" si="15"/>
        <v>0</v>
      </c>
      <c r="BM81" s="543">
        <f t="shared" si="16"/>
        <v>1</v>
      </c>
      <c r="BN81" s="535"/>
    </row>
    <row r="82" spans="1:66" s="68" customFormat="1" x14ac:dyDescent="0.25">
      <c r="A82" s="491">
        <v>119</v>
      </c>
      <c r="B82" s="65" t="s">
        <v>139</v>
      </c>
      <c r="C82" s="491">
        <v>1161</v>
      </c>
      <c r="D82" s="65" t="s">
        <v>122</v>
      </c>
      <c r="E82" s="491">
        <v>2</v>
      </c>
      <c r="F82" s="585"/>
      <c r="G82" s="585"/>
      <c r="H82" s="585"/>
      <c r="I82" s="585"/>
      <c r="J82" s="585"/>
      <c r="K82" s="655"/>
      <c r="L82" s="431" t="s">
        <v>1441</v>
      </c>
      <c r="M82" s="192" t="s">
        <v>1134</v>
      </c>
      <c r="N82" s="192" t="s">
        <v>493</v>
      </c>
      <c r="O82" s="192" t="s">
        <v>1440</v>
      </c>
      <c r="P82" s="431" t="s">
        <v>1026</v>
      </c>
      <c r="Q82" s="455">
        <v>42178</v>
      </c>
      <c r="R82" s="455">
        <v>42195</v>
      </c>
      <c r="S82" s="192" t="s">
        <v>1336</v>
      </c>
      <c r="T82" s="431">
        <v>70</v>
      </c>
      <c r="U82" s="192" t="s">
        <v>798</v>
      </c>
      <c r="V82" s="431" t="s">
        <v>594</v>
      </c>
      <c r="W82" s="278">
        <v>79781116</v>
      </c>
      <c r="X82" s="433" t="s">
        <v>90</v>
      </c>
      <c r="Y82" s="192" t="s">
        <v>884</v>
      </c>
      <c r="Z82" s="192"/>
      <c r="AA82" s="458">
        <v>492</v>
      </c>
      <c r="AB82" s="430">
        <v>42138</v>
      </c>
      <c r="AC82" s="459">
        <v>605</v>
      </c>
      <c r="AD82" s="534">
        <v>10000000</v>
      </c>
      <c r="AE82" s="535"/>
      <c r="AF82" s="535"/>
      <c r="AG82" s="535"/>
      <c r="AH82" s="535"/>
      <c r="AI82" s="535"/>
      <c r="AJ82" s="535"/>
      <c r="AK82" s="535"/>
      <c r="AL82" s="535"/>
      <c r="AM82" s="535"/>
      <c r="AN82" s="535">
        <v>2000000</v>
      </c>
      <c r="AO82" s="535">
        <v>2000000</v>
      </c>
      <c r="AP82" s="535">
        <f>2000000+2000000</f>
        <v>4000000</v>
      </c>
      <c r="AQ82" s="535">
        <f t="shared" si="12"/>
        <v>8000000</v>
      </c>
      <c r="AR82" s="535">
        <f t="shared" si="11"/>
        <v>2000000</v>
      </c>
      <c r="AS82" s="540">
        <f t="shared" si="13"/>
        <v>0.8</v>
      </c>
      <c r="AT82" s="192"/>
      <c r="AU82" s="366">
        <v>74</v>
      </c>
      <c r="AV82" s="401">
        <v>42388</v>
      </c>
      <c r="AW82" s="366">
        <v>71</v>
      </c>
      <c r="AX82" s="534">
        <f>+AR82</f>
        <v>2000000</v>
      </c>
      <c r="AY82" s="535"/>
      <c r="AZ82" s="535"/>
      <c r="BA82" s="535"/>
      <c r="BB82" s="535"/>
      <c r="BC82" s="535">
        <v>2000000</v>
      </c>
      <c r="BD82" s="535"/>
      <c r="BE82" s="535"/>
      <c r="BF82" s="535"/>
      <c r="BG82" s="535"/>
      <c r="BH82" s="535"/>
      <c r="BI82" s="535"/>
      <c r="BJ82" s="535"/>
      <c r="BK82" s="535">
        <f t="shared" si="14"/>
        <v>2000000</v>
      </c>
      <c r="BL82" s="535">
        <f t="shared" si="15"/>
        <v>0</v>
      </c>
      <c r="BM82" s="543">
        <f t="shared" si="16"/>
        <v>1</v>
      </c>
      <c r="BN82" s="535"/>
    </row>
    <row r="83" spans="1:66" s="68" customFormat="1" x14ac:dyDescent="0.25">
      <c r="A83" s="491">
        <v>119</v>
      </c>
      <c r="B83" s="65" t="s">
        <v>139</v>
      </c>
      <c r="C83" s="491">
        <v>1161</v>
      </c>
      <c r="D83" s="65" t="s">
        <v>122</v>
      </c>
      <c r="E83" s="491">
        <v>2</v>
      </c>
      <c r="F83" s="585"/>
      <c r="G83" s="585"/>
      <c r="H83" s="585"/>
      <c r="I83" s="585"/>
      <c r="J83" s="585"/>
      <c r="K83" s="655"/>
      <c r="L83" s="192" t="s">
        <v>1620</v>
      </c>
      <c r="M83" s="192" t="s">
        <v>1134</v>
      </c>
      <c r="N83" s="192" t="s">
        <v>493</v>
      </c>
      <c r="O83" s="192" t="s">
        <v>1440</v>
      </c>
      <c r="P83" s="431" t="s">
        <v>1108</v>
      </c>
      <c r="Q83" s="428">
        <v>42366</v>
      </c>
      <c r="R83" s="428">
        <v>42366</v>
      </c>
      <c r="S83" s="192" t="s">
        <v>1446</v>
      </c>
      <c r="T83" s="192">
        <v>59</v>
      </c>
      <c r="U83" s="192" t="s">
        <v>1287</v>
      </c>
      <c r="V83" s="431" t="s">
        <v>582</v>
      </c>
      <c r="W83" s="192" t="s">
        <v>607</v>
      </c>
      <c r="X83" s="192">
        <v>250</v>
      </c>
      <c r="Y83" s="192" t="s">
        <v>884</v>
      </c>
      <c r="Z83" s="192"/>
      <c r="AA83" s="366">
        <v>694</v>
      </c>
      <c r="AB83" s="430">
        <v>42356</v>
      </c>
      <c r="AC83" s="366">
        <v>913</v>
      </c>
      <c r="AD83" s="391">
        <v>45254000</v>
      </c>
      <c r="AE83" s="535"/>
      <c r="AF83" s="535"/>
      <c r="AG83" s="535"/>
      <c r="AH83" s="535"/>
      <c r="AI83" s="535"/>
      <c r="AJ83" s="535"/>
      <c r="AK83" s="535"/>
      <c r="AL83" s="535"/>
      <c r="AM83" s="535"/>
      <c r="AN83" s="535"/>
      <c r="AO83" s="535"/>
      <c r="AP83" s="535"/>
      <c r="AQ83" s="535">
        <f t="shared" si="12"/>
        <v>0</v>
      </c>
      <c r="AR83" s="535">
        <f t="shared" si="11"/>
        <v>45254000</v>
      </c>
      <c r="AS83" s="540">
        <f t="shared" si="13"/>
        <v>0</v>
      </c>
      <c r="AT83" s="192"/>
      <c r="AU83" s="366">
        <v>209</v>
      </c>
      <c r="AV83" s="173"/>
      <c r="AW83" s="366">
        <v>246</v>
      </c>
      <c r="AX83" s="534">
        <v>42254000</v>
      </c>
      <c r="AY83" s="535"/>
      <c r="AZ83" s="535"/>
      <c r="BA83" s="535">
        <v>31591000</v>
      </c>
      <c r="BB83" s="535"/>
      <c r="BC83" s="535">
        <v>13663000</v>
      </c>
      <c r="BD83" s="535"/>
      <c r="BE83" s="535"/>
      <c r="BF83" s="535"/>
      <c r="BG83" s="535"/>
      <c r="BH83" s="535"/>
      <c r="BI83" s="535"/>
      <c r="BJ83" s="535"/>
      <c r="BK83" s="535">
        <f t="shared" si="14"/>
        <v>45254000</v>
      </c>
      <c r="BL83" s="535">
        <f t="shared" si="15"/>
        <v>-3000000</v>
      </c>
      <c r="BM83" s="543">
        <f t="shared" si="16"/>
        <v>1.0709991953424527</v>
      </c>
      <c r="BN83" s="535"/>
    </row>
    <row r="84" spans="1:66" s="68" customFormat="1" x14ac:dyDescent="0.25">
      <c r="A84" s="491">
        <v>119</v>
      </c>
      <c r="B84" s="65" t="s">
        <v>139</v>
      </c>
      <c r="C84" s="491">
        <v>1161</v>
      </c>
      <c r="D84" s="65" t="s">
        <v>122</v>
      </c>
      <c r="E84" s="491">
        <v>2</v>
      </c>
      <c r="F84" s="585"/>
      <c r="G84" s="585"/>
      <c r="H84" s="585"/>
      <c r="I84" s="585"/>
      <c r="J84" s="585"/>
      <c r="K84" s="655"/>
      <c r="L84" s="192" t="s">
        <v>1621</v>
      </c>
      <c r="M84" s="192" t="s">
        <v>1134</v>
      </c>
      <c r="N84" s="192" t="s">
        <v>493</v>
      </c>
      <c r="O84" s="192" t="s">
        <v>1440</v>
      </c>
      <c r="P84" s="431" t="s">
        <v>1026</v>
      </c>
      <c r="Q84" s="428">
        <v>42366</v>
      </c>
      <c r="R84" s="428">
        <v>42366</v>
      </c>
      <c r="S84" s="192" t="s">
        <v>1446</v>
      </c>
      <c r="T84" s="192">
        <v>70</v>
      </c>
      <c r="U84" s="192" t="s">
        <v>798</v>
      </c>
      <c r="V84" s="431" t="s">
        <v>594</v>
      </c>
      <c r="W84" s="278">
        <v>79781116</v>
      </c>
      <c r="X84" s="433" t="s">
        <v>90</v>
      </c>
      <c r="Y84" s="192" t="s">
        <v>884</v>
      </c>
      <c r="Z84" s="192"/>
      <c r="AA84" s="366">
        <v>695</v>
      </c>
      <c r="AB84" s="430">
        <v>42356</v>
      </c>
      <c r="AC84" s="366">
        <v>914</v>
      </c>
      <c r="AD84" s="391">
        <v>2000000</v>
      </c>
      <c r="AE84" s="535"/>
      <c r="AF84" s="535"/>
      <c r="AG84" s="535"/>
      <c r="AH84" s="535"/>
      <c r="AI84" s="535"/>
      <c r="AJ84" s="535"/>
      <c r="AK84" s="535"/>
      <c r="AL84" s="535"/>
      <c r="AM84" s="535"/>
      <c r="AN84" s="535"/>
      <c r="AO84" s="535"/>
      <c r="AP84" s="535"/>
      <c r="AQ84" s="535">
        <f t="shared" si="12"/>
        <v>0</v>
      </c>
      <c r="AR84" s="535">
        <f t="shared" si="11"/>
        <v>2000000</v>
      </c>
      <c r="AS84" s="540">
        <f t="shared" si="13"/>
        <v>0</v>
      </c>
      <c r="AT84" s="192"/>
      <c r="AU84" s="366">
        <v>210</v>
      </c>
      <c r="AV84" s="401">
        <v>42388</v>
      </c>
      <c r="AW84" s="366">
        <v>197</v>
      </c>
      <c r="AX84" s="534">
        <f>+AR84</f>
        <v>2000000</v>
      </c>
      <c r="AY84" s="535"/>
      <c r="AZ84" s="535"/>
      <c r="BA84" s="535"/>
      <c r="BB84" s="535"/>
      <c r="BC84" s="535">
        <v>2000000</v>
      </c>
      <c r="BD84" s="535"/>
      <c r="BE84" s="535"/>
      <c r="BF84" s="535"/>
      <c r="BG84" s="535"/>
      <c r="BH84" s="535"/>
      <c r="BI84" s="535"/>
      <c r="BJ84" s="535"/>
      <c r="BK84" s="535">
        <f t="shared" si="14"/>
        <v>2000000</v>
      </c>
      <c r="BL84" s="535">
        <f t="shared" si="15"/>
        <v>0</v>
      </c>
      <c r="BM84" s="543">
        <f t="shared" si="16"/>
        <v>1</v>
      </c>
      <c r="BN84" s="535"/>
    </row>
    <row r="85" spans="1:66" s="68" customFormat="1" x14ac:dyDescent="0.25">
      <c r="A85" s="491">
        <v>119</v>
      </c>
      <c r="B85" s="65" t="s">
        <v>139</v>
      </c>
      <c r="C85" s="491">
        <v>1161</v>
      </c>
      <c r="D85" s="65" t="s">
        <v>122</v>
      </c>
      <c r="E85" s="491">
        <v>2</v>
      </c>
      <c r="F85" s="585"/>
      <c r="G85" s="585"/>
      <c r="H85" s="585"/>
      <c r="I85" s="585"/>
      <c r="J85" s="585"/>
      <c r="K85" s="655"/>
      <c r="L85" s="192" t="s">
        <v>1622</v>
      </c>
      <c r="M85" s="192" t="s">
        <v>1134</v>
      </c>
      <c r="N85" s="192" t="s">
        <v>493</v>
      </c>
      <c r="O85" s="192" t="s">
        <v>1440</v>
      </c>
      <c r="P85" s="431" t="s">
        <v>1108</v>
      </c>
      <c r="Q85" s="428">
        <v>42368</v>
      </c>
      <c r="R85" s="428">
        <v>42368</v>
      </c>
      <c r="S85" s="192" t="s">
        <v>1446</v>
      </c>
      <c r="T85" s="192">
        <v>59</v>
      </c>
      <c r="U85" s="192" t="s">
        <v>1287</v>
      </c>
      <c r="V85" s="431" t="s">
        <v>582</v>
      </c>
      <c r="W85" s="192" t="s">
        <v>607</v>
      </c>
      <c r="X85" s="192">
        <v>250</v>
      </c>
      <c r="Y85" s="192" t="s">
        <v>884</v>
      </c>
      <c r="Z85" s="192"/>
      <c r="AA85" s="366">
        <v>710</v>
      </c>
      <c r="AB85" s="430">
        <v>42368</v>
      </c>
      <c r="AC85" s="366">
        <v>932</v>
      </c>
      <c r="AD85" s="391">
        <v>43117000</v>
      </c>
      <c r="AE85" s="535"/>
      <c r="AF85" s="535"/>
      <c r="AG85" s="535"/>
      <c r="AH85" s="535"/>
      <c r="AI85" s="535"/>
      <c r="AJ85" s="535"/>
      <c r="AK85" s="535"/>
      <c r="AL85" s="535"/>
      <c r="AM85" s="535"/>
      <c r="AN85" s="535"/>
      <c r="AO85" s="535"/>
      <c r="AP85" s="535"/>
      <c r="AQ85" s="535"/>
      <c r="AR85" s="535">
        <f t="shared" si="11"/>
        <v>43117000</v>
      </c>
      <c r="AS85" s="540"/>
      <c r="AT85" s="192"/>
      <c r="AU85" s="366">
        <v>227</v>
      </c>
      <c r="AV85" s="173"/>
      <c r="AW85" s="366">
        <v>245</v>
      </c>
      <c r="AX85" s="534">
        <v>43117000</v>
      </c>
      <c r="AY85" s="535"/>
      <c r="AZ85" s="535"/>
      <c r="BA85" s="535">
        <v>43117000</v>
      </c>
      <c r="BB85" s="535"/>
      <c r="BC85" s="535"/>
      <c r="BD85" s="535"/>
      <c r="BE85" s="535"/>
      <c r="BF85" s="535"/>
      <c r="BG85" s="535"/>
      <c r="BH85" s="535"/>
      <c r="BI85" s="535"/>
      <c r="BJ85" s="535"/>
      <c r="BK85" s="535">
        <f t="shared" si="14"/>
        <v>43117000</v>
      </c>
      <c r="BL85" s="535">
        <f t="shared" si="15"/>
        <v>0</v>
      </c>
      <c r="BM85" s="543">
        <f t="shared" si="16"/>
        <v>1</v>
      </c>
      <c r="BN85" s="535"/>
    </row>
    <row r="86" spans="1:66" s="68" customFormat="1" x14ac:dyDescent="0.25">
      <c r="A86" s="491">
        <v>119</v>
      </c>
      <c r="B86" s="65" t="s">
        <v>139</v>
      </c>
      <c r="C86" s="491">
        <v>1161</v>
      </c>
      <c r="D86" s="65" t="s">
        <v>122</v>
      </c>
      <c r="E86" s="491">
        <v>2</v>
      </c>
      <c r="F86" s="585"/>
      <c r="G86" s="585"/>
      <c r="H86" s="585"/>
      <c r="I86" s="585"/>
      <c r="J86" s="585"/>
      <c r="K86" s="655"/>
      <c r="L86" s="192" t="s">
        <v>1623</v>
      </c>
      <c r="M86" s="192" t="s">
        <v>1134</v>
      </c>
      <c r="N86" s="192" t="s">
        <v>493</v>
      </c>
      <c r="O86" s="192" t="s">
        <v>1440</v>
      </c>
      <c r="P86" s="431" t="s">
        <v>1026</v>
      </c>
      <c r="Q86" s="428">
        <v>42368</v>
      </c>
      <c r="R86" s="428">
        <v>42368</v>
      </c>
      <c r="S86" s="192" t="s">
        <v>1446</v>
      </c>
      <c r="T86" s="192">
        <v>70</v>
      </c>
      <c r="U86" s="192" t="s">
        <v>798</v>
      </c>
      <c r="V86" s="431" t="s">
        <v>594</v>
      </c>
      <c r="W86" s="278">
        <v>79781116</v>
      </c>
      <c r="X86" s="433" t="s">
        <v>90</v>
      </c>
      <c r="Y86" s="192" t="s">
        <v>884</v>
      </c>
      <c r="Z86" s="192"/>
      <c r="AA86" s="366">
        <v>711</v>
      </c>
      <c r="AB86" s="430">
        <v>42368</v>
      </c>
      <c r="AC86" s="366">
        <v>933</v>
      </c>
      <c r="AD86" s="391">
        <v>2000000</v>
      </c>
      <c r="AE86" s="535"/>
      <c r="AF86" s="535"/>
      <c r="AG86" s="535"/>
      <c r="AH86" s="535"/>
      <c r="AI86" s="535"/>
      <c r="AJ86" s="535"/>
      <c r="AK86" s="535"/>
      <c r="AL86" s="535"/>
      <c r="AM86" s="535"/>
      <c r="AN86" s="535"/>
      <c r="AO86" s="535"/>
      <c r="AP86" s="535"/>
      <c r="AQ86" s="535">
        <f t="shared" si="12"/>
        <v>0</v>
      </c>
      <c r="AR86" s="535">
        <f t="shared" ref="AR86:AR121" si="17">+AD86-AQ86</f>
        <v>2000000</v>
      </c>
      <c r="AS86" s="540">
        <f t="shared" si="13"/>
        <v>0</v>
      </c>
      <c r="AT86" s="192"/>
      <c r="AU86" s="366">
        <v>228</v>
      </c>
      <c r="AV86" s="401">
        <v>42388</v>
      </c>
      <c r="AW86" s="366">
        <v>213</v>
      </c>
      <c r="AX86" s="534">
        <f>+AR86</f>
        <v>2000000</v>
      </c>
      <c r="AY86" s="535"/>
      <c r="AZ86" s="535"/>
      <c r="BA86" s="535"/>
      <c r="BB86" s="535"/>
      <c r="BC86" s="535">
        <v>2000000</v>
      </c>
      <c r="BD86" s="535"/>
      <c r="BE86" s="535"/>
      <c r="BF86" s="535"/>
      <c r="BG86" s="535"/>
      <c r="BH86" s="535"/>
      <c r="BI86" s="535"/>
      <c r="BJ86" s="535"/>
      <c r="BK86" s="535">
        <f t="shared" si="14"/>
        <v>2000000</v>
      </c>
      <c r="BL86" s="535">
        <f t="shared" si="15"/>
        <v>0</v>
      </c>
      <c r="BM86" s="543">
        <f t="shared" si="16"/>
        <v>1</v>
      </c>
      <c r="BN86" s="535"/>
    </row>
    <row r="87" spans="1:66" s="68" customFormat="1" x14ac:dyDescent="0.25">
      <c r="A87" s="490">
        <v>120</v>
      </c>
      <c r="B87" s="63" t="s">
        <v>144</v>
      </c>
      <c r="C87" s="490">
        <v>1161</v>
      </c>
      <c r="D87" s="63" t="s">
        <v>122</v>
      </c>
      <c r="E87" s="490">
        <v>4</v>
      </c>
      <c r="F87" s="584" t="s">
        <v>45</v>
      </c>
      <c r="G87" s="584">
        <v>4</v>
      </c>
      <c r="H87" s="584" t="s">
        <v>146</v>
      </c>
      <c r="I87" s="584" t="s">
        <v>147</v>
      </c>
      <c r="J87" s="584"/>
      <c r="K87" s="654"/>
      <c r="L87" s="431" t="s">
        <v>1547</v>
      </c>
      <c r="M87" s="192" t="s">
        <v>1134</v>
      </c>
      <c r="N87" s="192" t="s">
        <v>493</v>
      </c>
      <c r="O87" s="192" t="s">
        <v>1565</v>
      </c>
      <c r="P87" s="431" t="s">
        <v>1549</v>
      </c>
      <c r="Q87" s="428">
        <v>42269</v>
      </c>
      <c r="R87" s="428">
        <v>42277</v>
      </c>
      <c r="S87" s="192" t="s">
        <v>512</v>
      </c>
      <c r="T87" s="431">
        <v>116</v>
      </c>
      <c r="U87" s="192" t="s">
        <v>1295</v>
      </c>
      <c r="V87" s="431" t="s">
        <v>1550</v>
      </c>
      <c r="W87" s="278">
        <v>8300035063</v>
      </c>
      <c r="X87" s="433" t="s">
        <v>1566</v>
      </c>
      <c r="Y87" s="192" t="s">
        <v>1662</v>
      </c>
      <c r="Z87" s="192"/>
      <c r="AA87" s="458">
        <v>623</v>
      </c>
      <c r="AB87" s="430">
        <v>42219</v>
      </c>
      <c r="AC87" s="459">
        <v>792</v>
      </c>
      <c r="AD87" s="534">
        <f>62871834-5445</f>
        <v>62866389</v>
      </c>
      <c r="AE87" s="535"/>
      <c r="AF87" s="535"/>
      <c r="AG87" s="535"/>
      <c r="AH87" s="535"/>
      <c r="AI87" s="535"/>
      <c r="AJ87" s="535"/>
      <c r="AK87" s="535"/>
      <c r="AL87" s="535"/>
      <c r="AM87" s="535"/>
      <c r="AN87" s="535"/>
      <c r="AO87" s="535"/>
      <c r="AP87" s="535">
        <v>62866389</v>
      </c>
      <c r="AQ87" s="535">
        <f t="shared" si="12"/>
        <v>62866389</v>
      </c>
      <c r="AR87" s="535">
        <f t="shared" si="17"/>
        <v>0</v>
      </c>
      <c r="AS87" s="540">
        <f t="shared" si="13"/>
        <v>1</v>
      </c>
      <c r="AT87" s="192"/>
      <c r="AU87" s="366"/>
      <c r="AV87" s="173"/>
      <c r="AW87" s="366"/>
      <c r="AX87" s="534"/>
      <c r="AY87" s="535"/>
      <c r="AZ87" s="535"/>
      <c r="BA87" s="535"/>
      <c r="BB87" s="535"/>
      <c r="BC87" s="535"/>
      <c r="BD87" s="535"/>
      <c r="BE87" s="535"/>
      <c r="BF87" s="535"/>
      <c r="BG87" s="535"/>
      <c r="BH87" s="535"/>
      <c r="BI87" s="535"/>
      <c r="BJ87" s="535"/>
      <c r="BK87" s="535">
        <f t="shared" si="14"/>
        <v>0</v>
      </c>
      <c r="BL87" s="535">
        <f t="shared" si="15"/>
        <v>0</v>
      </c>
      <c r="BM87" s="543" t="e">
        <f t="shared" si="16"/>
        <v>#DIV/0!</v>
      </c>
      <c r="BN87" s="535"/>
    </row>
    <row r="88" spans="1:66" s="68" customFormat="1" x14ac:dyDescent="0.25">
      <c r="A88" s="490">
        <v>120</v>
      </c>
      <c r="B88" s="63" t="s">
        <v>144</v>
      </c>
      <c r="C88" s="490">
        <v>1161</v>
      </c>
      <c r="D88" s="63" t="s">
        <v>122</v>
      </c>
      <c r="E88" s="490">
        <v>4</v>
      </c>
      <c r="F88" s="585"/>
      <c r="G88" s="585"/>
      <c r="H88" s="585"/>
      <c r="I88" s="585"/>
      <c r="J88" s="585"/>
      <c r="K88" s="655"/>
      <c r="L88" s="431"/>
      <c r="M88" s="192"/>
      <c r="N88" s="192"/>
      <c r="O88" s="192"/>
      <c r="P88" s="431"/>
      <c r="Q88" s="428"/>
      <c r="R88" s="428"/>
      <c r="S88" s="192"/>
      <c r="T88" s="431"/>
      <c r="U88" s="192"/>
      <c r="V88" s="431"/>
      <c r="W88" s="278"/>
      <c r="X88" s="433"/>
      <c r="Y88" s="192"/>
      <c r="Z88" s="192"/>
      <c r="AA88" s="458"/>
      <c r="AB88" s="430"/>
      <c r="AC88" s="459"/>
      <c r="AD88" s="534"/>
      <c r="AE88" s="535"/>
      <c r="AF88" s="535"/>
      <c r="AG88" s="535"/>
      <c r="AH88" s="535"/>
      <c r="AI88" s="535"/>
      <c r="AJ88" s="535"/>
      <c r="AK88" s="535"/>
      <c r="AL88" s="535"/>
      <c r="AM88" s="535"/>
      <c r="AN88" s="535"/>
      <c r="AO88" s="535"/>
      <c r="AP88" s="535"/>
      <c r="AQ88" s="535"/>
      <c r="AR88" s="535"/>
      <c r="AS88" s="540"/>
      <c r="AT88" s="192"/>
      <c r="AU88" s="366"/>
      <c r="AV88" s="173"/>
      <c r="AW88" s="366"/>
      <c r="AX88" s="534"/>
      <c r="AY88" s="535"/>
      <c r="AZ88" s="535"/>
      <c r="BA88" s="535"/>
      <c r="BB88" s="535"/>
      <c r="BC88" s="535"/>
      <c r="BD88" s="535"/>
      <c r="BE88" s="535"/>
      <c r="BF88" s="535"/>
      <c r="BG88" s="535"/>
      <c r="BH88" s="535"/>
      <c r="BI88" s="535"/>
      <c r="BJ88" s="535"/>
      <c r="BK88" s="535">
        <f t="shared" si="14"/>
        <v>0</v>
      </c>
      <c r="BL88" s="535">
        <f t="shared" si="15"/>
        <v>0</v>
      </c>
      <c r="BM88" s="543" t="e">
        <f t="shared" si="16"/>
        <v>#DIV/0!</v>
      </c>
      <c r="BN88" s="535"/>
    </row>
    <row r="89" spans="1:66" s="68" customFormat="1" x14ac:dyDescent="0.25">
      <c r="A89" s="490">
        <v>120</v>
      </c>
      <c r="B89" s="63" t="s">
        <v>144</v>
      </c>
      <c r="C89" s="490">
        <v>1161</v>
      </c>
      <c r="D89" s="63" t="s">
        <v>122</v>
      </c>
      <c r="E89" s="490">
        <v>4</v>
      </c>
      <c r="F89" s="590"/>
      <c r="G89" s="590"/>
      <c r="H89" s="590"/>
      <c r="I89" s="590"/>
      <c r="J89" s="590"/>
      <c r="K89" s="656"/>
      <c r="L89" s="431"/>
      <c r="M89" s="192"/>
      <c r="N89" s="192"/>
      <c r="O89" s="192"/>
      <c r="P89" s="431"/>
      <c r="Q89" s="428"/>
      <c r="R89" s="428"/>
      <c r="S89" s="192"/>
      <c r="T89" s="431"/>
      <c r="U89" s="192"/>
      <c r="V89" s="431"/>
      <c r="W89" s="278"/>
      <c r="X89" s="433"/>
      <c r="Y89" s="192"/>
      <c r="Z89" s="192"/>
      <c r="AA89" s="458"/>
      <c r="AB89" s="430"/>
      <c r="AC89" s="459"/>
      <c r="AD89" s="534"/>
      <c r="AE89" s="535"/>
      <c r="AF89" s="535"/>
      <c r="AG89" s="535"/>
      <c r="AH89" s="535"/>
      <c r="AI89" s="535"/>
      <c r="AJ89" s="535"/>
      <c r="AK89" s="535"/>
      <c r="AL89" s="535"/>
      <c r="AM89" s="535"/>
      <c r="AN89" s="535"/>
      <c r="AO89" s="535"/>
      <c r="AP89" s="535"/>
      <c r="AQ89" s="535"/>
      <c r="AR89" s="535"/>
      <c r="AS89" s="540"/>
      <c r="AT89" s="192"/>
      <c r="AU89" s="366"/>
      <c r="AV89" s="173"/>
      <c r="AW89" s="366"/>
      <c r="AX89" s="534"/>
      <c r="AY89" s="535"/>
      <c r="AZ89" s="535"/>
      <c r="BA89" s="535"/>
      <c r="BB89" s="535"/>
      <c r="BC89" s="535"/>
      <c r="BD89" s="535"/>
      <c r="BE89" s="535"/>
      <c r="BF89" s="535"/>
      <c r="BG89" s="535"/>
      <c r="BH89" s="535"/>
      <c r="BI89" s="535"/>
      <c r="BJ89" s="535"/>
      <c r="BK89" s="535">
        <f t="shared" si="14"/>
        <v>0</v>
      </c>
      <c r="BL89" s="535">
        <f t="shared" si="15"/>
        <v>0</v>
      </c>
      <c r="BM89" s="543" t="e">
        <f t="shared" si="16"/>
        <v>#DIV/0!</v>
      </c>
      <c r="BN89" s="535"/>
    </row>
    <row r="90" spans="1:66" s="25" customFormat="1" x14ac:dyDescent="0.25">
      <c r="A90" s="490">
        <v>121</v>
      </c>
      <c r="B90" s="63" t="s">
        <v>150</v>
      </c>
      <c r="C90" s="490">
        <v>1165</v>
      </c>
      <c r="D90" s="63" t="s">
        <v>152</v>
      </c>
      <c r="E90" s="490">
        <v>1</v>
      </c>
      <c r="F90" s="584" t="s">
        <v>153</v>
      </c>
      <c r="G90" s="584">
        <v>3</v>
      </c>
      <c r="H90" s="584" t="s">
        <v>154</v>
      </c>
      <c r="I90" s="584" t="s">
        <v>155</v>
      </c>
      <c r="J90" s="584"/>
      <c r="K90" s="654"/>
      <c r="L90" s="192" t="s">
        <v>1439</v>
      </c>
      <c r="M90" s="192" t="s">
        <v>1128</v>
      </c>
      <c r="N90" s="192" t="s">
        <v>156</v>
      </c>
      <c r="O90" s="191" t="s">
        <v>793</v>
      </c>
      <c r="P90" s="192" t="s">
        <v>1108</v>
      </c>
      <c r="Q90" s="428">
        <v>42178</v>
      </c>
      <c r="R90" s="428">
        <v>42192</v>
      </c>
      <c r="S90" s="191" t="s">
        <v>845</v>
      </c>
      <c r="T90" s="192">
        <v>68</v>
      </c>
      <c r="U90" s="191" t="s">
        <v>1395</v>
      </c>
      <c r="V90" s="192" t="s">
        <v>461</v>
      </c>
      <c r="W90" s="192">
        <v>900337047</v>
      </c>
      <c r="X90" s="433" t="s">
        <v>1438</v>
      </c>
      <c r="Y90" s="192" t="s">
        <v>884</v>
      </c>
      <c r="Z90" s="192"/>
      <c r="AA90" s="366">
        <v>495</v>
      </c>
      <c r="AB90" s="430">
        <v>42138</v>
      </c>
      <c r="AC90" s="366">
        <v>603</v>
      </c>
      <c r="AD90" s="391">
        <v>250000000</v>
      </c>
      <c r="AE90" s="535"/>
      <c r="AF90" s="535"/>
      <c r="AG90" s="535"/>
      <c r="AH90" s="535"/>
      <c r="AI90" s="535"/>
      <c r="AJ90" s="535"/>
      <c r="AK90" s="535"/>
      <c r="AL90" s="535"/>
      <c r="AM90" s="535">
        <v>6300000</v>
      </c>
      <c r="AN90" s="535">
        <v>40262335</v>
      </c>
      <c r="AO90" s="535">
        <v>24140000</v>
      </c>
      <c r="AP90" s="535">
        <f>21900000+20100000</f>
        <v>42000000</v>
      </c>
      <c r="AQ90" s="535">
        <f t="shared" si="12"/>
        <v>112702335</v>
      </c>
      <c r="AR90" s="535">
        <f t="shared" si="17"/>
        <v>137297665</v>
      </c>
      <c r="AS90" s="540">
        <f t="shared" si="13"/>
        <v>0.45080934</v>
      </c>
      <c r="AT90" s="192"/>
      <c r="AU90" s="366">
        <v>73</v>
      </c>
      <c r="AV90" s="173"/>
      <c r="AW90" s="366">
        <v>251</v>
      </c>
      <c r="AX90" s="534">
        <v>137297665</v>
      </c>
      <c r="AY90" s="535"/>
      <c r="AZ90" s="535"/>
      <c r="BA90" s="535">
        <f>39398000+20100000+21300000</f>
        <v>80798000</v>
      </c>
      <c r="BB90" s="535"/>
      <c r="BC90" s="535"/>
      <c r="BD90" s="535">
        <v>20100000</v>
      </c>
      <c r="BE90" s="535"/>
      <c r="BF90" s="535"/>
      <c r="BG90" s="535"/>
      <c r="BH90" s="535"/>
      <c r="BI90" s="535">
        <v>32700000</v>
      </c>
      <c r="BJ90" s="535"/>
      <c r="BK90" s="535">
        <f t="shared" si="14"/>
        <v>133598000</v>
      </c>
      <c r="BL90" s="535">
        <f t="shared" si="15"/>
        <v>3699665</v>
      </c>
      <c r="BM90" s="543">
        <f t="shared" si="16"/>
        <v>0.97305369322923296</v>
      </c>
      <c r="BN90" s="535"/>
    </row>
    <row r="91" spans="1:66" s="25" customFormat="1" x14ac:dyDescent="0.25">
      <c r="A91" s="490">
        <v>121</v>
      </c>
      <c r="B91" s="63" t="s">
        <v>150</v>
      </c>
      <c r="C91" s="490">
        <v>1165</v>
      </c>
      <c r="D91" s="63" t="s">
        <v>152</v>
      </c>
      <c r="E91" s="490">
        <v>1</v>
      </c>
      <c r="F91" s="585"/>
      <c r="G91" s="585"/>
      <c r="H91" s="585"/>
      <c r="I91" s="585"/>
      <c r="J91" s="585"/>
      <c r="K91" s="655"/>
      <c r="L91" s="192" t="s">
        <v>1437</v>
      </c>
      <c r="M91" s="192" t="s">
        <v>1128</v>
      </c>
      <c r="N91" s="192" t="s">
        <v>156</v>
      </c>
      <c r="O91" s="191" t="s">
        <v>793</v>
      </c>
      <c r="P91" s="192" t="s">
        <v>1026</v>
      </c>
      <c r="Q91" s="428">
        <v>42179</v>
      </c>
      <c r="R91" s="428">
        <v>42192</v>
      </c>
      <c r="S91" s="191" t="s">
        <v>845</v>
      </c>
      <c r="T91" s="192">
        <v>76</v>
      </c>
      <c r="U91" s="191" t="s">
        <v>798</v>
      </c>
      <c r="V91" s="192" t="s">
        <v>1436</v>
      </c>
      <c r="W91" s="192">
        <v>80882644</v>
      </c>
      <c r="X91" s="433" t="s">
        <v>90</v>
      </c>
      <c r="Y91" s="192" t="s">
        <v>884</v>
      </c>
      <c r="Z91" s="192"/>
      <c r="AA91" s="366">
        <v>494</v>
      </c>
      <c r="AB91" s="430">
        <v>42138</v>
      </c>
      <c r="AC91" s="366">
        <v>626</v>
      </c>
      <c r="AD91" s="391">
        <v>12500000</v>
      </c>
      <c r="AE91" s="535"/>
      <c r="AF91" s="535"/>
      <c r="AG91" s="536">
        <v>4166667</v>
      </c>
      <c r="AH91" s="535"/>
      <c r="AI91" s="535"/>
      <c r="AJ91" s="535"/>
      <c r="AK91" s="535"/>
      <c r="AL91" s="535"/>
      <c r="AM91" s="535">
        <v>1388889</v>
      </c>
      <c r="AN91" s="535">
        <v>1388889</v>
      </c>
      <c r="AO91" s="535">
        <v>1388889</v>
      </c>
      <c r="AP91" s="535">
        <f>1388889+1388889</f>
        <v>2777778</v>
      </c>
      <c r="AQ91" s="535">
        <f t="shared" ref="AQ91:AQ128" si="18">SUM(AE91:AP91)</f>
        <v>11111112</v>
      </c>
      <c r="AR91" s="535">
        <f t="shared" si="17"/>
        <v>1388888</v>
      </c>
      <c r="AS91" s="540">
        <f t="shared" si="13"/>
        <v>0.88888895999999995</v>
      </c>
      <c r="AT91" s="192"/>
      <c r="AU91" s="366">
        <v>86</v>
      </c>
      <c r="AV91" s="401">
        <v>42388</v>
      </c>
      <c r="AW91" s="366">
        <v>82</v>
      </c>
      <c r="AX91" s="534">
        <f>+AR91</f>
        <v>1388888</v>
      </c>
      <c r="AY91" s="535"/>
      <c r="AZ91" s="535"/>
      <c r="BA91" s="535">
        <f>1388889+1388889+1388889</f>
        <v>4166667</v>
      </c>
      <c r="BB91" s="535"/>
      <c r="BC91" s="535"/>
      <c r="BD91" s="535">
        <v>1388888</v>
      </c>
      <c r="BE91" s="535"/>
      <c r="BF91" s="535"/>
      <c r="BG91" s="535"/>
      <c r="BH91" s="535"/>
      <c r="BI91" s="535"/>
      <c r="BJ91" s="535"/>
      <c r="BK91" s="535">
        <f t="shared" si="14"/>
        <v>5555555</v>
      </c>
      <c r="BL91" s="535">
        <f t="shared" si="15"/>
        <v>-4166667</v>
      </c>
      <c r="BM91" s="543">
        <f t="shared" si="16"/>
        <v>4.0000021600013822</v>
      </c>
      <c r="BN91" s="535"/>
    </row>
    <row r="92" spans="1:66" s="25" customFormat="1" x14ac:dyDescent="0.25">
      <c r="A92" s="490">
        <v>121</v>
      </c>
      <c r="B92" s="63" t="s">
        <v>150</v>
      </c>
      <c r="C92" s="490">
        <v>1165</v>
      </c>
      <c r="D92" s="63" t="s">
        <v>152</v>
      </c>
      <c r="E92" s="490">
        <v>1</v>
      </c>
      <c r="F92" s="590"/>
      <c r="G92" s="590"/>
      <c r="H92" s="590"/>
      <c r="I92" s="590"/>
      <c r="J92" s="590"/>
      <c r="K92" s="656"/>
      <c r="L92" s="192"/>
      <c r="M92" s="192"/>
      <c r="N92" s="192"/>
      <c r="O92" s="191"/>
      <c r="P92" s="192"/>
      <c r="Q92" s="428"/>
      <c r="R92" s="428"/>
      <c r="S92" s="191"/>
      <c r="T92" s="192"/>
      <c r="U92" s="191"/>
      <c r="V92" s="192"/>
      <c r="W92" s="192"/>
      <c r="X92" s="433"/>
      <c r="Y92" s="192"/>
      <c r="Z92" s="192"/>
      <c r="AA92" s="366"/>
      <c r="AB92" s="430"/>
      <c r="AC92" s="366"/>
      <c r="AD92" s="391"/>
      <c r="AE92" s="535"/>
      <c r="AF92" s="535"/>
      <c r="AG92" s="535"/>
      <c r="AH92" s="535"/>
      <c r="AI92" s="535"/>
      <c r="AJ92" s="535"/>
      <c r="AK92" s="535"/>
      <c r="AL92" s="535"/>
      <c r="AM92" s="535"/>
      <c r="AN92" s="535"/>
      <c r="AO92" s="535"/>
      <c r="AP92" s="535"/>
      <c r="AQ92" s="535"/>
      <c r="AR92" s="535"/>
      <c r="AS92" s="540"/>
      <c r="AT92" s="192"/>
      <c r="AU92" s="366"/>
      <c r="AV92" s="401"/>
      <c r="AW92" s="366"/>
      <c r="AX92" s="534"/>
      <c r="AY92" s="535"/>
      <c r="AZ92" s="535"/>
      <c r="BA92" s="535"/>
      <c r="BB92" s="535"/>
      <c r="BC92" s="535"/>
      <c r="BD92" s="535"/>
      <c r="BE92" s="535"/>
      <c r="BF92" s="535"/>
      <c r="BG92" s="535"/>
      <c r="BH92" s="535"/>
      <c r="BI92" s="535"/>
      <c r="BJ92" s="535"/>
      <c r="BK92" s="535">
        <f t="shared" si="14"/>
        <v>0</v>
      </c>
      <c r="BL92" s="535">
        <f t="shared" si="15"/>
        <v>0</v>
      </c>
      <c r="BM92" s="543" t="e">
        <f t="shared" si="16"/>
        <v>#DIV/0!</v>
      </c>
      <c r="BN92" s="535"/>
    </row>
    <row r="93" spans="1:66" s="25" customFormat="1" x14ac:dyDescent="0.25">
      <c r="A93" s="490">
        <v>122</v>
      </c>
      <c r="B93" s="63" t="s">
        <v>158</v>
      </c>
      <c r="C93" s="490">
        <v>1165</v>
      </c>
      <c r="D93" s="63" t="s">
        <v>152</v>
      </c>
      <c r="E93" s="490">
        <v>2</v>
      </c>
      <c r="F93" s="584" t="s">
        <v>153</v>
      </c>
      <c r="G93" s="584">
        <v>25</v>
      </c>
      <c r="H93" s="584" t="s">
        <v>159</v>
      </c>
      <c r="I93" s="584" t="s">
        <v>160</v>
      </c>
      <c r="J93" s="584"/>
      <c r="K93" s="654"/>
      <c r="L93" s="192" t="s">
        <v>1552</v>
      </c>
      <c r="M93" s="192" t="s">
        <v>1128</v>
      </c>
      <c r="N93" s="192" t="s">
        <v>156</v>
      </c>
      <c r="O93" s="191" t="s">
        <v>801</v>
      </c>
      <c r="P93" s="192" t="s">
        <v>1574</v>
      </c>
      <c r="Q93" s="428">
        <v>42271</v>
      </c>
      <c r="R93" s="428">
        <v>42461</v>
      </c>
      <c r="S93" s="191" t="s">
        <v>807</v>
      </c>
      <c r="T93" s="192">
        <v>117</v>
      </c>
      <c r="U93" s="191" t="s">
        <v>1287</v>
      </c>
      <c r="V93" s="192" t="s">
        <v>689</v>
      </c>
      <c r="W93" s="192">
        <v>9001758628</v>
      </c>
      <c r="X93" s="433" t="s">
        <v>1575</v>
      </c>
      <c r="Y93" s="192" t="s">
        <v>884</v>
      </c>
      <c r="Z93" s="192"/>
      <c r="AA93" s="366">
        <v>635</v>
      </c>
      <c r="AB93" s="430">
        <v>42247</v>
      </c>
      <c r="AC93" s="366">
        <v>791</v>
      </c>
      <c r="AD93" s="391">
        <v>138151767</v>
      </c>
      <c r="AE93" s="535"/>
      <c r="AF93" s="535"/>
      <c r="AG93" s="535"/>
      <c r="AH93" s="535"/>
      <c r="AI93" s="535"/>
      <c r="AJ93" s="535"/>
      <c r="AK93" s="535"/>
      <c r="AL93" s="535"/>
      <c r="AM93" s="535"/>
      <c r="AN93" s="391"/>
      <c r="AO93" s="535"/>
      <c r="AP93" s="535"/>
      <c r="AQ93" s="535">
        <f t="shared" si="18"/>
        <v>0</v>
      </c>
      <c r="AR93" s="535">
        <f t="shared" si="17"/>
        <v>138151767</v>
      </c>
      <c r="AS93" s="540">
        <f t="shared" ref="AS93:AS101" si="19">+AQ93/AD93</f>
        <v>0</v>
      </c>
      <c r="AT93" s="192"/>
      <c r="AU93" s="366">
        <v>167</v>
      </c>
      <c r="AV93" s="401">
        <v>42388</v>
      </c>
      <c r="AW93" s="366">
        <v>160</v>
      </c>
      <c r="AX93" s="534">
        <f>+AR93</f>
        <v>138151767</v>
      </c>
      <c r="AY93" s="535"/>
      <c r="AZ93" s="535"/>
      <c r="BA93" s="535"/>
      <c r="BB93" s="535"/>
      <c r="BC93" s="535"/>
      <c r="BD93" s="535"/>
      <c r="BE93" s="535"/>
      <c r="BF93" s="535">
        <v>8000000</v>
      </c>
      <c r="BG93" s="535">
        <v>22765000</v>
      </c>
      <c r="BH93" s="535">
        <v>77604267</v>
      </c>
      <c r="BI93" s="535"/>
      <c r="BJ93" s="535">
        <v>29265000</v>
      </c>
      <c r="BK93" s="535">
        <f t="shared" si="14"/>
        <v>137634267</v>
      </c>
      <c r="BL93" s="535">
        <f t="shared" si="15"/>
        <v>517500</v>
      </c>
      <c r="BM93" s="543">
        <f t="shared" si="16"/>
        <v>0.99625411957271603</v>
      </c>
      <c r="BN93" s="535"/>
    </row>
    <row r="94" spans="1:66" s="25" customFormat="1" x14ac:dyDescent="0.25">
      <c r="A94" s="490">
        <v>122</v>
      </c>
      <c r="B94" s="63" t="s">
        <v>158</v>
      </c>
      <c r="C94" s="490">
        <v>1165</v>
      </c>
      <c r="D94" s="63" t="s">
        <v>152</v>
      </c>
      <c r="E94" s="490">
        <v>2</v>
      </c>
      <c r="F94" s="585"/>
      <c r="G94" s="585"/>
      <c r="H94" s="585"/>
      <c r="I94" s="585"/>
      <c r="J94" s="585"/>
      <c r="K94" s="655"/>
      <c r="L94" s="192" t="s">
        <v>1626</v>
      </c>
      <c r="M94" s="192" t="s">
        <v>1128</v>
      </c>
      <c r="N94" s="192" t="s">
        <v>156</v>
      </c>
      <c r="O94" s="192" t="s">
        <v>1314</v>
      </c>
      <c r="P94" s="192" t="s">
        <v>1026</v>
      </c>
      <c r="Q94" s="428">
        <v>42366</v>
      </c>
      <c r="R94" s="428">
        <v>42461</v>
      </c>
      <c r="S94" s="191" t="s">
        <v>807</v>
      </c>
      <c r="T94" s="192">
        <v>147</v>
      </c>
      <c r="U94" s="192" t="s">
        <v>798</v>
      </c>
      <c r="V94" s="191" t="s">
        <v>372</v>
      </c>
      <c r="W94" s="192">
        <v>17904681</v>
      </c>
      <c r="X94" s="433" t="s">
        <v>90</v>
      </c>
      <c r="Y94" s="192" t="s">
        <v>884</v>
      </c>
      <c r="Z94" s="192"/>
      <c r="AA94" s="366">
        <v>670</v>
      </c>
      <c r="AB94" s="430">
        <v>42317</v>
      </c>
      <c r="AC94" s="366">
        <v>912</v>
      </c>
      <c r="AD94" s="391">
        <f>10200000-24</f>
        <v>10199976</v>
      </c>
      <c r="AE94" s="535"/>
      <c r="AF94" s="535"/>
      <c r="AG94" s="535"/>
      <c r="AH94" s="535"/>
      <c r="AI94" s="535"/>
      <c r="AJ94" s="535"/>
      <c r="AK94" s="535"/>
      <c r="AL94" s="535"/>
      <c r="AM94" s="535"/>
      <c r="AN94" s="391"/>
      <c r="AO94" s="535"/>
      <c r="AP94" s="535"/>
      <c r="AQ94" s="535">
        <f t="shared" si="18"/>
        <v>0</v>
      </c>
      <c r="AR94" s="535">
        <f t="shared" si="17"/>
        <v>10199976</v>
      </c>
      <c r="AS94" s="540">
        <f t="shared" si="19"/>
        <v>0</v>
      </c>
      <c r="AT94" s="192"/>
      <c r="AU94" s="366">
        <v>208</v>
      </c>
      <c r="AV94" s="401">
        <v>42388</v>
      </c>
      <c r="AW94" s="366">
        <v>196</v>
      </c>
      <c r="AX94" s="534">
        <v>10200000</v>
      </c>
      <c r="AY94" s="535"/>
      <c r="AZ94" s="535"/>
      <c r="BA94" s="535"/>
      <c r="BB94" s="535"/>
      <c r="BC94" s="535"/>
      <c r="BD94" s="535"/>
      <c r="BE94" s="535"/>
      <c r="BF94" s="535"/>
      <c r="BG94" s="535">
        <v>3400000</v>
      </c>
      <c r="BH94" s="535"/>
      <c r="BI94" s="535"/>
      <c r="BJ94" s="535">
        <v>5100000</v>
      </c>
      <c r="BK94" s="535">
        <f t="shared" si="14"/>
        <v>8500000</v>
      </c>
      <c r="BL94" s="535">
        <f t="shared" si="15"/>
        <v>1700000</v>
      </c>
      <c r="BM94" s="543">
        <f t="shared" si="16"/>
        <v>0.83333333333333337</v>
      </c>
      <c r="BN94" s="535"/>
    </row>
    <row r="95" spans="1:66" s="25" customFormat="1" x14ac:dyDescent="0.25">
      <c r="A95" s="490">
        <v>122</v>
      </c>
      <c r="B95" s="63" t="s">
        <v>158</v>
      </c>
      <c r="C95" s="490">
        <v>1165</v>
      </c>
      <c r="D95" s="63" t="s">
        <v>152</v>
      </c>
      <c r="E95" s="490">
        <v>2</v>
      </c>
      <c r="F95" s="590"/>
      <c r="G95" s="590"/>
      <c r="H95" s="590"/>
      <c r="I95" s="590"/>
      <c r="J95" s="590"/>
      <c r="K95" s="656"/>
      <c r="L95" s="192"/>
      <c r="M95" s="192"/>
      <c r="N95" s="192"/>
      <c r="O95" s="192"/>
      <c r="P95" s="192"/>
      <c r="Q95" s="428"/>
      <c r="R95" s="428"/>
      <c r="S95" s="191"/>
      <c r="T95" s="192"/>
      <c r="U95" s="192"/>
      <c r="V95" s="191"/>
      <c r="W95" s="192"/>
      <c r="X95" s="433"/>
      <c r="Y95" s="192"/>
      <c r="Z95" s="192"/>
      <c r="AA95" s="366"/>
      <c r="AB95" s="430"/>
      <c r="AC95" s="366"/>
      <c r="AD95" s="391"/>
      <c r="AE95" s="535"/>
      <c r="AF95" s="535"/>
      <c r="AG95" s="535"/>
      <c r="AH95" s="535"/>
      <c r="AI95" s="535"/>
      <c r="AJ95" s="535"/>
      <c r="AK95" s="535"/>
      <c r="AL95" s="535"/>
      <c r="AM95" s="535"/>
      <c r="AN95" s="391"/>
      <c r="AO95" s="535"/>
      <c r="AP95" s="535"/>
      <c r="AQ95" s="535"/>
      <c r="AR95" s="535"/>
      <c r="AS95" s="540"/>
      <c r="AT95" s="192"/>
      <c r="AU95" s="366"/>
      <c r="AV95" s="401"/>
      <c r="AW95" s="366"/>
      <c r="AX95" s="534"/>
      <c r="AY95" s="535"/>
      <c r="AZ95" s="535"/>
      <c r="BA95" s="535"/>
      <c r="BB95" s="535"/>
      <c r="BC95" s="535"/>
      <c r="BD95" s="535"/>
      <c r="BE95" s="535"/>
      <c r="BF95" s="535"/>
      <c r="BG95" s="535"/>
      <c r="BH95" s="535"/>
      <c r="BI95" s="535"/>
      <c r="BJ95" s="535"/>
      <c r="BK95" s="535">
        <f t="shared" si="14"/>
        <v>0</v>
      </c>
      <c r="BL95" s="535">
        <f t="shared" si="15"/>
        <v>0</v>
      </c>
      <c r="BM95" s="543" t="e">
        <f t="shared" si="16"/>
        <v>#DIV/0!</v>
      </c>
      <c r="BN95" s="535"/>
    </row>
    <row r="96" spans="1:66" s="25" customFormat="1" x14ac:dyDescent="0.25">
      <c r="A96" s="490">
        <v>123</v>
      </c>
      <c r="B96" s="63" t="s">
        <v>161</v>
      </c>
      <c r="C96" s="490">
        <v>1165</v>
      </c>
      <c r="D96" s="63" t="s">
        <v>152</v>
      </c>
      <c r="E96" s="490">
        <v>3</v>
      </c>
      <c r="F96" s="584" t="s">
        <v>153</v>
      </c>
      <c r="G96" s="584">
        <v>10</v>
      </c>
      <c r="H96" s="584" t="s">
        <v>162</v>
      </c>
      <c r="I96" s="584" t="s">
        <v>163</v>
      </c>
      <c r="J96" s="584"/>
      <c r="K96" s="654"/>
      <c r="L96" s="192" t="s">
        <v>1355</v>
      </c>
      <c r="M96" s="192" t="s">
        <v>1128</v>
      </c>
      <c r="N96" s="192" t="s">
        <v>156</v>
      </c>
      <c r="O96" s="191" t="s">
        <v>793</v>
      </c>
      <c r="P96" s="192" t="s">
        <v>1108</v>
      </c>
      <c r="Q96" s="428">
        <v>42076</v>
      </c>
      <c r="R96" s="428">
        <v>42160</v>
      </c>
      <c r="S96" s="191" t="s">
        <v>1434</v>
      </c>
      <c r="T96" s="192">
        <v>34</v>
      </c>
      <c r="U96" s="191" t="s">
        <v>1395</v>
      </c>
      <c r="V96" s="192" t="s">
        <v>444</v>
      </c>
      <c r="W96" s="191">
        <v>900116219</v>
      </c>
      <c r="X96" s="433" t="s">
        <v>1675</v>
      </c>
      <c r="Y96" s="191" t="s">
        <v>1674</v>
      </c>
      <c r="Z96" s="192"/>
      <c r="AA96" s="366">
        <v>429</v>
      </c>
      <c r="AB96" s="430">
        <v>42066</v>
      </c>
      <c r="AC96" s="366">
        <v>459</v>
      </c>
      <c r="AD96" s="391">
        <v>200000000</v>
      </c>
      <c r="AE96" s="535"/>
      <c r="AF96" s="535"/>
      <c r="AG96" s="535"/>
      <c r="AH96" s="535"/>
      <c r="AI96" s="535"/>
      <c r="AJ96" s="535"/>
      <c r="AK96" s="535"/>
      <c r="AL96" s="535"/>
      <c r="AM96" s="535"/>
      <c r="AN96" s="535">
        <v>13482500</v>
      </c>
      <c r="AO96" s="535">
        <v>117312420</v>
      </c>
      <c r="AP96" s="535">
        <v>69205056</v>
      </c>
      <c r="AQ96" s="535">
        <f t="shared" si="18"/>
        <v>199999976</v>
      </c>
      <c r="AR96" s="535">
        <f t="shared" si="17"/>
        <v>24</v>
      </c>
      <c r="AS96" s="540">
        <f t="shared" si="19"/>
        <v>0.99999987999999995</v>
      </c>
      <c r="AT96" s="192"/>
      <c r="AU96" s="366"/>
      <c r="AV96" s="173"/>
      <c r="AW96" s="366"/>
      <c r="AX96" s="534"/>
      <c r="AY96" s="535"/>
      <c r="AZ96" s="535"/>
      <c r="BA96" s="535"/>
      <c r="BB96" s="535"/>
      <c r="BC96" s="535"/>
      <c r="BD96" s="535"/>
      <c r="BE96" s="535"/>
      <c r="BF96" s="535"/>
      <c r="BG96" s="535"/>
      <c r="BH96" s="535"/>
      <c r="BI96" s="535"/>
      <c r="BJ96" s="535"/>
      <c r="BK96" s="535">
        <f t="shared" si="14"/>
        <v>0</v>
      </c>
      <c r="BL96" s="535">
        <f t="shared" si="15"/>
        <v>0</v>
      </c>
      <c r="BM96" s="543" t="e">
        <f t="shared" si="16"/>
        <v>#DIV/0!</v>
      </c>
      <c r="BN96" s="535"/>
    </row>
    <row r="97" spans="1:66" s="25" customFormat="1" x14ac:dyDescent="0.25">
      <c r="A97" s="490">
        <v>123</v>
      </c>
      <c r="B97" s="63" t="s">
        <v>161</v>
      </c>
      <c r="C97" s="490">
        <v>1165</v>
      </c>
      <c r="D97" s="63" t="s">
        <v>152</v>
      </c>
      <c r="E97" s="490">
        <v>3</v>
      </c>
      <c r="F97" s="585"/>
      <c r="G97" s="585"/>
      <c r="H97" s="585"/>
      <c r="I97" s="585"/>
      <c r="J97" s="585"/>
      <c r="K97" s="655"/>
      <c r="L97" s="192" t="s">
        <v>1435</v>
      </c>
      <c r="M97" s="192" t="s">
        <v>1128</v>
      </c>
      <c r="N97" s="192" t="s">
        <v>156</v>
      </c>
      <c r="O97" s="191" t="s">
        <v>793</v>
      </c>
      <c r="P97" s="192" t="s">
        <v>1026</v>
      </c>
      <c r="Q97" s="428">
        <v>42132</v>
      </c>
      <c r="R97" s="428">
        <v>42160</v>
      </c>
      <c r="S97" s="191" t="s">
        <v>1434</v>
      </c>
      <c r="T97" s="192">
        <v>50</v>
      </c>
      <c r="U97" s="191" t="s">
        <v>798</v>
      </c>
      <c r="V97" s="192" t="s">
        <v>1433</v>
      </c>
      <c r="W97" s="192">
        <v>36302955</v>
      </c>
      <c r="X97" s="433" t="s">
        <v>90</v>
      </c>
      <c r="Y97" s="191" t="s">
        <v>483</v>
      </c>
      <c r="Z97" s="192"/>
      <c r="AA97" s="366">
        <v>462</v>
      </c>
      <c r="AB97" s="430">
        <v>42116</v>
      </c>
      <c r="AC97" s="366">
        <v>541</v>
      </c>
      <c r="AD97" s="391">
        <v>8000000</v>
      </c>
      <c r="AE97" s="535"/>
      <c r="AF97" s="535"/>
      <c r="AG97" s="536">
        <v>8000000</v>
      </c>
      <c r="AH97" s="535"/>
      <c r="AI97" s="535"/>
      <c r="AJ97" s="535"/>
      <c r="AK97" s="535"/>
      <c r="AL97" s="535"/>
      <c r="AM97" s="535"/>
      <c r="AN97" s="391"/>
      <c r="AO97" s="535"/>
      <c r="AP97" s="535"/>
      <c r="AQ97" s="535">
        <f t="shared" si="18"/>
        <v>8000000</v>
      </c>
      <c r="AR97" s="535">
        <f t="shared" si="17"/>
        <v>0</v>
      </c>
      <c r="AS97" s="540">
        <f t="shared" si="19"/>
        <v>1</v>
      </c>
      <c r="AT97" s="192"/>
      <c r="AU97" s="366">
        <v>57</v>
      </c>
      <c r="AV97" s="401">
        <v>42388</v>
      </c>
      <c r="AW97" s="366">
        <v>59</v>
      </c>
      <c r="AX97" s="534">
        <f>+AR97</f>
        <v>0</v>
      </c>
      <c r="AY97" s="535"/>
      <c r="AZ97" s="535"/>
      <c r="BA97" s="535">
        <f>3133333+4866667</f>
        <v>8000000</v>
      </c>
      <c r="BB97" s="535"/>
      <c r="BC97" s="535"/>
      <c r="BD97" s="535"/>
      <c r="BE97" s="535"/>
      <c r="BF97" s="535"/>
      <c r="BG97" s="535"/>
      <c r="BH97" s="535"/>
      <c r="BI97" s="535"/>
      <c r="BJ97" s="535"/>
      <c r="BK97" s="535">
        <f t="shared" si="14"/>
        <v>8000000</v>
      </c>
      <c r="BL97" s="535">
        <f t="shared" si="15"/>
        <v>-8000000</v>
      </c>
      <c r="BM97" s="543" t="e">
        <f t="shared" si="16"/>
        <v>#DIV/0!</v>
      </c>
      <c r="BN97" s="535"/>
    </row>
    <row r="98" spans="1:66" s="25" customFormat="1" x14ac:dyDescent="0.25">
      <c r="A98" s="490">
        <v>123</v>
      </c>
      <c r="B98" s="63" t="s">
        <v>161</v>
      </c>
      <c r="C98" s="490">
        <v>1165</v>
      </c>
      <c r="D98" s="63" t="s">
        <v>152</v>
      </c>
      <c r="E98" s="490">
        <v>3</v>
      </c>
      <c r="F98" s="590"/>
      <c r="G98" s="590"/>
      <c r="H98" s="590"/>
      <c r="I98" s="590"/>
      <c r="J98" s="590"/>
      <c r="K98" s="656"/>
      <c r="L98" s="192"/>
      <c r="M98" s="192"/>
      <c r="N98" s="192"/>
      <c r="O98" s="191"/>
      <c r="P98" s="192"/>
      <c r="Q98" s="428"/>
      <c r="R98" s="428"/>
      <c r="S98" s="191"/>
      <c r="T98" s="192"/>
      <c r="U98" s="191"/>
      <c r="V98" s="192"/>
      <c r="W98" s="192"/>
      <c r="X98" s="433"/>
      <c r="Y98" s="191"/>
      <c r="Z98" s="192"/>
      <c r="AA98" s="366"/>
      <c r="AB98" s="430"/>
      <c r="AC98" s="366"/>
      <c r="AD98" s="391"/>
      <c r="AE98" s="535"/>
      <c r="AF98" s="535"/>
      <c r="AG98" s="535"/>
      <c r="AH98" s="535"/>
      <c r="AI98" s="535"/>
      <c r="AJ98" s="535"/>
      <c r="AK98" s="535"/>
      <c r="AL98" s="535"/>
      <c r="AM98" s="535"/>
      <c r="AN98" s="391"/>
      <c r="AO98" s="535"/>
      <c r="AP98" s="535"/>
      <c r="AQ98" s="535"/>
      <c r="AR98" s="535"/>
      <c r="AS98" s="540"/>
      <c r="AT98" s="192"/>
      <c r="AU98" s="366"/>
      <c r="AV98" s="401"/>
      <c r="AW98" s="366"/>
      <c r="AX98" s="534"/>
      <c r="AY98" s="535"/>
      <c r="AZ98" s="535"/>
      <c r="BA98" s="535"/>
      <c r="BB98" s="535"/>
      <c r="BC98" s="535"/>
      <c r="BD98" s="535"/>
      <c r="BE98" s="535"/>
      <c r="BF98" s="535"/>
      <c r="BG98" s="535"/>
      <c r="BH98" s="535"/>
      <c r="BI98" s="535"/>
      <c r="BJ98" s="535"/>
      <c r="BK98" s="535">
        <f t="shared" si="14"/>
        <v>0</v>
      </c>
      <c r="BL98" s="535">
        <f t="shared" si="15"/>
        <v>0</v>
      </c>
      <c r="BM98" s="543" t="e">
        <f t="shared" si="16"/>
        <v>#DIV/0!</v>
      </c>
      <c r="BN98" s="535"/>
    </row>
    <row r="99" spans="1:66" s="25" customFormat="1" x14ac:dyDescent="0.25">
      <c r="A99" s="490">
        <v>126</v>
      </c>
      <c r="B99" s="63" t="s">
        <v>176</v>
      </c>
      <c r="C99" s="490">
        <v>1168</v>
      </c>
      <c r="D99" s="63" t="s">
        <v>170</v>
      </c>
      <c r="E99" s="490">
        <v>2</v>
      </c>
      <c r="F99" s="559" t="s">
        <v>177</v>
      </c>
      <c r="G99" s="559">
        <v>19</v>
      </c>
      <c r="H99" s="559" t="s">
        <v>172</v>
      </c>
      <c r="I99" s="559" t="s">
        <v>173</v>
      </c>
      <c r="J99" s="559"/>
      <c r="K99" s="606"/>
      <c r="L99" s="192" t="s">
        <v>1110</v>
      </c>
      <c r="M99" s="192" t="s">
        <v>1111</v>
      </c>
      <c r="N99" s="192" t="s">
        <v>174</v>
      </c>
      <c r="O99" s="191" t="s">
        <v>1318</v>
      </c>
      <c r="P99" s="192" t="s">
        <v>1026</v>
      </c>
      <c r="Q99" s="185">
        <v>41893</v>
      </c>
      <c r="R99" s="428">
        <v>42023</v>
      </c>
      <c r="S99" s="191" t="s">
        <v>1432</v>
      </c>
      <c r="T99" s="192">
        <v>100</v>
      </c>
      <c r="U99" s="185" t="s">
        <v>798</v>
      </c>
      <c r="V99" s="192" t="s">
        <v>988</v>
      </c>
      <c r="W99" s="177">
        <v>800172033</v>
      </c>
      <c r="X99" s="185" t="s">
        <v>1431</v>
      </c>
      <c r="Y99" s="191" t="s">
        <v>1356</v>
      </c>
      <c r="Z99" s="192"/>
      <c r="AA99" s="366">
        <v>365</v>
      </c>
      <c r="AB99" s="430">
        <v>42020</v>
      </c>
      <c r="AC99" s="366">
        <v>318</v>
      </c>
      <c r="AD99" s="391">
        <v>180000000</v>
      </c>
      <c r="AE99" s="391">
        <v>32727273</v>
      </c>
      <c r="AF99" s="391"/>
      <c r="AG99" s="536">
        <v>32727273</v>
      </c>
      <c r="AH99" s="391"/>
      <c r="AI99" s="391"/>
      <c r="AJ99" s="535"/>
      <c r="AK99" s="535"/>
      <c r="AL99" s="535"/>
      <c r="AM99" s="535"/>
      <c r="AN99" s="535"/>
      <c r="AO99" s="535">
        <v>3</v>
      </c>
      <c r="AP99" s="535">
        <f>32727273+32727273</f>
        <v>65454546</v>
      </c>
      <c r="AQ99" s="535">
        <f t="shared" si="18"/>
        <v>130909095</v>
      </c>
      <c r="AR99" s="535">
        <f t="shared" si="17"/>
        <v>49090905</v>
      </c>
      <c r="AS99" s="540">
        <f t="shared" si="19"/>
        <v>0.72727275000000002</v>
      </c>
      <c r="AT99" s="192"/>
      <c r="AU99" s="366">
        <v>37</v>
      </c>
      <c r="AV99" s="401">
        <v>42388</v>
      </c>
      <c r="AW99" s="366">
        <v>45</v>
      </c>
      <c r="AX99" s="391">
        <f>+AR99</f>
        <v>49090905</v>
      </c>
      <c r="AY99" s="391"/>
      <c r="AZ99" s="391">
        <v>32727273</v>
      </c>
      <c r="BA99" s="391">
        <v>32727273</v>
      </c>
      <c r="BB99" s="391"/>
      <c r="BC99" s="391"/>
      <c r="BD99" s="391"/>
      <c r="BE99" s="391"/>
      <c r="BF99" s="391"/>
      <c r="BG99" s="535"/>
      <c r="BH99" s="391"/>
      <c r="BI99" s="391"/>
      <c r="BJ99" s="391"/>
      <c r="BK99" s="535">
        <f t="shared" si="14"/>
        <v>65454546</v>
      </c>
      <c r="BL99" s="535">
        <f t="shared" si="15"/>
        <v>-16363641</v>
      </c>
      <c r="BM99" s="543">
        <f t="shared" si="16"/>
        <v>1.3333334555555658</v>
      </c>
      <c r="BN99" s="535"/>
    </row>
    <row r="100" spans="1:66" s="25" customFormat="1" x14ac:dyDescent="0.25">
      <c r="A100" s="490">
        <v>126</v>
      </c>
      <c r="B100" s="63" t="s">
        <v>176</v>
      </c>
      <c r="C100" s="490">
        <v>1168</v>
      </c>
      <c r="D100" s="63" t="s">
        <v>170</v>
      </c>
      <c r="E100" s="490">
        <v>2</v>
      </c>
      <c r="F100" s="559"/>
      <c r="G100" s="559"/>
      <c r="H100" s="559"/>
      <c r="I100" s="559"/>
      <c r="J100" s="559"/>
      <c r="K100" s="606"/>
      <c r="L100" s="192" t="s">
        <v>1112</v>
      </c>
      <c r="M100" s="192" t="s">
        <v>1111</v>
      </c>
      <c r="N100" s="192" t="s">
        <v>174</v>
      </c>
      <c r="O100" s="191" t="s">
        <v>1318</v>
      </c>
      <c r="P100" s="192" t="s">
        <v>1113</v>
      </c>
      <c r="Q100" s="185">
        <v>41884</v>
      </c>
      <c r="R100" s="428">
        <v>42023</v>
      </c>
      <c r="S100" s="191" t="s">
        <v>1336</v>
      </c>
      <c r="T100" s="192">
        <v>99</v>
      </c>
      <c r="U100" s="185" t="s">
        <v>506</v>
      </c>
      <c r="V100" s="192" t="s">
        <v>991</v>
      </c>
      <c r="W100" s="177">
        <v>900761542</v>
      </c>
      <c r="X100" s="185" t="s">
        <v>1325</v>
      </c>
      <c r="Y100" s="191" t="s">
        <v>1356</v>
      </c>
      <c r="Z100" s="192"/>
      <c r="AA100" s="366">
        <v>362</v>
      </c>
      <c r="AB100" s="430">
        <v>42020</v>
      </c>
      <c r="AC100" s="366">
        <v>317</v>
      </c>
      <c r="AD100" s="391">
        <v>1820000000</v>
      </c>
      <c r="AE100" s="391"/>
      <c r="AF100" s="391"/>
      <c r="AG100" s="536">
        <v>364157534</v>
      </c>
      <c r="AH100" s="391"/>
      <c r="AI100" s="391"/>
      <c r="AJ100" s="535"/>
      <c r="AK100" s="535"/>
      <c r="AL100" s="535"/>
      <c r="AM100" s="535"/>
      <c r="AN100" s="535"/>
      <c r="AO100" s="535"/>
      <c r="AP100" s="535">
        <f>118271739+435445608</f>
        <v>553717347</v>
      </c>
      <c r="AQ100" s="535">
        <f t="shared" si="18"/>
        <v>917874881</v>
      </c>
      <c r="AR100" s="535">
        <f t="shared" si="17"/>
        <v>902125119</v>
      </c>
      <c r="AS100" s="540">
        <f t="shared" si="19"/>
        <v>0.50432685769230767</v>
      </c>
      <c r="AT100" s="192"/>
      <c r="AU100" s="366">
        <v>36</v>
      </c>
      <c r="AV100" s="401">
        <v>42388</v>
      </c>
      <c r="AW100" s="366">
        <v>44</v>
      </c>
      <c r="AX100" s="391">
        <f>+AR100</f>
        <v>902125119</v>
      </c>
      <c r="AY100" s="391"/>
      <c r="AZ100" s="391">
        <v>356125119</v>
      </c>
      <c r="BA100" s="391">
        <f>168119632+196037902</f>
        <v>364157534</v>
      </c>
      <c r="BB100" s="391"/>
      <c r="BC100" s="391"/>
      <c r="BD100" s="391"/>
      <c r="BE100" s="391"/>
      <c r="BF100" s="391"/>
      <c r="BG100" s="535"/>
      <c r="BH100" s="391"/>
      <c r="BI100" s="391"/>
      <c r="BJ100" s="391"/>
      <c r="BK100" s="535">
        <f t="shared" si="14"/>
        <v>720282653</v>
      </c>
      <c r="BL100" s="535">
        <f t="shared" si="15"/>
        <v>181842466</v>
      </c>
      <c r="BM100" s="543">
        <f t="shared" si="16"/>
        <v>0.79842877426850589</v>
      </c>
      <c r="BN100" s="535"/>
    </row>
    <row r="101" spans="1:66" s="25" customFormat="1" x14ac:dyDescent="0.25">
      <c r="A101" s="490">
        <v>126</v>
      </c>
      <c r="B101" s="63" t="s">
        <v>176</v>
      </c>
      <c r="C101" s="490">
        <v>1168</v>
      </c>
      <c r="D101" s="63" t="s">
        <v>170</v>
      </c>
      <c r="E101" s="490">
        <v>2</v>
      </c>
      <c r="F101" s="559"/>
      <c r="G101" s="559"/>
      <c r="H101" s="559"/>
      <c r="I101" s="559"/>
      <c r="J101" s="559"/>
      <c r="K101" s="606"/>
      <c r="L101" s="192" t="s">
        <v>1553</v>
      </c>
      <c r="M101" s="192" t="s">
        <v>1111</v>
      </c>
      <c r="N101" s="192" t="s">
        <v>174</v>
      </c>
      <c r="O101" s="191" t="s">
        <v>1568</v>
      </c>
      <c r="P101" s="192" t="s">
        <v>1555</v>
      </c>
      <c r="Q101" s="185">
        <v>42237</v>
      </c>
      <c r="R101" s="428">
        <v>42251</v>
      </c>
      <c r="S101" s="191" t="s">
        <v>1569</v>
      </c>
      <c r="T101" s="192">
        <v>108</v>
      </c>
      <c r="U101" s="185" t="s">
        <v>1570</v>
      </c>
      <c r="V101" s="192" t="s">
        <v>1556</v>
      </c>
      <c r="W101" s="177" t="s">
        <v>1572</v>
      </c>
      <c r="X101" s="185" t="s">
        <v>90</v>
      </c>
      <c r="Y101" s="191" t="s">
        <v>884</v>
      </c>
      <c r="Z101" s="192"/>
      <c r="AA101" s="366">
        <v>501</v>
      </c>
      <c r="AB101" s="430">
        <v>42152</v>
      </c>
      <c r="AC101" s="366">
        <v>754</v>
      </c>
      <c r="AD101" s="391">
        <v>2806359795</v>
      </c>
      <c r="AE101" s="391"/>
      <c r="AF101" s="391"/>
      <c r="AG101" s="536">
        <v>162002888</v>
      </c>
      <c r="AH101" s="391"/>
      <c r="AI101" s="391"/>
      <c r="AJ101" s="535"/>
      <c r="AK101" s="535"/>
      <c r="AL101" s="535"/>
      <c r="AM101" s="535"/>
      <c r="AN101" s="539">
        <v>1107346459</v>
      </c>
      <c r="AO101" s="535"/>
      <c r="AP101" s="535">
        <v>99564904</v>
      </c>
      <c r="AQ101" s="535">
        <f t="shared" si="18"/>
        <v>1368914251</v>
      </c>
      <c r="AR101" s="535">
        <f t="shared" si="17"/>
        <v>1437445544</v>
      </c>
      <c r="AS101" s="540">
        <f t="shared" si="19"/>
        <v>0.48779000235071429</v>
      </c>
      <c r="AT101" s="192"/>
      <c r="AU101" s="366">
        <v>144</v>
      </c>
      <c r="AV101" s="401">
        <v>42388</v>
      </c>
      <c r="AW101" s="366">
        <v>137</v>
      </c>
      <c r="AX101" s="391">
        <v>1599448432</v>
      </c>
      <c r="AY101" s="391"/>
      <c r="AZ101" s="391">
        <v>201688957</v>
      </c>
      <c r="BA101" s="391">
        <v>162002888</v>
      </c>
      <c r="BB101" s="391"/>
      <c r="BC101" s="391"/>
      <c r="BD101" s="391">
        <f>115258163+144416336</f>
        <v>259674499</v>
      </c>
      <c r="BE101" s="391"/>
      <c r="BF101" s="391">
        <v>111761336</v>
      </c>
      <c r="BG101" s="535">
        <v>84620310</v>
      </c>
      <c r="BH101" s="391"/>
      <c r="BI101" s="391">
        <v>343939862</v>
      </c>
      <c r="BJ101" s="391">
        <v>222287596</v>
      </c>
      <c r="BK101" s="535">
        <f t="shared" si="14"/>
        <v>1385975448</v>
      </c>
      <c r="BL101" s="535">
        <f t="shared" si="15"/>
        <v>213472984</v>
      </c>
      <c r="BM101" s="543">
        <f t="shared" si="16"/>
        <v>0.86653337505038108</v>
      </c>
      <c r="BN101" s="535"/>
    </row>
    <row r="102" spans="1:66" s="25" customFormat="1" x14ac:dyDescent="0.25">
      <c r="A102" s="490">
        <v>126</v>
      </c>
      <c r="B102" s="63" t="s">
        <v>176</v>
      </c>
      <c r="C102" s="490">
        <v>1168</v>
      </c>
      <c r="D102" s="63" t="s">
        <v>170</v>
      </c>
      <c r="E102" s="490">
        <v>2</v>
      </c>
      <c r="F102" s="559"/>
      <c r="G102" s="559"/>
      <c r="H102" s="559"/>
      <c r="I102" s="559"/>
      <c r="J102" s="559"/>
      <c r="K102" s="606"/>
      <c r="L102" s="192" t="s">
        <v>1553</v>
      </c>
      <c r="M102" s="192" t="s">
        <v>1111</v>
      </c>
      <c r="N102" s="192" t="s">
        <v>174</v>
      </c>
      <c r="O102" s="191" t="s">
        <v>1571</v>
      </c>
      <c r="P102" s="192" t="s">
        <v>1555</v>
      </c>
      <c r="Q102" s="185">
        <v>42237</v>
      </c>
      <c r="R102" s="428">
        <v>42248</v>
      </c>
      <c r="S102" s="191" t="s">
        <v>1569</v>
      </c>
      <c r="T102" s="192">
        <v>108</v>
      </c>
      <c r="U102" s="185" t="s">
        <v>1570</v>
      </c>
      <c r="V102" s="192" t="s">
        <v>1556</v>
      </c>
      <c r="W102" s="177" t="s">
        <v>1572</v>
      </c>
      <c r="X102" s="185" t="s">
        <v>90</v>
      </c>
      <c r="Y102" s="191" t="s">
        <v>884</v>
      </c>
      <c r="Z102" s="192"/>
      <c r="AA102" s="366">
        <v>502</v>
      </c>
      <c r="AB102" s="430">
        <v>42153</v>
      </c>
      <c r="AC102" s="366">
        <v>755</v>
      </c>
      <c r="AD102" s="391">
        <v>25329098</v>
      </c>
      <c r="AE102" s="391"/>
      <c r="AF102" s="391"/>
      <c r="AG102" s="391"/>
      <c r="AH102" s="391"/>
      <c r="AI102" s="391"/>
      <c r="AJ102" s="535"/>
      <c r="AK102" s="535"/>
      <c r="AL102" s="535"/>
      <c r="AM102" s="535"/>
      <c r="AN102" s="539">
        <v>25329098</v>
      </c>
      <c r="AO102" s="535"/>
      <c r="AP102" s="535"/>
      <c r="AQ102" s="535">
        <f t="shared" si="18"/>
        <v>25329098</v>
      </c>
      <c r="AR102" s="535">
        <f t="shared" si="17"/>
        <v>0</v>
      </c>
      <c r="AS102" s="540">
        <f t="shared" ref="AS102:AS145" si="20">+AQ102/AD102</f>
        <v>1</v>
      </c>
      <c r="AT102" s="192"/>
      <c r="AU102" s="366"/>
      <c r="AV102" s="366"/>
      <c r="AW102" s="366"/>
      <c r="AX102" s="391"/>
      <c r="AY102" s="391"/>
      <c r="AZ102" s="391"/>
      <c r="BA102" s="391"/>
      <c r="BB102" s="391"/>
      <c r="BC102" s="391"/>
      <c r="BD102" s="391"/>
      <c r="BE102" s="391"/>
      <c r="BF102" s="391"/>
      <c r="BG102" s="535"/>
      <c r="BH102" s="391"/>
      <c r="BI102" s="391"/>
      <c r="BJ102" s="391"/>
      <c r="BK102" s="535">
        <f t="shared" si="14"/>
        <v>0</v>
      </c>
      <c r="BL102" s="535">
        <f t="shared" si="15"/>
        <v>0</v>
      </c>
      <c r="BM102" s="543" t="e">
        <f t="shared" si="16"/>
        <v>#DIV/0!</v>
      </c>
      <c r="BN102" s="535"/>
    </row>
    <row r="103" spans="1:66" s="25" customFormat="1" x14ac:dyDescent="0.25">
      <c r="A103" s="490">
        <v>126</v>
      </c>
      <c r="B103" s="63" t="s">
        <v>176</v>
      </c>
      <c r="C103" s="490">
        <v>1168</v>
      </c>
      <c r="D103" s="63" t="s">
        <v>170</v>
      </c>
      <c r="E103" s="490">
        <v>2</v>
      </c>
      <c r="F103" s="559"/>
      <c r="G103" s="559"/>
      <c r="H103" s="559"/>
      <c r="I103" s="559"/>
      <c r="J103" s="559"/>
      <c r="K103" s="606"/>
      <c r="L103" s="192" t="s">
        <v>1554</v>
      </c>
      <c r="M103" s="192" t="s">
        <v>1111</v>
      </c>
      <c r="N103" s="192" t="s">
        <v>174</v>
      </c>
      <c r="O103" s="191" t="s">
        <v>1573</v>
      </c>
      <c r="P103" s="192" t="s">
        <v>1026</v>
      </c>
      <c r="Q103" s="185">
        <v>42251</v>
      </c>
      <c r="R103" s="428">
        <v>42251</v>
      </c>
      <c r="S103" s="191" t="s">
        <v>1569</v>
      </c>
      <c r="T103" s="192">
        <v>112</v>
      </c>
      <c r="U103" s="185" t="s">
        <v>798</v>
      </c>
      <c r="V103" s="192" t="s">
        <v>988</v>
      </c>
      <c r="W103" s="177">
        <v>800172033</v>
      </c>
      <c r="X103" s="185" t="s">
        <v>90</v>
      </c>
      <c r="Y103" s="191" t="s">
        <v>884</v>
      </c>
      <c r="Z103" s="192"/>
      <c r="AA103" s="366">
        <v>625</v>
      </c>
      <c r="AB103" s="430">
        <v>42219</v>
      </c>
      <c r="AC103" s="366">
        <v>757</v>
      </c>
      <c r="AD103" s="391">
        <v>283000000</v>
      </c>
      <c r="AE103" s="391"/>
      <c r="AF103" s="391"/>
      <c r="AG103" s="536">
        <v>56600000</v>
      </c>
      <c r="AH103" s="391"/>
      <c r="AI103" s="391"/>
      <c r="AJ103" s="535"/>
      <c r="AK103" s="535"/>
      <c r="AL103" s="535"/>
      <c r="AM103" s="535"/>
      <c r="AN103" s="535"/>
      <c r="AO103" s="535">
        <v>28300000</v>
      </c>
      <c r="AP103" s="535">
        <f>28300000+28300000</f>
        <v>56600000</v>
      </c>
      <c r="AQ103" s="535">
        <f t="shared" si="18"/>
        <v>141500000</v>
      </c>
      <c r="AR103" s="535">
        <f t="shared" si="17"/>
        <v>141500000</v>
      </c>
      <c r="AS103" s="540">
        <f t="shared" si="20"/>
        <v>0.5</v>
      </c>
      <c r="AT103" s="192"/>
      <c r="AU103" s="366">
        <v>145</v>
      </c>
      <c r="AV103" s="401">
        <v>42388</v>
      </c>
      <c r="AW103" s="366">
        <v>138</v>
      </c>
      <c r="AX103" s="391">
        <v>198100000</v>
      </c>
      <c r="AY103" s="391"/>
      <c r="AZ103" s="391">
        <v>28300000</v>
      </c>
      <c r="BA103" s="391">
        <f>28300000+28300000</f>
        <v>56600000</v>
      </c>
      <c r="BB103" s="391"/>
      <c r="BC103" s="391">
        <v>28300000</v>
      </c>
      <c r="BD103" s="391">
        <v>28300000</v>
      </c>
      <c r="BE103" s="391"/>
      <c r="BF103" s="391">
        <f>28300000+28300000</f>
        <v>56600000</v>
      </c>
      <c r="BG103" s="535"/>
      <c r="BH103" s="391"/>
      <c r="BI103" s="391"/>
      <c r="BJ103" s="391"/>
      <c r="BK103" s="535">
        <f t="shared" si="14"/>
        <v>198100000</v>
      </c>
      <c r="BL103" s="535">
        <f t="shared" si="15"/>
        <v>0</v>
      </c>
      <c r="BM103" s="543">
        <f t="shared" si="16"/>
        <v>1</v>
      </c>
      <c r="BN103" s="535"/>
    </row>
    <row r="104" spans="1:66" s="25" customFormat="1" x14ac:dyDescent="0.25">
      <c r="A104" s="490">
        <v>126</v>
      </c>
      <c r="B104" s="63" t="s">
        <v>176</v>
      </c>
      <c r="C104" s="490">
        <v>1168</v>
      </c>
      <c r="D104" s="63" t="s">
        <v>170</v>
      </c>
      <c r="E104" s="490">
        <v>2</v>
      </c>
      <c r="F104" s="559"/>
      <c r="G104" s="559"/>
      <c r="H104" s="559"/>
      <c r="I104" s="559"/>
      <c r="J104" s="559"/>
      <c r="K104" s="606"/>
      <c r="L104" s="192" t="s">
        <v>1627</v>
      </c>
      <c r="M104" s="192" t="s">
        <v>1111</v>
      </c>
      <c r="N104" s="192" t="s">
        <v>174</v>
      </c>
      <c r="O104" s="192" t="s">
        <v>1680</v>
      </c>
      <c r="P104" s="192" t="s">
        <v>1555</v>
      </c>
      <c r="Q104" s="185">
        <v>42342</v>
      </c>
      <c r="R104" s="185">
        <v>42343</v>
      </c>
      <c r="S104" s="192" t="s">
        <v>724</v>
      </c>
      <c r="T104" s="192">
        <v>108</v>
      </c>
      <c r="U104" s="192" t="s">
        <v>1287</v>
      </c>
      <c r="V104" s="192" t="s">
        <v>1556</v>
      </c>
      <c r="W104" s="433" t="s">
        <v>1572</v>
      </c>
      <c r="X104" s="185" t="s">
        <v>1325</v>
      </c>
      <c r="Y104" s="192" t="s">
        <v>1423</v>
      </c>
      <c r="Z104" s="192"/>
      <c r="AA104" s="366">
        <v>679</v>
      </c>
      <c r="AB104" s="430">
        <v>42339</v>
      </c>
      <c r="AC104" s="366">
        <v>872</v>
      </c>
      <c r="AD104" s="391">
        <v>689952056</v>
      </c>
      <c r="AE104" s="535"/>
      <c r="AF104" s="535"/>
      <c r="AG104" s="535"/>
      <c r="AH104" s="535"/>
      <c r="AI104" s="535"/>
      <c r="AJ104" s="535"/>
      <c r="AK104" s="535"/>
      <c r="AL104" s="535"/>
      <c r="AM104" s="535"/>
      <c r="AN104" s="535"/>
      <c r="AO104" s="535"/>
      <c r="AP104" s="535">
        <v>275980822</v>
      </c>
      <c r="AQ104" s="535">
        <f>SUM(AE104:AP104)</f>
        <v>275980822</v>
      </c>
      <c r="AR104" s="535">
        <f>+AD104-AQ104</f>
        <v>413971234</v>
      </c>
      <c r="AS104" s="540">
        <f>+AQ104/AD115</f>
        <v>15.332267888888889</v>
      </c>
      <c r="AT104" s="192"/>
      <c r="AU104" s="366">
        <v>189</v>
      </c>
      <c r="AV104" s="401">
        <v>42388</v>
      </c>
      <c r="AW104" s="366">
        <v>180</v>
      </c>
      <c r="AX104" s="391">
        <v>413971234</v>
      </c>
      <c r="AY104" s="391"/>
      <c r="AZ104" s="391"/>
      <c r="BA104" s="391"/>
      <c r="BB104" s="391"/>
      <c r="BC104" s="391"/>
      <c r="BD104" s="391"/>
      <c r="BE104" s="391"/>
      <c r="BF104" s="391"/>
      <c r="BG104" s="535"/>
      <c r="BH104" s="391"/>
      <c r="BI104" s="391"/>
      <c r="BJ104" s="391"/>
      <c r="BK104" s="535">
        <f t="shared" si="14"/>
        <v>0</v>
      </c>
      <c r="BL104" s="535">
        <f t="shared" si="15"/>
        <v>413971234</v>
      </c>
      <c r="BM104" s="543">
        <f t="shared" si="16"/>
        <v>0</v>
      </c>
      <c r="BN104" s="535"/>
    </row>
    <row r="105" spans="1:66" s="25" customFormat="1" x14ac:dyDescent="0.25">
      <c r="A105" s="490">
        <v>126</v>
      </c>
      <c r="B105" s="63" t="s">
        <v>176</v>
      </c>
      <c r="C105" s="490">
        <v>1168</v>
      </c>
      <c r="D105" s="63" t="s">
        <v>170</v>
      </c>
      <c r="E105" s="490">
        <v>2</v>
      </c>
      <c r="F105" s="559"/>
      <c r="G105" s="559"/>
      <c r="H105" s="559"/>
      <c r="I105" s="559"/>
      <c r="J105" s="559"/>
      <c r="K105" s="606"/>
      <c r="L105" s="192" t="s">
        <v>1628</v>
      </c>
      <c r="M105" s="192" t="s">
        <v>1111</v>
      </c>
      <c r="N105" s="192" t="s">
        <v>174</v>
      </c>
      <c r="O105" s="192" t="s">
        <v>1328</v>
      </c>
      <c r="P105" s="192" t="s">
        <v>1026</v>
      </c>
      <c r="Q105" s="185">
        <v>42347</v>
      </c>
      <c r="R105" s="185">
        <v>42348</v>
      </c>
      <c r="S105" s="192" t="s">
        <v>724</v>
      </c>
      <c r="T105" s="192">
        <v>112</v>
      </c>
      <c r="U105" s="192" t="s">
        <v>1287</v>
      </c>
      <c r="V105" s="192" t="s">
        <v>988</v>
      </c>
      <c r="W105" s="192">
        <v>800172033</v>
      </c>
      <c r="X105" s="185" t="s">
        <v>90</v>
      </c>
      <c r="Y105" s="192" t="s">
        <v>1423</v>
      </c>
      <c r="Z105" s="192"/>
      <c r="AA105" s="366">
        <v>680</v>
      </c>
      <c r="AB105" s="430">
        <v>42339</v>
      </c>
      <c r="AC105" s="366">
        <v>878</v>
      </c>
      <c r="AD105" s="391">
        <v>84900000</v>
      </c>
      <c r="AE105" s="535"/>
      <c r="AF105" s="535"/>
      <c r="AG105" s="535"/>
      <c r="AH105" s="535"/>
      <c r="AI105" s="535"/>
      <c r="AJ105" s="535"/>
      <c r="AK105" s="535"/>
      <c r="AL105" s="535"/>
      <c r="AM105" s="535"/>
      <c r="AN105" s="535"/>
      <c r="AO105" s="535"/>
      <c r="AP105" s="535"/>
      <c r="AQ105" s="535">
        <f>SUM(AE105:AP105)</f>
        <v>0</v>
      </c>
      <c r="AR105" s="535">
        <f>+AD105-AQ105</f>
        <v>84900000</v>
      </c>
      <c r="AS105" s="540">
        <f>+AQ105/AD110</f>
        <v>0</v>
      </c>
      <c r="AT105" s="192"/>
      <c r="AU105" s="366">
        <v>191</v>
      </c>
      <c r="AV105" s="401">
        <v>42388</v>
      </c>
      <c r="AW105" s="366">
        <v>182</v>
      </c>
      <c r="AX105" s="391">
        <v>84900000</v>
      </c>
      <c r="AY105" s="391"/>
      <c r="AZ105" s="391"/>
      <c r="BA105" s="391"/>
      <c r="BB105" s="391"/>
      <c r="BC105" s="391"/>
      <c r="BD105" s="391"/>
      <c r="BE105" s="391"/>
      <c r="BF105" s="391"/>
      <c r="BG105" s="535">
        <v>28300000</v>
      </c>
      <c r="BH105" s="391">
        <v>28300000</v>
      </c>
      <c r="BI105" s="391">
        <v>28300000</v>
      </c>
      <c r="BJ105" s="391"/>
      <c r="BK105" s="535">
        <f t="shared" si="14"/>
        <v>84900000</v>
      </c>
      <c r="BL105" s="535">
        <f t="shared" si="15"/>
        <v>0</v>
      </c>
      <c r="BM105" s="543">
        <f t="shared" si="16"/>
        <v>1</v>
      </c>
      <c r="BN105" s="535"/>
    </row>
    <row r="106" spans="1:66" s="25" customFormat="1" x14ac:dyDescent="0.25">
      <c r="A106" s="490">
        <v>126</v>
      </c>
      <c r="B106" s="63" t="s">
        <v>176</v>
      </c>
      <c r="C106" s="490">
        <v>1168</v>
      </c>
      <c r="D106" s="63" t="s">
        <v>170</v>
      </c>
      <c r="E106" s="490">
        <v>2</v>
      </c>
      <c r="F106" s="559"/>
      <c r="G106" s="559"/>
      <c r="H106" s="559"/>
      <c r="I106" s="559"/>
      <c r="J106" s="559"/>
      <c r="K106" s="606"/>
      <c r="L106" s="192" t="s">
        <v>1629</v>
      </c>
      <c r="M106" s="192" t="s">
        <v>90</v>
      </c>
      <c r="N106" s="192" t="s">
        <v>90</v>
      </c>
      <c r="O106" s="192" t="s">
        <v>90</v>
      </c>
      <c r="P106" s="192" t="s">
        <v>836</v>
      </c>
      <c r="Q106" s="185">
        <v>42354</v>
      </c>
      <c r="R106" s="191" t="s">
        <v>90</v>
      </c>
      <c r="S106" s="192"/>
      <c r="T106" s="192">
        <v>265</v>
      </c>
      <c r="U106" s="192" t="s">
        <v>90</v>
      </c>
      <c r="V106" s="192" t="s">
        <v>1630</v>
      </c>
      <c r="W106" s="192"/>
      <c r="X106" s="185" t="s">
        <v>90</v>
      </c>
      <c r="Y106" s="192" t="s">
        <v>1397</v>
      </c>
      <c r="Z106" s="192"/>
      <c r="AA106" s="366">
        <v>693</v>
      </c>
      <c r="AB106" s="430">
        <v>42354</v>
      </c>
      <c r="AC106" s="366">
        <v>898</v>
      </c>
      <c r="AD106" s="391">
        <v>234480854</v>
      </c>
      <c r="AE106" s="535"/>
      <c r="AF106" s="535"/>
      <c r="AG106" s="535"/>
      <c r="AH106" s="535"/>
      <c r="AI106" s="535"/>
      <c r="AJ106" s="535"/>
      <c r="AK106" s="535"/>
      <c r="AL106" s="535"/>
      <c r="AM106" s="535"/>
      <c r="AN106" s="535"/>
      <c r="AO106" s="535"/>
      <c r="AP106" s="535">
        <f>+AD106</f>
        <v>234480854</v>
      </c>
      <c r="AQ106" s="535">
        <f>SUM(AE106:AP106)</f>
        <v>234480854</v>
      </c>
      <c r="AR106" s="535">
        <f>+AD106-AQ106</f>
        <v>0</v>
      </c>
      <c r="AS106" s="540">
        <f>+AQ106/AD116</f>
        <v>66.74661372046684</v>
      </c>
      <c r="AT106" s="192"/>
      <c r="AU106" s="366"/>
      <c r="AV106" s="366"/>
      <c r="AW106" s="366"/>
      <c r="AX106" s="391"/>
      <c r="AY106" s="391"/>
      <c r="AZ106" s="391"/>
      <c r="BA106" s="391"/>
      <c r="BB106" s="391"/>
      <c r="BC106" s="391"/>
      <c r="BD106" s="391"/>
      <c r="BE106" s="391"/>
      <c r="BF106" s="391"/>
      <c r="BG106" s="535"/>
      <c r="BH106" s="391"/>
      <c r="BI106" s="391"/>
      <c r="BJ106" s="391"/>
      <c r="BK106" s="535">
        <f t="shared" si="14"/>
        <v>0</v>
      </c>
      <c r="BL106" s="535">
        <f t="shared" si="15"/>
        <v>0</v>
      </c>
      <c r="BM106" s="543" t="e">
        <f t="shared" si="16"/>
        <v>#DIV/0!</v>
      </c>
      <c r="BN106" s="535"/>
    </row>
    <row r="107" spans="1:66" s="25" customFormat="1" x14ac:dyDescent="0.25">
      <c r="A107" s="490">
        <v>127</v>
      </c>
      <c r="B107" s="63" t="s">
        <v>178</v>
      </c>
      <c r="C107" s="490">
        <v>1168</v>
      </c>
      <c r="D107" s="63" t="s">
        <v>170</v>
      </c>
      <c r="E107" s="490">
        <v>3</v>
      </c>
      <c r="F107" s="584" t="s">
        <v>171</v>
      </c>
      <c r="G107" s="584">
        <v>12000</v>
      </c>
      <c r="H107" s="584" t="s">
        <v>180</v>
      </c>
      <c r="I107" s="584" t="s">
        <v>181</v>
      </c>
      <c r="J107" s="584"/>
      <c r="K107" s="654"/>
      <c r="L107" s="192" t="s">
        <v>1114</v>
      </c>
      <c r="M107" s="192" t="s">
        <v>1111</v>
      </c>
      <c r="N107" s="192" t="s">
        <v>174</v>
      </c>
      <c r="O107" s="191" t="s">
        <v>1318</v>
      </c>
      <c r="P107" s="192" t="s">
        <v>1113</v>
      </c>
      <c r="Q107" s="185">
        <v>41921</v>
      </c>
      <c r="R107" s="428">
        <v>42023</v>
      </c>
      <c r="S107" s="191" t="s">
        <v>1427</v>
      </c>
      <c r="T107" s="192">
        <v>98</v>
      </c>
      <c r="U107" s="185" t="s">
        <v>506</v>
      </c>
      <c r="V107" s="192" t="s">
        <v>996</v>
      </c>
      <c r="W107" s="177">
        <v>830004448</v>
      </c>
      <c r="X107" s="191" t="s">
        <v>1430</v>
      </c>
      <c r="Y107" s="191" t="s">
        <v>1356</v>
      </c>
      <c r="Z107" s="192"/>
      <c r="AA107" s="366">
        <v>364</v>
      </c>
      <c r="AB107" s="430">
        <v>42020</v>
      </c>
      <c r="AC107" s="366">
        <v>315</v>
      </c>
      <c r="AD107" s="391">
        <v>198704500</v>
      </c>
      <c r="AE107" s="391"/>
      <c r="AF107" s="391"/>
      <c r="AG107" s="391"/>
      <c r="AH107" s="391"/>
      <c r="AI107" s="391"/>
      <c r="AJ107" s="535"/>
      <c r="AK107" s="535"/>
      <c r="AL107" s="535"/>
      <c r="AM107" s="535"/>
      <c r="AN107" s="535"/>
      <c r="AO107" s="535"/>
      <c r="AP107" s="535"/>
      <c r="AQ107" s="535">
        <f t="shared" si="18"/>
        <v>0</v>
      </c>
      <c r="AR107" s="535">
        <f t="shared" si="17"/>
        <v>198704500</v>
      </c>
      <c r="AS107" s="540">
        <f t="shared" si="20"/>
        <v>0</v>
      </c>
      <c r="AT107" s="192"/>
      <c r="AU107" s="366">
        <v>34</v>
      </c>
      <c r="AV107" s="401">
        <v>42388</v>
      </c>
      <c r="AW107" s="366">
        <v>42</v>
      </c>
      <c r="AX107" s="391">
        <f>+AR107</f>
        <v>198704500</v>
      </c>
      <c r="AY107" s="391"/>
      <c r="AZ107" s="391"/>
      <c r="BA107" s="391"/>
      <c r="BB107" s="391"/>
      <c r="BC107" s="391"/>
      <c r="BD107" s="391"/>
      <c r="BE107" s="391"/>
      <c r="BF107" s="391"/>
      <c r="BG107" s="535"/>
      <c r="BH107" s="391"/>
      <c r="BI107" s="391"/>
      <c r="BJ107" s="391"/>
      <c r="BK107" s="535">
        <f t="shared" si="14"/>
        <v>0</v>
      </c>
      <c r="BL107" s="535">
        <f t="shared" si="15"/>
        <v>198704500</v>
      </c>
      <c r="BM107" s="543">
        <f t="shared" si="16"/>
        <v>0</v>
      </c>
      <c r="BN107" s="535"/>
    </row>
    <row r="108" spans="1:66" s="25" customFormat="1" x14ac:dyDescent="0.25">
      <c r="A108" s="490">
        <v>127</v>
      </c>
      <c r="B108" s="63" t="s">
        <v>178</v>
      </c>
      <c r="C108" s="490">
        <v>1168</v>
      </c>
      <c r="D108" s="63" t="s">
        <v>170</v>
      </c>
      <c r="E108" s="490">
        <v>3</v>
      </c>
      <c r="F108" s="585"/>
      <c r="G108" s="585"/>
      <c r="H108" s="585"/>
      <c r="I108" s="585"/>
      <c r="J108" s="585"/>
      <c r="K108" s="655"/>
      <c r="L108" s="192" t="s">
        <v>1115</v>
      </c>
      <c r="M108" s="192" t="s">
        <v>1111</v>
      </c>
      <c r="N108" s="192" t="s">
        <v>174</v>
      </c>
      <c r="O108" s="191" t="s">
        <v>1318</v>
      </c>
      <c r="P108" s="192" t="s">
        <v>1026</v>
      </c>
      <c r="Q108" s="185">
        <v>41974</v>
      </c>
      <c r="R108" s="428">
        <v>42090</v>
      </c>
      <c r="S108" s="428" t="s">
        <v>807</v>
      </c>
      <c r="T108" s="192">
        <v>144</v>
      </c>
      <c r="U108" s="185" t="s">
        <v>798</v>
      </c>
      <c r="V108" s="192" t="s">
        <v>1007</v>
      </c>
      <c r="W108" s="177">
        <v>900644351</v>
      </c>
      <c r="X108" s="191" t="s">
        <v>1429</v>
      </c>
      <c r="Y108" s="191" t="s">
        <v>1356</v>
      </c>
      <c r="Z108" s="192"/>
      <c r="AA108" s="366">
        <v>367</v>
      </c>
      <c r="AB108" s="430">
        <v>42020</v>
      </c>
      <c r="AC108" s="366">
        <v>477</v>
      </c>
      <c r="AD108" s="391">
        <v>98999962</v>
      </c>
      <c r="AE108" s="391"/>
      <c r="AF108" s="391"/>
      <c r="AG108" s="536">
        <v>35999986</v>
      </c>
      <c r="AH108" s="391"/>
      <c r="AI108" s="391"/>
      <c r="AJ108" s="535"/>
      <c r="AK108" s="535"/>
      <c r="AL108" s="535"/>
      <c r="AM108" s="535"/>
      <c r="AN108" s="535"/>
      <c r="AO108" s="535"/>
      <c r="AP108" s="535">
        <v>17999992</v>
      </c>
      <c r="AQ108" s="535">
        <f t="shared" si="18"/>
        <v>53999978</v>
      </c>
      <c r="AR108" s="535">
        <f t="shared" si="17"/>
        <v>44999984</v>
      </c>
      <c r="AS108" s="540">
        <f t="shared" si="20"/>
        <v>0.54545453259870946</v>
      </c>
      <c r="AT108" s="192"/>
      <c r="AU108" s="366">
        <v>50</v>
      </c>
      <c r="AV108" s="401">
        <v>42388</v>
      </c>
      <c r="AW108" s="366">
        <v>53</v>
      </c>
      <c r="AX108" s="391">
        <f>+AR108</f>
        <v>44999984</v>
      </c>
      <c r="AY108" s="391"/>
      <c r="AZ108" s="391">
        <v>17999993</v>
      </c>
      <c r="BA108" s="391">
        <f>17999993+17999993</f>
        <v>35999986</v>
      </c>
      <c r="BB108" s="391"/>
      <c r="BC108" s="391">
        <v>17999993</v>
      </c>
      <c r="BD108" s="391"/>
      <c r="BE108" s="391"/>
      <c r="BF108" s="391"/>
      <c r="BG108" s="535"/>
      <c r="BH108" s="391"/>
      <c r="BI108" s="391"/>
      <c r="BJ108" s="391"/>
      <c r="BK108" s="535">
        <f t="shared" si="14"/>
        <v>71999972</v>
      </c>
      <c r="BL108" s="535">
        <f t="shared" si="15"/>
        <v>-26999988</v>
      </c>
      <c r="BM108" s="543">
        <f t="shared" si="16"/>
        <v>1.5999999466666477</v>
      </c>
      <c r="BN108" s="535"/>
    </row>
    <row r="109" spans="1:66" s="25" customFormat="1" x14ac:dyDescent="0.25">
      <c r="A109" s="490">
        <v>127</v>
      </c>
      <c r="B109" s="63" t="s">
        <v>178</v>
      </c>
      <c r="C109" s="490">
        <v>1168</v>
      </c>
      <c r="D109" s="63" t="s">
        <v>170</v>
      </c>
      <c r="E109" s="490">
        <v>3</v>
      </c>
      <c r="F109" s="585"/>
      <c r="G109" s="585"/>
      <c r="H109" s="585"/>
      <c r="I109" s="585"/>
      <c r="J109" s="585"/>
      <c r="K109" s="655"/>
      <c r="L109" s="279" t="s">
        <v>1116</v>
      </c>
      <c r="M109" s="192" t="s">
        <v>1111</v>
      </c>
      <c r="N109" s="279" t="s">
        <v>174</v>
      </c>
      <c r="O109" s="191" t="s">
        <v>1318</v>
      </c>
      <c r="P109" s="192" t="s">
        <v>1113</v>
      </c>
      <c r="Q109" s="185">
        <v>41984</v>
      </c>
      <c r="R109" s="428">
        <v>42090</v>
      </c>
      <c r="S109" s="428" t="s">
        <v>807</v>
      </c>
      <c r="T109" s="192">
        <v>130</v>
      </c>
      <c r="U109" s="185" t="s">
        <v>506</v>
      </c>
      <c r="V109" s="192" t="s">
        <v>1003</v>
      </c>
      <c r="W109" s="177">
        <v>830104374</v>
      </c>
      <c r="X109" s="191" t="s">
        <v>1428</v>
      </c>
      <c r="Y109" s="191" t="s">
        <v>1356</v>
      </c>
      <c r="Z109" s="279"/>
      <c r="AA109" s="366">
        <v>366</v>
      </c>
      <c r="AB109" s="430">
        <v>42020</v>
      </c>
      <c r="AC109" s="366">
        <v>478</v>
      </c>
      <c r="AD109" s="391">
        <v>1018756645</v>
      </c>
      <c r="AE109" s="391"/>
      <c r="AF109" s="391"/>
      <c r="AG109" s="536">
        <v>27209611</v>
      </c>
      <c r="AH109" s="391"/>
      <c r="AI109" s="391">
        <v>407502658</v>
      </c>
      <c r="AJ109" s="535"/>
      <c r="AK109" s="535"/>
      <c r="AL109" s="535"/>
      <c r="AM109" s="535"/>
      <c r="AN109" s="535"/>
      <c r="AO109" s="535"/>
      <c r="AP109" s="535">
        <v>193695160</v>
      </c>
      <c r="AQ109" s="535">
        <f t="shared" si="18"/>
        <v>628407429</v>
      </c>
      <c r="AR109" s="535">
        <f t="shared" si="17"/>
        <v>390349216</v>
      </c>
      <c r="AS109" s="540">
        <f t="shared" si="20"/>
        <v>0.61683762465176362</v>
      </c>
      <c r="AT109" s="192"/>
      <c r="AU109" s="366">
        <v>51</v>
      </c>
      <c r="AV109" s="401">
        <v>42388</v>
      </c>
      <c r="AW109" s="366">
        <v>54</v>
      </c>
      <c r="AX109" s="391">
        <f>+AR109</f>
        <v>390349216</v>
      </c>
      <c r="AY109" s="391"/>
      <c r="AZ109" s="391">
        <v>84722222</v>
      </c>
      <c r="BA109" s="391">
        <v>27209611</v>
      </c>
      <c r="BB109" s="391"/>
      <c r="BC109" s="391"/>
      <c r="BD109" s="391"/>
      <c r="BE109" s="391"/>
      <c r="BF109" s="391"/>
      <c r="BG109" s="535"/>
      <c r="BH109" s="391"/>
      <c r="BI109" s="391"/>
      <c r="BJ109" s="391"/>
      <c r="BK109" s="535">
        <f t="shared" si="14"/>
        <v>111931833</v>
      </c>
      <c r="BL109" s="535">
        <f t="shared" si="15"/>
        <v>278417383</v>
      </c>
      <c r="BM109" s="543">
        <f t="shared" si="16"/>
        <v>0.28674793854331709</v>
      </c>
      <c r="BN109" s="535"/>
    </row>
    <row r="110" spans="1:66" s="25" customFormat="1" x14ac:dyDescent="0.25">
      <c r="A110" s="490">
        <v>127</v>
      </c>
      <c r="B110" s="63" t="s">
        <v>178</v>
      </c>
      <c r="C110" s="490">
        <v>1168</v>
      </c>
      <c r="D110" s="63" t="s">
        <v>170</v>
      </c>
      <c r="E110" s="490">
        <v>3</v>
      </c>
      <c r="F110" s="585"/>
      <c r="G110" s="585"/>
      <c r="H110" s="585"/>
      <c r="I110" s="585"/>
      <c r="J110" s="585"/>
      <c r="K110" s="655"/>
      <c r="L110" s="192" t="s">
        <v>1117</v>
      </c>
      <c r="M110" s="192" t="s">
        <v>1111</v>
      </c>
      <c r="N110" s="192" t="s">
        <v>174</v>
      </c>
      <c r="O110" s="191" t="s">
        <v>1318</v>
      </c>
      <c r="P110" s="192" t="s">
        <v>1026</v>
      </c>
      <c r="Q110" s="185">
        <v>41647</v>
      </c>
      <c r="R110" s="428">
        <v>42023</v>
      </c>
      <c r="S110" s="191" t="s">
        <v>1427</v>
      </c>
      <c r="T110" s="192">
        <v>102</v>
      </c>
      <c r="U110" s="166" t="s">
        <v>669</v>
      </c>
      <c r="V110" s="192" t="s">
        <v>988</v>
      </c>
      <c r="W110" s="166">
        <v>800172033</v>
      </c>
      <c r="X110" s="185" t="s">
        <v>1426</v>
      </c>
      <c r="Y110" s="191" t="s">
        <v>1356</v>
      </c>
      <c r="Z110" s="192"/>
      <c r="AA110" s="366">
        <v>363</v>
      </c>
      <c r="AB110" s="430">
        <v>42020</v>
      </c>
      <c r="AC110" s="366">
        <v>316</v>
      </c>
      <c r="AD110" s="391">
        <v>59500000</v>
      </c>
      <c r="AE110" s="391"/>
      <c r="AF110" s="391"/>
      <c r="AG110" s="391"/>
      <c r="AH110" s="391"/>
      <c r="AI110" s="391"/>
      <c r="AJ110" s="535"/>
      <c r="AK110" s="535">
        <v>17000000</v>
      </c>
      <c r="AL110" s="535">
        <v>17000000</v>
      </c>
      <c r="AM110" s="535"/>
      <c r="AN110" s="535"/>
      <c r="AO110" s="535"/>
      <c r="AP110" s="535"/>
      <c r="AQ110" s="535">
        <f t="shared" si="18"/>
        <v>34000000</v>
      </c>
      <c r="AR110" s="535">
        <f t="shared" si="17"/>
        <v>25500000</v>
      </c>
      <c r="AS110" s="540">
        <f t="shared" si="20"/>
        <v>0.5714285714285714</v>
      </c>
      <c r="AT110" s="192"/>
      <c r="AU110" s="366">
        <v>35</v>
      </c>
      <c r="AV110" s="401">
        <v>42388</v>
      </c>
      <c r="AW110" s="366">
        <v>43</v>
      </c>
      <c r="AX110" s="391">
        <f>+AR110</f>
        <v>25500000</v>
      </c>
      <c r="AY110" s="391"/>
      <c r="AZ110" s="391"/>
      <c r="BA110" s="391"/>
      <c r="BB110" s="391"/>
      <c r="BC110" s="391"/>
      <c r="BD110" s="391"/>
      <c r="BE110" s="391"/>
      <c r="BF110" s="391"/>
      <c r="BG110" s="535"/>
      <c r="BH110" s="391"/>
      <c r="BI110" s="391"/>
      <c r="BJ110" s="391"/>
      <c r="BK110" s="535">
        <f t="shared" si="14"/>
        <v>0</v>
      </c>
      <c r="BL110" s="535">
        <f t="shared" si="15"/>
        <v>25500000</v>
      </c>
      <c r="BM110" s="543">
        <f t="shared" si="16"/>
        <v>0</v>
      </c>
      <c r="BN110" s="535"/>
    </row>
    <row r="111" spans="1:66" s="25" customFormat="1" x14ac:dyDescent="0.25">
      <c r="A111" s="490">
        <v>127</v>
      </c>
      <c r="B111" s="63" t="s">
        <v>178</v>
      </c>
      <c r="C111" s="490">
        <v>1168</v>
      </c>
      <c r="D111" s="63" t="s">
        <v>170</v>
      </c>
      <c r="E111" s="490">
        <v>3</v>
      </c>
      <c r="F111" s="585"/>
      <c r="G111" s="585"/>
      <c r="H111" s="585"/>
      <c r="I111" s="585"/>
      <c r="J111" s="585"/>
      <c r="K111" s="655"/>
      <c r="L111" s="192" t="s">
        <v>1527</v>
      </c>
      <c r="M111" s="192" t="s">
        <v>1111</v>
      </c>
      <c r="N111" s="192" t="s">
        <v>174</v>
      </c>
      <c r="O111" s="191" t="s">
        <v>1318</v>
      </c>
      <c r="P111" s="192" t="s">
        <v>1026</v>
      </c>
      <c r="Q111" s="185">
        <v>42213</v>
      </c>
      <c r="R111" s="428">
        <v>42213</v>
      </c>
      <c r="S111" s="191" t="s">
        <v>1446</v>
      </c>
      <c r="T111" s="192">
        <v>102</v>
      </c>
      <c r="U111" s="166" t="s">
        <v>669</v>
      </c>
      <c r="V111" s="192" t="s">
        <v>988</v>
      </c>
      <c r="W111" s="166">
        <v>800172033</v>
      </c>
      <c r="X111" s="185" t="s">
        <v>1426</v>
      </c>
      <c r="Y111" s="191" t="s">
        <v>1356</v>
      </c>
      <c r="Z111" s="192"/>
      <c r="AA111" s="366">
        <v>553</v>
      </c>
      <c r="AB111" s="430">
        <v>42180</v>
      </c>
      <c r="AC111" s="366">
        <v>689</v>
      </c>
      <c r="AD111" s="391">
        <v>17000000</v>
      </c>
      <c r="AE111" s="535"/>
      <c r="AF111" s="535"/>
      <c r="AG111" s="535"/>
      <c r="AH111" s="535"/>
      <c r="AI111" s="535"/>
      <c r="AJ111" s="535"/>
      <c r="AK111" s="535"/>
      <c r="AL111" s="535"/>
      <c r="AM111" s="535"/>
      <c r="AN111" s="535"/>
      <c r="AO111" s="535"/>
      <c r="AP111" s="535"/>
      <c r="AQ111" s="535">
        <f t="shared" si="18"/>
        <v>0</v>
      </c>
      <c r="AR111" s="535">
        <f t="shared" si="17"/>
        <v>17000000</v>
      </c>
      <c r="AS111" s="540">
        <f t="shared" si="20"/>
        <v>0</v>
      </c>
      <c r="AT111" s="192"/>
      <c r="AU111" s="366">
        <v>105</v>
      </c>
      <c r="AV111" s="401">
        <v>42388</v>
      </c>
      <c r="AW111" s="366">
        <v>98</v>
      </c>
      <c r="AX111" s="391">
        <f>+AR111</f>
        <v>17000000</v>
      </c>
      <c r="AY111" s="391"/>
      <c r="AZ111" s="391"/>
      <c r="BA111" s="391"/>
      <c r="BB111" s="391"/>
      <c r="BC111" s="391"/>
      <c r="BD111" s="391"/>
      <c r="BE111" s="391"/>
      <c r="BF111" s="391"/>
      <c r="BG111" s="535"/>
      <c r="BH111" s="391"/>
      <c r="BI111" s="391"/>
      <c r="BJ111" s="391"/>
      <c r="BK111" s="535">
        <f t="shared" si="14"/>
        <v>0</v>
      </c>
      <c r="BL111" s="535">
        <f t="shared" si="15"/>
        <v>17000000</v>
      </c>
      <c r="BM111" s="543">
        <f t="shared" si="16"/>
        <v>0</v>
      </c>
      <c r="BN111" s="535"/>
    </row>
    <row r="112" spans="1:66" s="25" customFormat="1" x14ac:dyDescent="0.25">
      <c r="A112" s="490">
        <v>128</v>
      </c>
      <c r="B112" s="63" t="s">
        <v>184</v>
      </c>
      <c r="C112" s="490">
        <v>1170</v>
      </c>
      <c r="D112" s="63" t="s">
        <v>186</v>
      </c>
      <c r="E112" s="490">
        <v>1</v>
      </c>
      <c r="F112" s="584" t="s">
        <v>53</v>
      </c>
      <c r="G112" s="584">
        <v>400</v>
      </c>
      <c r="H112" s="584" t="s">
        <v>61</v>
      </c>
      <c r="I112" s="584" t="s">
        <v>187</v>
      </c>
      <c r="J112" s="584"/>
      <c r="K112" s="654"/>
      <c r="L112" s="192" t="s">
        <v>1528</v>
      </c>
      <c r="M112" s="192" t="s">
        <v>1538</v>
      </c>
      <c r="N112" s="166" t="s">
        <v>156</v>
      </c>
      <c r="O112" s="192" t="s">
        <v>1318</v>
      </c>
      <c r="P112" s="166" t="s">
        <v>320</v>
      </c>
      <c r="Q112" s="455">
        <v>42209</v>
      </c>
      <c r="R112" s="455">
        <v>42212</v>
      </c>
      <c r="S112" s="192" t="s">
        <v>378</v>
      </c>
      <c r="T112" s="192">
        <v>167</v>
      </c>
      <c r="U112" s="192" t="s">
        <v>798</v>
      </c>
      <c r="V112" s="166" t="s">
        <v>372</v>
      </c>
      <c r="W112" s="189">
        <v>17904681</v>
      </c>
      <c r="X112" s="192" t="s">
        <v>90</v>
      </c>
      <c r="Y112" s="192" t="s">
        <v>884</v>
      </c>
      <c r="Z112" s="192"/>
      <c r="AA112" s="366">
        <v>568</v>
      </c>
      <c r="AB112" s="430">
        <v>42209</v>
      </c>
      <c r="AC112" s="191">
        <v>683</v>
      </c>
      <c r="AD112" s="391">
        <v>3320000</v>
      </c>
      <c r="AE112" s="535"/>
      <c r="AF112" s="535"/>
      <c r="AG112" s="535"/>
      <c r="AH112" s="535"/>
      <c r="AI112" s="535"/>
      <c r="AJ112" s="535"/>
      <c r="AK112" s="535"/>
      <c r="AL112" s="535"/>
      <c r="AM112" s="535"/>
      <c r="AN112" s="535">
        <v>1660000</v>
      </c>
      <c r="AO112" s="535"/>
      <c r="AP112" s="535">
        <v>1660000</v>
      </c>
      <c r="AQ112" s="535">
        <f t="shared" si="18"/>
        <v>3320000</v>
      </c>
      <c r="AR112" s="535">
        <f t="shared" si="17"/>
        <v>0</v>
      </c>
      <c r="AS112" s="540">
        <f t="shared" si="20"/>
        <v>1</v>
      </c>
      <c r="AT112" s="192"/>
      <c r="AU112" s="366"/>
      <c r="AV112" s="366"/>
      <c r="AW112" s="366"/>
      <c r="AX112" s="391"/>
      <c r="AY112" s="391"/>
      <c r="AZ112" s="391"/>
      <c r="BA112" s="391"/>
      <c r="BB112" s="391"/>
      <c r="BC112" s="391"/>
      <c r="BD112" s="391"/>
      <c r="BE112" s="391"/>
      <c r="BF112" s="391"/>
      <c r="BG112" s="535"/>
      <c r="BH112" s="391"/>
      <c r="BI112" s="391"/>
      <c r="BJ112" s="391"/>
      <c r="BK112" s="535">
        <f t="shared" si="14"/>
        <v>0</v>
      </c>
      <c r="BL112" s="535">
        <f t="shared" si="15"/>
        <v>0</v>
      </c>
      <c r="BM112" s="543" t="e">
        <f t="shared" si="16"/>
        <v>#DIV/0!</v>
      </c>
      <c r="BN112" s="391"/>
    </row>
    <row r="113" spans="1:66" s="25" customFormat="1" x14ac:dyDescent="0.25">
      <c r="A113" s="490">
        <v>128</v>
      </c>
      <c r="B113" s="63" t="s">
        <v>184</v>
      </c>
      <c r="C113" s="490">
        <v>1170</v>
      </c>
      <c r="D113" s="63" t="s">
        <v>186</v>
      </c>
      <c r="E113" s="490">
        <v>1</v>
      </c>
      <c r="F113" s="585"/>
      <c r="G113" s="585"/>
      <c r="H113" s="585"/>
      <c r="I113" s="585"/>
      <c r="J113" s="585"/>
      <c r="K113" s="655"/>
      <c r="L113" s="192"/>
      <c r="M113" s="192"/>
      <c r="N113" s="166"/>
      <c r="O113" s="192"/>
      <c r="P113" s="166"/>
      <c r="Q113" s="455"/>
      <c r="R113" s="455"/>
      <c r="S113" s="192"/>
      <c r="T113" s="192"/>
      <c r="U113" s="192"/>
      <c r="V113" s="166"/>
      <c r="W113" s="189"/>
      <c r="X113" s="192"/>
      <c r="Y113" s="192"/>
      <c r="Z113" s="192"/>
      <c r="AA113" s="366"/>
      <c r="AB113" s="430"/>
      <c r="AC113" s="191"/>
      <c r="AD113" s="391"/>
      <c r="AE113" s="535"/>
      <c r="AF113" s="535"/>
      <c r="AG113" s="535"/>
      <c r="AH113" s="535"/>
      <c r="AI113" s="535"/>
      <c r="AJ113" s="535"/>
      <c r="AK113" s="535"/>
      <c r="AL113" s="535"/>
      <c r="AM113" s="535"/>
      <c r="AN113" s="535"/>
      <c r="AO113" s="535"/>
      <c r="AP113" s="535"/>
      <c r="AQ113" s="535"/>
      <c r="AR113" s="535"/>
      <c r="AS113" s="540"/>
      <c r="AT113" s="192"/>
      <c r="AU113" s="366"/>
      <c r="AV113" s="366"/>
      <c r="AW113" s="366"/>
      <c r="AX113" s="391"/>
      <c r="AY113" s="391"/>
      <c r="AZ113" s="391"/>
      <c r="BA113" s="391"/>
      <c r="BB113" s="391"/>
      <c r="BC113" s="391"/>
      <c r="BD113" s="391"/>
      <c r="BE113" s="391"/>
      <c r="BF113" s="391"/>
      <c r="BG113" s="535"/>
      <c r="BH113" s="391"/>
      <c r="BI113" s="391"/>
      <c r="BJ113" s="391"/>
      <c r="BK113" s="535">
        <f t="shared" si="14"/>
        <v>0</v>
      </c>
      <c r="BL113" s="535">
        <f t="shared" si="15"/>
        <v>0</v>
      </c>
      <c r="BM113" s="543" t="e">
        <f t="shared" si="16"/>
        <v>#DIV/0!</v>
      </c>
      <c r="BN113" s="391"/>
    </row>
    <row r="114" spans="1:66" s="25" customFormat="1" x14ac:dyDescent="0.25">
      <c r="A114" s="490">
        <v>128</v>
      </c>
      <c r="B114" s="63" t="s">
        <v>184</v>
      </c>
      <c r="C114" s="490">
        <v>1170</v>
      </c>
      <c r="D114" s="63" t="s">
        <v>186</v>
      </c>
      <c r="E114" s="490">
        <v>1</v>
      </c>
      <c r="F114" s="590"/>
      <c r="G114" s="590"/>
      <c r="H114" s="590"/>
      <c r="I114" s="590"/>
      <c r="J114" s="590"/>
      <c r="K114" s="656"/>
      <c r="L114" s="192"/>
      <c r="M114" s="192"/>
      <c r="N114" s="166"/>
      <c r="O114" s="192"/>
      <c r="P114" s="166"/>
      <c r="Q114" s="455"/>
      <c r="R114" s="455"/>
      <c r="S114" s="192"/>
      <c r="T114" s="192"/>
      <c r="U114" s="192"/>
      <c r="V114" s="166"/>
      <c r="W114" s="189"/>
      <c r="X114" s="192"/>
      <c r="Y114" s="192"/>
      <c r="Z114" s="192"/>
      <c r="AA114" s="366"/>
      <c r="AB114" s="430"/>
      <c r="AC114" s="191"/>
      <c r="AD114" s="391"/>
      <c r="AE114" s="535"/>
      <c r="AF114" s="535"/>
      <c r="AG114" s="535"/>
      <c r="AH114" s="535"/>
      <c r="AI114" s="535"/>
      <c r="AJ114" s="535"/>
      <c r="AK114" s="535"/>
      <c r="AL114" s="535"/>
      <c r="AM114" s="535"/>
      <c r="AN114" s="535"/>
      <c r="AO114" s="535"/>
      <c r="AP114" s="535"/>
      <c r="AQ114" s="535"/>
      <c r="AR114" s="535"/>
      <c r="AS114" s="540"/>
      <c r="AT114" s="192"/>
      <c r="AU114" s="366"/>
      <c r="AV114" s="366"/>
      <c r="AW114" s="366"/>
      <c r="AX114" s="391"/>
      <c r="AY114" s="391"/>
      <c r="AZ114" s="391"/>
      <c r="BA114" s="391"/>
      <c r="BB114" s="391"/>
      <c r="BC114" s="391"/>
      <c r="BD114" s="391"/>
      <c r="BE114" s="391"/>
      <c r="BF114" s="391"/>
      <c r="BG114" s="535"/>
      <c r="BH114" s="391"/>
      <c r="BI114" s="391"/>
      <c r="BJ114" s="391"/>
      <c r="BK114" s="535">
        <f t="shared" si="14"/>
        <v>0</v>
      </c>
      <c r="BL114" s="535">
        <f t="shared" si="15"/>
        <v>0</v>
      </c>
      <c r="BM114" s="543" t="e">
        <f t="shared" si="16"/>
        <v>#DIV/0!</v>
      </c>
      <c r="BN114" s="391"/>
    </row>
    <row r="115" spans="1:66" s="25" customFormat="1" x14ac:dyDescent="0.25">
      <c r="A115" s="490">
        <v>129</v>
      </c>
      <c r="B115" s="63" t="s">
        <v>189</v>
      </c>
      <c r="C115" s="490">
        <v>1170</v>
      </c>
      <c r="D115" s="63" t="s">
        <v>186</v>
      </c>
      <c r="E115" s="490">
        <v>2</v>
      </c>
      <c r="F115" s="584" t="s">
        <v>130</v>
      </c>
      <c r="G115" s="584">
        <v>1</v>
      </c>
      <c r="H115" s="584" t="s">
        <v>191</v>
      </c>
      <c r="I115" s="584" t="s">
        <v>192</v>
      </c>
      <c r="J115" s="584"/>
      <c r="K115" s="654"/>
      <c r="L115" s="192" t="s">
        <v>1557</v>
      </c>
      <c r="M115" s="192"/>
      <c r="N115" s="166" t="s">
        <v>156</v>
      </c>
      <c r="O115" s="192" t="s">
        <v>1095</v>
      </c>
      <c r="P115" s="166" t="s">
        <v>1558</v>
      </c>
      <c r="Q115" s="455">
        <v>42254</v>
      </c>
      <c r="R115" s="455">
        <v>42258</v>
      </c>
      <c r="S115" s="192" t="s">
        <v>378</v>
      </c>
      <c r="T115" s="192">
        <v>110</v>
      </c>
      <c r="U115" s="192" t="s">
        <v>1295</v>
      </c>
      <c r="V115" s="166" t="s">
        <v>1559</v>
      </c>
      <c r="W115" s="189">
        <v>8300819477</v>
      </c>
      <c r="X115" s="192" t="s">
        <v>1567</v>
      </c>
      <c r="Y115" s="192" t="s">
        <v>884</v>
      </c>
      <c r="Z115" s="192"/>
      <c r="AA115" s="366">
        <v>628</v>
      </c>
      <c r="AB115" s="430">
        <v>42219</v>
      </c>
      <c r="AC115" s="191">
        <v>762</v>
      </c>
      <c r="AD115" s="391">
        <v>18000000</v>
      </c>
      <c r="AE115" s="535"/>
      <c r="AF115" s="535"/>
      <c r="AG115" s="536">
        <v>21773</v>
      </c>
      <c r="AH115" s="535"/>
      <c r="AI115" s="535"/>
      <c r="AJ115" s="535"/>
      <c r="AK115" s="535"/>
      <c r="AL115" s="535"/>
      <c r="AM115" s="535"/>
      <c r="AN115" s="535"/>
      <c r="AO115" s="535"/>
      <c r="AP115" s="535">
        <v>17978227</v>
      </c>
      <c r="AQ115" s="535">
        <f t="shared" si="18"/>
        <v>18000000</v>
      </c>
      <c r="AR115" s="535">
        <f t="shared" si="17"/>
        <v>0</v>
      </c>
      <c r="AS115" s="540">
        <f t="shared" si="20"/>
        <v>1</v>
      </c>
      <c r="AT115" s="192"/>
      <c r="AU115" s="366">
        <v>148</v>
      </c>
      <c r="AV115" s="401">
        <v>42388</v>
      </c>
      <c r="AW115" s="366">
        <v>141</v>
      </c>
      <c r="AX115" s="391">
        <f>+AR115</f>
        <v>0</v>
      </c>
      <c r="AY115" s="391"/>
      <c r="AZ115" s="391"/>
      <c r="BA115" s="391">
        <v>21773</v>
      </c>
      <c r="BB115" s="391"/>
      <c r="BC115" s="391"/>
      <c r="BD115" s="391"/>
      <c r="BE115" s="391"/>
      <c r="BF115" s="391"/>
      <c r="BG115" s="535"/>
      <c r="BH115" s="391"/>
      <c r="BI115" s="391"/>
      <c r="BJ115" s="391"/>
      <c r="BK115" s="535">
        <f t="shared" si="14"/>
        <v>21773</v>
      </c>
      <c r="BL115" s="535">
        <f t="shared" si="15"/>
        <v>-21773</v>
      </c>
      <c r="BM115" s="543" t="e">
        <f t="shared" si="16"/>
        <v>#DIV/0!</v>
      </c>
      <c r="BN115" s="391"/>
    </row>
    <row r="116" spans="1:66" s="25" customFormat="1" x14ac:dyDescent="0.25">
      <c r="A116" s="490">
        <v>129</v>
      </c>
      <c r="B116" s="63" t="s">
        <v>189</v>
      </c>
      <c r="C116" s="490">
        <v>1170</v>
      </c>
      <c r="D116" s="63" t="s">
        <v>186</v>
      </c>
      <c r="E116" s="490">
        <v>2</v>
      </c>
      <c r="F116" s="585"/>
      <c r="G116" s="585"/>
      <c r="H116" s="585"/>
      <c r="I116" s="585"/>
      <c r="J116" s="585"/>
      <c r="K116" s="655"/>
      <c r="L116" s="192" t="s">
        <v>1631</v>
      </c>
      <c r="M116" s="192"/>
      <c r="N116" s="166" t="s">
        <v>156</v>
      </c>
      <c r="O116" s="192" t="s">
        <v>1318</v>
      </c>
      <c r="P116" s="166" t="s">
        <v>1558</v>
      </c>
      <c r="Q116" s="455">
        <v>42342</v>
      </c>
      <c r="R116" s="455">
        <v>42342</v>
      </c>
      <c r="S116" s="192" t="s">
        <v>512</v>
      </c>
      <c r="T116" s="192">
        <v>110</v>
      </c>
      <c r="U116" s="192" t="s">
        <v>1295</v>
      </c>
      <c r="V116" s="166" t="s">
        <v>1559</v>
      </c>
      <c r="W116" s="189">
        <v>8300819477</v>
      </c>
      <c r="X116" s="192" t="s">
        <v>1567</v>
      </c>
      <c r="Y116" s="192" t="s">
        <v>884</v>
      </c>
      <c r="Z116" s="192"/>
      <c r="AA116" s="366">
        <v>683</v>
      </c>
      <c r="AB116" s="430">
        <v>42342</v>
      </c>
      <c r="AC116" s="191">
        <v>873</v>
      </c>
      <c r="AD116" s="391">
        <v>3513000</v>
      </c>
      <c r="AE116" s="535"/>
      <c r="AF116" s="535"/>
      <c r="AG116" s="536">
        <v>3512215</v>
      </c>
      <c r="AH116" s="535"/>
      <c r="AI116" s="535"/>
      <c r="AJ116" s="535"/>
      <c r="AK116" s="535"/>
      <c r="AL116" s="535"/>
      <c r="AM116" s="535"/>
      <c r="AN116" s="535"/>
      <c r="AO116" s="535"/>
      <c r="AP116" s="535"/>
      <c r="AQ116" s="535">
        <f t="shared" si="18"/>
        <v>3512215</v>
      </c>
      <c r="AR116" s="535">
        <f t="shared" si="17"/>
        <v>785</v>
      </c>
      <c r="AS116" s="540">
        <f t="shared" si="20"/>
        <v>0.99977654426416174</v>
      </c>
      <c r="AT116" s="192"/>
      <c r="AU116" s="366">
        <v>190</v>
      </c>
      <c r="AV116" s="401">
        <v>42388</v>
      </c>
      <c r="AW116" s="366">
        <v>181</v>
      </c>
      <c r="AX116" s="391">
        <v>3512215</v>
      </c>
      <c r="AY116" s="391"/>
      <c r="AZ116" s="391"/>
      <c r="BA116" s="391">
        <v>3512215</v>
      </c>
      <c r="BB116" s="391"/>
      <c r="BC116" s="391"/>
      <c r="BD116" s="391"/>
      <c r="BE116" s="391"/>
      <c r="BF116" s="391"/>
      <c r="BG116" s="535"/>
      <c r="BH116" s="391"/>
      <c r="BI116" s="391"/>
      <c r="BJ116" s="391"/>
      <c r="BK116" s="535">
        <f t="shared" si="14"/>
        <v>3512215</v>
      </c>
      <c r="BL116" s="535">
        <f t="shared" si="15"/>
        <v>0</v>
      </c>
      <c r="BM116" s="543">
        <f t="shared" si="16"/>
        <v>1</v>
      </c>
      <c r="BN116" s="391"/>
    </row>
    <row r="117" spans="1:66" s="25" customFormat="1" x14ac:dyDescent="0.25">
      <c r="A117" s="490">
        <v>129</v>
      </c>
      <c r="B117" s="63" t="s">
        <v>189</v>
      </c>
      <c r="C117" s="490">
        <v>1170</v>
      </c>
      <c r="D117" s="63" t="s">
        <v>186</v>
      </c>
      <c r="E117" s="490">
        <v>2</v>
      </c>
      <c r="F117" s="590"/>
      <c r="G117" s="590"/>
      <c r="H117" s="590"/>
      <c r="I117" s="590"/>
      <c r="J117" s="590"/>
      <c r="K117" s="656"/>
      <c r="L117" s="192"/>
      <c r="M117" s="192"/>
      <c r="N117" s="166"/>
      <c r="O117" s="192"/>
      <c r="P117" s="166"/>
      <c r="Q117" s="455"/>
      <c r="R117" s="455"/>
      <c r="S117" s="192"/>
      <c r="T117" s="192"/>
      <c r="U117" s="192"/>
      <c r="V117" s="166"/>
      <c r="W117" s="189"/>
      <c r="X117" s="192"/>
      <c r="Y117" s="192"/>
      <c r="Z117" s="192"/>
      <c r="AA117" s="366"/>
      <c r="AB117" s="430"/>
      <c r="AC117" s="191"/>
      <c r="AD117" s="391"/>
      <c r="AE117" s="535"/>
      <c r="AF117" s="535"/>
      <c r="AG117" s="535"/>
      <c r="AH117" s="535"/>
      <c r="AI117" s="535"/>
      <c r="AJ117" s="535"/>
      <c r="AK117" s="535"/>
      <c r="AL117" s="535"/>
      <c r="AM117" s="535"/>
      <c r="AN117" s="535"/>
      <c r="AO117" s="535"/>
      <c r="AP117" s="535"/>
      <c r="AQ117" s="535"/>
      <c r="AR117" s="535"/>
      <c r="AS117" s="540"/>
      <c r="AT117" s="192"/>
      <c r="AU117" s="366"/>
      <c r="AV117" s="401"/>
      <c r="AW117" s="366"/>
      <c r="AX117" s="391"/>
      <c r="AY117" s="391"/>
      <c r="AZ117" s="391"/>
      <c r="BA117" s="391"/>
      <c r="BB117" s="391"/>
      <c r="BC117" s="391"/>
      <c r="BD117" s="391"/>
      <c r="BE117" s="391"/>
      <c r="BF117" s="391"/>
      <c r="BG117" s="535"/>
      <c r="BH117" s="391"/>
      <c r="BI117" s="391"/>
      <c r="BJ117" s="391"/>
      <c r="BK117" s="535">
        <f t="shared" si="14"/>
        <v>0</v>
      </c>
      <c r="BL117" s="535">
        <f t="shared" si="15"/>
        <v>0</v>
      </c>
      <c r="BM117" s="543" t="e">
        <f t="shared" si="16"/>
        <v>#DIV/0!</v>
      </c>
      <c r="BN117" s="391"/>
    </row>
    <row r="118" spans="1:66" s="25" customFormat="1" x14ac:dyDescent="0.25">
      <c r="A118" s="490">
        <v>130</v>
      </c>
      <c r="B118" s="63" t="s">
        <v>194</v>
      </c>
      <c r="C118" s="490">
        <v>1172</v>
      </c>
      <c r="D118" s="63" t="s">
        <v>196</v>
      </c>
      <c r="E118" s="490">
        <v>1</v>
      </c>
      <c r="F118" s="559" t="s">
        <v>53</v>
      </c>
      <c r="G118" s="559">
        <v>400</v>
      </c>
      <c r="H118" s="559" t="s">
        <v>61</v>
      </c>
      <c r="I118" s="559" t="s">
        <v>197</v>
      </c>
      <c r="J118" s="559"/>
      <c r="K118" s="606"/>
      <c r="L118" s="431" t="s">
        <v>1425</v>
      </c>
      <c r="M118" s="431" t="s">
        <v>1119</v>
      </c>
      <c r="N118" s="192" t="s">
        <v>156</v>
      </c>
      <c r="O118" s="192" t="s">
        <v>1424</v>
      </c>
      <c r="P118" s="431" t="s">
        <v>1120</v>
      </c>
      <c r="Q118" s="428">
        <v>42125</v>
      </c>
      <c r="R118" s="428">
        <v>42132</v>
      </c>
      <c r="S118" s="192" t="s">
        <v>337</v>
      </c>
      <c r="T118" s="166" t="s">
        <v>1020</v>
      </c>
      <c r="U118" s="192" t="s">
        <v>1287</v>
      </c>
      <c r="V118" s="431" t="s">
        <v>689</v>
      </c>
      <c r="W118" s="189">
        <v>900175862</v>
      </c>
      <c r="X118" s="192" t="s">
        <v>90</v>
      </c>
      <c r="Y118" s="192" t="s">
        <v>884</v>
      </c>
      <c r="Z118" s="192"/>
      <c r="AA118" s="458">
        <v>481</v>
      </c>
      <c r="AB118" s="430">
        <v>42124</v>
      </c>
      <c r="AC118" s="459">
        <v>542</v>
      </c>
      <c r="AD118" s="534">
        <v>6500000</v>
      </c>
      <c r="AE118" s="535"/>
      <c r="AF118" s="535"/>
      <c r="AG118" s="535"/>
      <c r="AH118" s="535"/>
      <c r="AI118" s="535"/>
      <c r="AJ118" s="535"/>
      <c r="AK118" s="535"/>
      <c r="AL118" s="535"/>
      <c r="AM118" s="535"/>
      <c r="AN118" s="535"/>
      <c r="AO118" s="535"/>
      <c r="AP118" s="535">
        <f>3115576+3384424</f>
        <v>6500000</v>
      </c>
      <c r="AQ118" s="535">
        <f t="shared" si="18"/>
        <v>6500000</v>
      </c>
      <c r="AR118" s="535">
        <f t="shared" si="17"/>
        <v>0</v>
      </c>
      <c r="AS118" s="540">
        <f t="shared" si="20"/>
        <v>1</v>
      </c>
      <c r="AT118" s="192"/>
      <c r="AU118" s="366"/>
      <c r="AV118" s="366"/>
      <c r="AW118" s="366"/>
      <c r="AX118" s="391"/>
      <c r="AY118" s="391"/>
      <c r="AZ118" s="391"/>
      <c r="BA118" s="391"/>
      <c r="BB118" s="391"/>
      <c r="BC118" s="391"/>
      <c r="BD118" s="391"/>
      <c r="BE118" s="391"/>
      <c r="BF118" s="391"/>
      <c r="BG118" s="535"/>
      <c r="BH118" s="391"/>
      <c r="BI118" s="391"/>
      <c r="BJ118" s="391"/>
      <c r="BK118" s="535">
        <f t="shared" si="14"/>
        <v>0</v>
      </c>
      <c r="BL118" s="535">
        <f t="shared" si="15"/>
        <v>0</v>
      </c>
      <c r="BM118" s="543" t="e">
        <f t="shared" si="16"/>
        <v>#DIV/0!</v>
      </c>
      <c r="BN118" s="391"/>
    </row>
    <row r="119" spans="1:66" s="25" customFormat="1" x14ac:dyDescent="0.25">
      <c r="A119" s="490">
        <v>130</v>
      </c>
      <c r="B119" s="63" t="s">
        <v>194</v>
      </c>
      <c r="C119" s="490">
        <v>1172</v>
      </c>
      <c r="D119" s="63" t="s">
        <v>196</v>
      </c>
      <c r="E119" s="490">
        <v>1</v>
      </c>
      <c r="F119" s="559"/>
      <c r="G119" s="559"/>
      <c r="H119" s="559"/>
      <c r="I119" s="559"/>
      <c r="J119" s="559"/>
      <c r="K119" s="606"/>
      <c r="L119" s="431" t="s">
        <v>1529</v>
      </c>
      <c r="M119" s="431" t="s">
        <v>1119</v>
      </c>
      <c r="N119" s="192" t="s">
        <v>156</v>
      </c>
      <c r="O119" s="192" t="s">
        <v>1424</v>
      </c>
      <c r="P119" s="166" t="s">
        <v>356</v>
      </c>
      <c r="Q119" s="428">
        <v>42198</v>
      </c>
      <c r="R119" s="428">
        <v>42299</v>
      </c>
      <c r="S119" s="192" t="s">
        <v>441</v>
      </c>
      <c r="T119" s="166" t="s">
        <v>1020</v>
      </c>
      <c r="U119" s="192" t="s">
        <v>1287</v>
      </c>
      <c r="V119" s="166" t="s">
        <v>689</v>
      </c>
      <c r="W119" s="189">
        <v>900175862</v>
      </c>
      <c r="X119" s="192">
        <v>100</v>
      </c>
      <c r="Y119" s="192" t="s">
        <v>884</v>
      </c>
      <c r="Z119" s="192"/>
      <c r="AA119" s="458">
        <v>560</v>
      </c>
      <c r="AB119" s="430">
        <v>42195</v>
      </c>
      <c r="AC119" s="459">
        <v>658</v>
      </c>
      <c r="AD119" s="534">
        <v>54699418</v>
      </c>
      <c r="AE119" s="535"/>
      <c r="AF119" s="535"/>
      <c r="AG119" s="536">
        <v>17031206</v>
      </c>
      <c r="AH119" s="535"/>
      <c r="AI119" s="535"/>
      <c r="AJ119" s="535"/>
      <c r="AK119" s="535"/>
      <c r="AL119" s="535"/>
      <c r="AM119" s="535"/>
      <c r="AN119" s="535"/>
      <c r="AO119" s="535"/>
      <c r="AP119" s="535">
        <v>22118828</v>
      </c>
      <c r="AQ119" s="535">
        <f t="shared" si="18"/>
        <v>39150034</v>
      </c>
      <c r="AR119" s="535">
        <f t="shared" si="17"/>
        <v>15549384</v>
      </c>
      <c r="AS119" s="540">
        <f t="shared" si="20"/>
        <v>0.71573035749667391</v>
      </c>
      <c r="AT119" s="192"/>
      <c r="AU119" s="366">
        <v>94</v>
      </c>
      <c r="AV119" s="401">
        <v>42388</v>
      </c>
      <c r="AW119" s="366">
        <v>89</v>
      </c>
      <c r="AX119" s="391">
        <v>32580590</v>
      </c>
      <c r="AY119" s="391"/>
      <c r="AZ119" s="391"/>
      <c r="BA119" s="391">
        <v>17031206</v>
      </c>
      <c r="BB119" s="391"/>
      <c r="BC119" s="391">
        <v>14037412</v>
      </c>
      <c r="BD119" s="391"/>
      <c r="BE119" s="391"/>
      <c r="BF119" s="391"/>
      <c r="BG119" s="535"/>
      <c r="BH119" s="391"/>
      <c r="BI119" s="391"/>
      <c r="BJ119" s="391"/>
      <c r="BK119" s="535">
        <f t="shared" si="14"/>
        <v>31068618</v>
      </c>
      <c r="BL119" s="535">
        <f t="shared" si="15"/>
        <v>1511972</v>
      </c>
      <c r="BM119" s="543">
        <f t="shared" si="16"/>
        <v>0.95359286004335708</v>
      </c>
      <c r="BN119" s="391"/>
    </row>
    <row r="120" spans="1:66" s="25" customFormat="1" x14ac:dyDescent="0.25">
      <c r="A120" s="490">
        <v>130</v>
      </c>
      <c r="B120" s="63" t="s">
        <v>194</v>
      </c>
      <c r="C120" s="490">
        <v>1172</v>
      </c>
      <c r="D120" s="63" t="s">
        <v>196</v>
      </c>
      <c r="E120" s="490">
        <v>1</v>
      </c>
      <c r="F120" s="559"/>
      <c r="G120" s="559"/>
      <c r="H120" s="559"/>
      <c r="I120" s="559"/>
      <c r="J120" s="559"/>
      <c r="K120" s="606"/>
      <c r="L120" s="431" t="s">
        <v>1530</v>
      </c>
      <c r="M120" s="431" t="s">
        <v>1119</v>
      </c>
      <c r="N120" s="192" t="s">
        <v>156</v>
      </c>
      <c r="O120" s="192" t="s">
        <v>1424</v>
      </c>
      <c r="P120" s="166" t="s">
        <v>320</v>
      </c>
      <c r="Q120" s="428">
        <v>42201</v>
      </c>
      <c r="R120" s="428">
        <v>42299</v>
      </c>
      <c r="S120" s="192" t="s">
        <v>441</v>
      </c>
      <c r="T120" s="166" t="s">
        <v>1022</v>
      </c>
      <c r="U120" s="173" t="s">
        <v>798</v>
      </c>
      <c r="V120" s="166" t="s">
        <v>372</v>
      </c>
      <c r="W120" s="189">
        <v>17904681</v>
      </c>
      <c r="X120" s="192" t="s">
        <v>90</v>
      </c>
      <c r="Y120" s="192" t="s">
        <v>884</v>
      </c>
      <c r="Z120" s="192"/>
      <c r="AA120" s="458">
        <v>566</v>
      </c>
      <c r="AB120" s="430">
        <v>42200</v>
      </c>
      <c r="AC120" s="459">
        <v>666</v>
      </c>
      <c r="AD120" s="534">
        <v>6465000</v>
      </c>
      <c r="AE120" s="535"/>
      <c r="AF120" s="535"/>
      <c r="AG120" s="535"/>
      <c r="AH120" s="535"/>
      <c r="AI120" s="535"/>
      <c r="AJ120" s="535"/>
      <c r="AK120" s="535"/>
      <c r="AL120" s="535"/>
      <c r="AM120" s="535"/>
      <c r="AN120" s="535"/>
      <c r="AO120" s="535"/>
      <c r="AP120" s="535">
        <v>2155000</v>
      </c>
      <c r="AQ120" s="535">
        <f t="shared" si="18"/>
        <v>2155000</v>
      </c>
      <c r="AR120" s="535">
        <f t="shared" si="17"/>
        <v>4310000</v>
      </c>
      <c r="AS120" s="540">
        <f t="shared" si="20"/>
        <v>0.33333333333333331</v>
      </c>
      <c r="AT120" s="192"/>
      <c r="AU120" s="366">
        <v>100</v>
      </c>
      <c r="AV120" s="401">
        <v>42388</v>
      </c>
      <c r="AW120" s="366">
        <v>93</v>
      </c>
      <c r="AX120" s="391">
        <v>4310000</v>
      </c>
      <c r="AY120" s="391"/>
      <c r="AZ120" s="391">
        <v>2155000</v>
      </c>
      <c r="BA120" s="391"/>
      <c r="BB120" s="391"/>
      <c r="BC120" s="391">
        <v>2155000</v>
      </c>
      <c r="BD120" s="391"/>
      <c r="BE120" s="391"/>
      <c r="BF120" s="391"/>
      <c r="BG120" s="535"/>
      <c r="BH120" s="391"/>
      <c r="BI120" s="391"/>
      <c r="BJ120" s="391"/>
      <c r="BK120" s="535">
        <f t="shared" si="14"/>
        <v>4310000</v>
      </c>
      <c r="BL120" s="535">
        <f t="shared" si="15"/>
        <v>0</v>
      </c>
      <c r="BM120" s="543">
        <f t="shared" si="16"/>
        <v>1</v>
      </c>
      <c r="BN120" s="391"/>
    </row>
    <row r="121" spans="1:66" s="25" customFormat="1" x14ac:dyDescent="0.25">
      <c r="A121" s="490">
        <v>130</v>
      </c>
      <c r="B121" s="63" t="s">
        <v>194</v>
      </c>
      <c r="C121" s="490">
        <v>1172</v>
      </c>
      <c r="D121" s="63" t="s">
        <v>196</v>
      </c>
      <c r="E121" s="490">
        <v>1</v>
      </c>
      <c r="F121" s="559"/>
      <c r="G121" s="559"/>
      <c r="H121" s="559"/>
      <c r="I121" s="559"/>
      <c r="J121" s="559"/>
      <c r="K121" s="606"/>
      <c r="L121" s="431" t="s">
        <v>1632</v>
      </c>
      <c r="M121" s="431" t="s">
        <v>1119</v>
      </c>
      <c r="N121" s="192" t="s">
        <v>156</v>
      </c>
      <c r="O121" s="192" t="s">
        <v>1314</v>
      </c>
      <c r="P121" s="192" t="s">
        <v>1120</v>
      </c>
      <c r="Q121" s="428">
        <v>42341</v>
      </c>
      <c r="R121" s="428">
        <v>42348</v>
      </c>
      <c r="S121" s="192" t="s">
        <v>1292</v>
      </c>
      <c r="T121" s="278">
        <v>133</v>
      </c>
      <c r="U121" s="192" t="s">
        <v>1287</v>
      </c>
      <c r="V121" s="166" t="s">
        <v>1633</v>
      </c>
      <c r="W121" s="192" t="s">
        <v>1678</v>
      </c>
      <c r="X121" s="433" t="s">
        <v>1679</v>
      </c>
      <c r="Y121" s="192" t="s">
        <v>884</v>
      </c>
      <c r="Z121" s="192"/>
      <c r="AA121" s="458">
        <v>660</v>
      </c>
      <c r="AB121" s="401">
        <v>42313</v>
      </c>
      <c r="AC121" s="459">
        <v>871</v>
      </c>
      <c r="AD121" s="534">
        <v>2998684</v>
      </c>
      <c r="AE121" s="535"/>
      <c r="AF121" s="535"/>
      <c r="AG121" s="535"/>
      <c r="AH121" s="535"/>
      <c r="AI121" s="535"/>
      <c r="AJ121" s="535"/>
      <c r="AK121" s="535"/>
      <c r="AL121" s="535"/>
      <c r="AM121" s="535"/>
      <c r="AN121" s="535"/>
      <c r="AO121" s="535"/>
      <c r="AP121" s="535"/>
      <c r="AQ121" s="535">
        <f t="shared" si="18"/>
        <v>0</v>
      </c>
      <c r="AR121" s="535">
        <f t="shared" si="17"/>
        <v>2998684</v>
      </c>
      <c r="AS121" s="540">
        <f t="shared" si="20"/>
        <v>0</v>
      </c>
      <c r="AT121" s="192"/>
      <c r="AU121" s="366">
        <v>188</v>
      </c>
      <c r="AV121" s="401">
        <v>42388</v>
      </c>
      <c r="AW121" s="366">
        <v>179</v>
      </c>
      <c r="AX121" s="391">
        <f>+AR121</f>
        <v>2998684</v>
      </c>
      <c r="AY121" s="391"/>
      <c r="AZ121" s="391"/>
      <c r="BA121" s="391"/>
      <c r="BB121" s="391"/>
      <c r="BC121" s="391"/>
      <c r="BD121" s="391"/>
      <c r="BE121" s="391"/>
      <c r="BF121" s="391"/>
      <c r="BG121" s="535"/>
      <c r="BH121" s="391"/>
      <c r="BI121" s="391"/>
      <c r="BJ121" s="391"/>
      <c r="BK121" s="535">
        <f t="shared" si="14"/>
        <v>0</v>
      </c>
      <c r="BL121" s="535">
        <f t="shared" si="15"/>
        <v>2998684</v>
      </c>
      <c r="BM121" s="543">
        <f t="shared" si="16"/>
        <v>0</v>
      </c>
      <c r="BN121" s="391"/>
    </row>
    <row r="122" spans="1:66" s="25" customFormat="1" x14ac:dyDescent="0.25">
      <c r="A122" s="490">
        <v>133</v>
      </c>
      <c r="B122" s="63" t="s">
        <v>210</v>
      </c>
      <c r="C122" s="490">
        <v>1177</v>
      </c>
      <c r="D122" s="63" t="s">
        <v>208</v>
      </c>
      <c r="E122" s="490">
        <v>2</v>
      </c>
      <c r="F122" s="559" t="s">
        <v>212</v>
      </c>
      <c r="G122" s="559">
        <v>60</v>
      </c>
      <c r="H122" s="559" t="s">
        <v>213</v>
      </c>
      <c r="I122" s="559" t="s">
        <v>214</v>
      </c>
      <c r="J122" s="559"/>
      <c r="K122" s="606"/>
      <c r="L122" s="192" t="s">
        <v>1118</v>
      </c>
      <c r="M122" s="192" t="s">
        <v>1119</v>
      </c>
      <c r="N122" s="192" t="s">
        <v>115</v>
      </c>
      <c r="O122" s="191" t="s">
        <v>1318</v>
      </c>
      <c r="P122" s="192" t="s">
        <v>1120</v>
      </c>
      <c r="Q122" s="428">
        <v>42090</v>
      </c>
      <c r="R122" s="428">
        <v>42090</v>
      </c>
      <c r="S122" s="191" t="s">
        <v>512</v>
      </c>
      <c r="T122" s="191">
        <v>175</v>
      </c>
      <c r="U122" s="173" t="s">
        <v>1287</v>
      </c>
      <c r="V122" s="192" t="s">
        <v>1031</v>
      </c>
      <c r="W122" s="189">
        <v>900199025</v>
      </c>
      <c r="X122" s="191" t="s">
        <v>90</v>
      </c>
      <c r="Y122" s="191" t="s">
        <v>1423</v>
      </c>
      <c r="Z122" s="192"/>
      <c r="AA122" s="505">
        <v>446</v>
      </c>
      <c r="AB122" s="430">
        <v>42090</v>
      </c>
      <c r="AC122" s="505">
        <v>476</v>
      </c>
      <c r="AD122" s="391">
        <v>1400000</v>
      </c>
      <c r="AE122" s="535"/>
      <c r="AF122" s="535"/>
      <c r="AG122" s="535"/>
      <c r="AH122" s="535"/>
      <c r="AI122" s="535"/>
      <c r="AJ122" s="535"/>
      <c r="AK122" s="535">
        <v>1400000</v>
      </c>
      <c r="AL122" s="535"/>
      <c r="AM122" s="535"/>
      <c r="AN122" s="535"/>
      <c r="AO122" s="535"/>
      <c r="AP122" s="535"/>
      <c r="AQ122" s="535">
        <f t="shared" si="18"/>
        <v>1400000</v>
      </c>
      <c r="AR122" s="535">
        <f t="shared" ref="AR122:AR166" si="21">+AD122-AQ122</f>
        <v>0</v>
      </c>
      <c r="AS122" s="540">
        <f t="shared" si="20"/>
        <v>1</v>
      </c>
      <c r="AT122" s="192"/>
      <c r="AU122" s="366"/>
      <c r="AV122" s="366"/>
      <c r="AW122" s="366"/>
      <c r="AX122" s="391"/>
      <c r="AY122" s="391"/>
      <c r="AZ122" s="391"/>
      <c r="BA122" s="391"/>
      <c r="BB122" s="391"/>
      <c r="BC122" s="391"/>
      <c r="BD122" s="391"/>
      <c r="BE122" s="391"/>
      <c r="BF122" s="391"/>
      <c r="BG122" s="535"/>
      <c r="BH122" s="391"/>
      <c r="BI122" s="391"/>
      <c r="BJ122" s="391"/>
      <c r="BK122" s="535">
        <f t="shared" si="14"/>
        <v>0</v>
      </c>
      <c r="BL122" s="535">
        <f t="shared" si="15"/>
        <v>0</v>
      </c>
      <c r="BM122" s="543" t="e">
        <f t="shared" si="16"/>
        <v>#DIV/0!</v>
      </c>
      <c r="BN122" s="391"/>
    </row>
    <row r="123" spans="1:66" s="25" customFormat="1" x14ac:dyDescent="0.25">
      <c r="A123" s="490">
        <v>133</v>
      </c>
      <c r="B123" s="63" t="s">
        <v>210</v>
      </c>
      <c r="C123" s="490">
        <v>1177</v>
      </c>
      <c r="D123" s="63" t="s">
        <v>208</v>
      </c>
      <c r="E123" s="490">
        <v>2</v>
      </c>
      <c r="F123" s="559"/>
      <c r="G123" s="559"/>
      <c r="H123" s="559"/>
      <c r="I123" s="559"/>
      <c r="J123" s="559"/>
      <c r="K123" s="606"/>
      <c r="L123" s="192" t="s">
        <v>1422</v>
      </c>
      <c r="M123" s="192" t="s">
        <v>1119</v>
      </c>
      <c r="N123" s="192" t="s">
        <v>115</v>
      </c>
      <c r="O123" s="191" t="s">
        <v>793</v>
      </c>
      <c r="P123" s="192" t="s">
        <v>1108</v>
      </c>
      <c r="Q123" s="428">
        <v>42179</v>
      </c>
      <c r="R123" s="428">
        <v>42200</v>
      </c>
      <c r="S123" s="191" t="s">
        <v>1054</v>
      </c>
      <c r="T123" s="191">
        <v>72</v>
      </c>
      <c r="U123" s="173" t="s">
        <v>1287</v>
      </c>
      <c r="V123" s="192" t="s">
        <v>1421</v>
      </c>
      <c r="W123" s="189" t="s">
        <v>1420</v>
      </c>
      <c r="X123" s="191" t="s">
        <v>1419</v>
      </c>
      <c r="Y123" s="191" t="s">
        <v>1423</v>
      </c>
      <c r="Z123" s="192"/>
      <c r="AA123" s="366">
        <v>511</v>
      </c>
      <c r="AB123" s="430">
        <v>42166</v>
      </c>
      <c r="AC123" s="366">
        <v>609</v>
      </c>
      <c r="AD123" s="391">
        <v>85500000</v>
      </c>
      <c r="AE123" s="535"/>
      <c r="AF123" s="535"/>
      <c r="AG123" s="535"/>
      <c r="AH123" s="535"/>
      <c r="AI123" s="535"/>
      <c r="AJ123" s="535"/>
      <c r="AK123" s="535"/>
      <c r="AL123" s="535"/>
      <c r="AM123" s="535"/>
      <c r="AN123" s="535"/>
      <c r="AO123" s="535"/>
      <c r="AP123" s="535">
        <v>9560000</v>
      </c>
      <c r="AQ123" s="535">
        <f t="shared" si="18"/>
        <v>9560000</v>
      </c>
      <c r="AR123" s="535">
        <f t="shared" si="21"/>
        <v>75940000</v>
      </c>
      <c r="AS123" s="540">
        <f t="shared" si="20"/>
        <v>0.11181286549707602</v>
      </c>
      <c r="AT123" s="192"/>
      <c r="AU123" s="366">
        <v>77</v>
      </c>
      <c r="AV123" s="366"/>
      <c r="AW123" s="366">
        <v>259</v>
      </c>
      <c r="AX123" s="391">
        <v>75940000</v>
      </c>
      <c r="AY123" s="391"/>
      <c r="AZ123" s="391"/>
      <c r="BA123" s="391">
        <f>7415000+4910000</f>
        <v>12325000</v>
      </c>
      <c r="BB123" s="391"/>
      <c r="BC123" s="391"/>
      <c r="BD123" s="391"/>
      <c r="BE123" s="391">
        <v>15715000</v>
      </c>
      <c r="BF123" s="391"/>
      <c r="BG123" s="535"/>
      <c r="BH123" s="391"/>
      <c r="BI123" s="391"/>
      <c r="BJ123" s="391">
        <v>32000000</v>
      </c>
      <c r="BK123" s="535">
        <f t="shared" si="14"/>
        <v>60040000</v>
      </c>
      <c r="BL123" s="535">
        <f t="shared" si="15"/>
        <v>15900000</v>
      </c>
      <c r="BM123" s="543">
        <f t="shared" si="16"/>
        <v>0.79062417698182774</v>
      </c>
      <c r="BN123" s="391"/>
    </row>
    <row r="124" spans="1:66" s="25" customFormat="1" x14ac:dyDescent="0.25">
      <c r="A124" s="490">
        <v>133</v>
      </c>
      <c r="B124" s="63" t="s">
        <v>210</v>
      </c>
      <c r="C124" s="490">
        <v>1177</v>
      </c>
      <c r="D124" s="63" t="s">
        <v>208</v>
      </c>
      <c r="E124" s="490">
        <v>2</v>
      </c>
      <c r="F124" s="559"/>
      <c r="G124" s="559"/>
      <c r="H124" s="559"/>
      <c r="I124" s="559"/>
      <c r="J124" s="559"/>
      <c r="K124" s="606"/>
      <c r="L124" s="192" t="s">
        <v>1418</v>
      </c>
      <c r="M124" s="192" t="s">
        <v>1119</v>
      </c>
      <c r="N124" s="192" t="s">
        <v>115</v>
      </c>
      <c r="O124" s="191" t="s">
        <v>793</v>
      </c>
      <c r="P124" s="192" t="s">
        <v>1026</v>
      </c>
      <c r="Q124" s="428">
        <v>42179</v>
      </c>
      <c r="R124" s="428">
        <v>42200</v>
      </c>
      <c r="S124" s="191" t="s">
        <v>1054</v>
      </c>
      <c r="T124" s="191">
        <v>73</v>
      </c>
      <c r="U124" s="173" t="s">
        <v>418</v>
      </c>
      <c r="V124" s="192" t="s">
        <v>732</v>
      </c>
      <c r="W124" s="189">
        <v>64695399</v>
      </c>
      <c r="X124" s="191" t="s">
        <v>90</v>
      </c>
      <c r="Y124" s="191" t="s">
        <v>1423</v>
      </c>
      <c r="Z124" s="192"/>
      <c r="AA124" s="366">
        <v>552</v>
      </c>
      <c r="AB124" s="430">
        <v>42179</v>
      </c>
      <c r="AC124" s="366">
        <v>613</v>
      </c>
      <c r="AD124" s="391">
        <v>4275000</v>
      </c>
      <c r="AE124" s="535"/>
      <c r="AF124" s="535"/>
      <c r="AG124" s="535"/>
      <c r="AH124" s="535"/>
      <c r="AI124" s="535"/>
      <c r="AJ124" s="535"/>
      <c r="AK124" s="535"/>
      <c r="AL124" s="535"/>
      <c r="AM124" s="535"/>
      <c r="AN124" s="535"/>
      <c r="AO124" s="535"/>
      <c r="AP124" s="535">
        <v>2137500</v>
      </c>
      <c r="AQ124" s="535">
        <f t="shared" si="18"/>
        <v>2137500</v>
      </c>
      <c r="AR124" s="535">
        <f t="shared" si="21"/>
        <v>2137500</v>
      </c>
      <c r="AS124" s="540">
        <f t="shared" si="20"/>
        <v>0.5</v>
      </c>
      <c r="AT124" s="192"/>
      <c r="AU124" s="366">
        <v>79</v>
      </c>
      <c r="AV124" s="401">
        <v>42388</v>
      </c>
      <c r="AW124" s="366">
        <v>75</v>
      </c>
      <c r="AX124" s="391">
        <f>+AR124</f>
        <v>2137500</v>
      </c>
      <c r="AY124" s="391"/>
      <c r="AZ124" s="391"/>
      <c r="BA124" s="391"/>
      <c r="BB124" s="391"/>
      <c r="BC124" s="391"/>
      <c r="BD124" s="391"/>
      <c r="BE124" s="391"/>
      <c r="BF124" s="391"/>
      <c r="BG124" s="535"/>
      <c r="BH124" s="391"/>
      <c r="BI124" s="391"/>
      <c r="BJ124" s="391"/>
      <c r="BK124" s="535">
        <f t="shared" si="14"/>
        <v>0</v>
      </c>
      <c r="BL124" s="535">
        <f t="shared" si="15"/>
        <v>2137500</v>
      </c>
      <c r="BM124" s="543">
        <f t="shared" si="16"/>
        <v>0</v>
      </c>
      <c r="BN124" s="391"/>
    </row>
    <row r="125" spans="1:66" s="25" customFormat="1" x14ac:dyDescent="0.25">
      <c r="A125" s="490">
        <v>133</v>
      </c>
      <c r="B125" s="63" t="s">
        <v>210</v>
      </c>
      <c r="C125" s="490">
        <v>1177</v>
      </c>
      <c r="D125" s="63" t="s">
        <v>208</v>
      </c>
      <c r="E125" s="490">
        <v>2</v>
      </c>
      <c r="F125" s="559"/>
      <c r="G125" s="559"/>
      <c r="H125" s="559"/>
      <c r="I125" s="559"/>
      <c r="J125" s="559"/>
      <c r="K125" s="606"/>
      <c r="L125" s="192" t="s">
        <v>1583</v>
      </c>
      <c r="M125" s="192" t="s">
        <v>1119</v>
      </c>
      <c r="N125" s="192" t="s">
        <v>115</v>
      </c>
      <c r="O125" s="191" t="s">
        <v>1664</v>
      </c>
      <c r="P125" s="192" t="s">
        <v>1120</v>
      </c>
      <c r="Q125" s="428">
        <v>42321</v>
      </c>
      <c r="R125" s="428">
        <v>42377</v>
      </c>
      <c r="S125" s="191" t="s">
        <v>1336</v>
      </c>
      <c r="T125" s="191">
        <v>125</v>
      </c>
      <c r="U125" s="173" t="s">
        <v>1287</v>
      </c>
      <c r="V125" s="192" t="s">
        <v>1584</v>
      </c>
      <c r="W125" s="189">
        <v>900175374</v>
      </c>
      <c r="X125" s="191" t="s">
        <v>1665</v>
      </c>
      <c r="Y125" s="191" t="s">
        <v>870</v>
      </c>
      <c r="Z125" s="192"/>
      <c r="AA125" s="366">
        <v>645</v>
      </c>
      <c r="AB125" s="430">
        <v>42278</v>
      </c>
      <c r="AC125" s="366">
        <v>847</v>
      </c>
      <c r="AD125" s="391">
        <v>155673000</v>
      </c>
      <c r="AE125" s="535"/>
      <c r="AF125" s="535"/>
      <c r="AG125" s="536">
        <v>12362620</v>
      </c>
      <c r="AH125" s="535"/>
      <c r="AI125" s="535"/>
      <c r="AJ125" s="535"/>
      <c r="AK125" s="535"/>
      <c r="AL125" s="535"/>
      <c r="AM125" s="535"/>
      <c r="AN125" s="535"/>
      <c r="AO125" s="535"/>
      <c r="AP125" s="535"/>
      <c r="AQ125" s="535"/>
      <c r="AR125" s="535">
        <f t="shared" si="21"/>
        <v>155673000</v>
      </c>
      <c r="AS125" s="540"/>
      <c r="AT125" s="192"/>
      <c r="AU125" s="366">
        <v>178</v>
      </c>
      <c r="AV125" s="401">
        <v>42388</v>
      </c>
      <c r="AW125" s="366">
        <v>170</v>
      </c>
      <c r="AX125" s="391">
        <v>155673000</v>
      </c>
      <c r="AY125" s="391"/>
      <c r="AZ125" s="391"/>
      <c r="BA125" s="391">
        <v>12362620</v>
      </c>
      <c r="BB125" s="391"/>
      <c r="BC125" s="391">
        <v>14481210</v>
      </c>
      <c r="BD125" s="391"/>
      <c r="BE125" s="391">
        <v>16614540</v>
      </c>
      <c r="BF125" s="391"/>
      <c r="BG125" s="535"/>
      <c r="BH125" s="391">
        <v>23494630</v>
      </c>
      <c r="BI125" s="391"/>
      <c r="BJ125" s="391">
        <v>47945093</v>
      </c>
      <c r="BK125" s="535">
        <f t="shared" si="14"/>
        <v>114898093</v>
      </c>
      <c r="BL125" s="535">
        <f t="shared" si="15"/>
        <v>40774907</v>
      </c>
      <c r="BM125" s="543">
        <f t="shared" si="16"/>
        <v>0.73807335247602346</v>
      </c>
      <c r="BN125" s="391"/>
    </row>
    <row r="126" spans="1:66" s="25" customFormat="1" x14ac:dyDescent="0.25">
      <c r="A126" s="490">
        <v>133</v>
      </c>
      <c r="B126" s="63" t="s">
        <v>210</v>
      </c>
      <c r="C126" s="490">
        <v>1177</v>
      </c>
      <c r="D126" s="63" t="s">
        <v>208</v>
      </c>
      <c r="E126" s="490">
        <v>2</v>
      </c>
      <c r="F126" s="559"/>
      <c r="G126" s="559"/>
      <c r="H126" s="559"/>
      <c r="I126" s="559"/>
      <c r="J126" s="559"/>
      <c r="K126" s="606"/>
      <c r="L126" s="192" t="s">
        <v>1585</v>
      </c>
      <c r="M126" s="192" t="s">
        <v>1119</v>
      </c>
      <c r="N126" s="192" t="s">
        <v>115</v>
      </c>
      <c r="O126" s="191" t="s">
        <v>1318</v>
      </c>
      <c r="P126" s="192" t="s">
        <v>1026</v>
      </c>
      <c r="Q126" s="428">
        <v>42321</v>
      </c>
      <c r="R126" s="428">
        <v>42200</v>
      </c>
      <c r="S126" s="191" t="s">
        <v>1663</v>
      </c>
      <c r="T126" s="191">
        <v>73</v>
      </c>
      <c r="U126" s="173" t="s">
        <v>418</v>
      </c>
      <c r="V126" s="192" t="s">
        <v>732</v>
      </c>
      <c r="W126" s="189">
        <v>64695399</v>
      </c>
      <c r="X126" s="191" t="s">
        <v>90</v>
      </c>
      <c r="Y126" s="191" t="s">
        <v>1423</v>
      </c>
      <c r="Z126" s="192"/>
      <c r="AA126" s="366">
        <v>674</v>
      </c>
      <c r="AB126" s="430">
        <v>42321</v>
      </c>
      <c r="AC126" s="366">
        <v>848</v>
      </c>
      <c r="AD126" s="391">
        <v>2137500</v>
      </c>
      <c r="AE126" s="535"/>
      <c r="AF126" s="535"/>
      <c r="AG126" s="536">
        <v>2137500</v>
      </c>
      <c r="AH126" s="535"/>
      <c r="AI126" s="535"/>
      <c r="AJ126" s="535"/>
      <c r="AK126" s="535"/>
      <c r="AL126" s="535"/>
      <c r="AM126" s="535"/>
      <c r="AN126" s="535"/>
      <c r="AO126" s="535"/>
      <c r="AP126" s="535"/>
      <c r="AQ126" s="535"/>
      <c r="AR126" s="535">
        <f t="shared" si="21"/>
        <v>2137500</v>
      </c>
      <c r="AS126" s="540"/>
      <c r="AT126" s="192"/>
      <c r="AU126" s="366">
        <v>179</v>
      </c>
      <c r="AV126" s="401">
        <v>42388</v>
      </c>
      <c r="AW126" s="366">
        <v>171</v>
      </c>
      <c r="AX126" s="391">
        <f>+AR126</f>
        <v>2137500</v>
      </c>
      <c r="AY126" s="391"/>
      <c r="AZ126" s="391"/>
      <c r="BA126" s="391">
        <f>1068750+1068750</f>
        <v>2137500</v>
      </c>
      <c r="BB126" s="391"/>
      <c r="BC126" s="391"/>
      <c r="BD126" s="391"/>
      <c r="BE126" s="391">
        <v>1068750</v>
      </c>
      <c r="BF126" s="391"/>
      <c r="BG126" s="535"/>
      <c r="BH126" s="391"/>
      <c r="BI126" s="391"/>
      <c r="BJ126" s="391">
        <v>1068750</v>
      </c>
      <c r="BK126" s="535">
        <f t="shared" si="14"/>
        <v>4275000</v>
      </c>
      <c r="BL126" s="535">
        <f t="shared" si="15"/>
        <v>-2137500</v>
      </c>
      <c r="BM126" s="543">
        <f t="shared" si="16"/>
        <v>2</v>
      </c>
      <c r="BN126" s="391"/>
    </row>
    <row r="127" spans="1:66" s="25" customFormat="1" x14ac:dyDescent="0.25">
      <c r="A127" s="490">
        <v>133</v>
      </c>
      <c r="B127" s="63" t="s">
        <v>210</v>
      </c>
      <c r="C127" s="490">
        <v>1177</v>
      </c>
      <c r="D127" s="63" t="s">
        <v>208</v>
      </c>
      <c r="E127" s="490">
        <v>2</v>
      </c>
      <c r="F127" s="559"/>
      <c r="G127" s="559"/>
      <c r="H127" s="559"/>
      <c r="I127" s="559"/>
      <c r="J127" s="559"/>
      <c r="K127" s="606"/>
      <c r="L127" s="192" t="s">
        <v>1586</v>
      </c>
      <c r="M127" s="192" t="s">
        <v>1119</v>
      </c>
      <c r="N127" s="192" t="s">
        <v>115</v>
      </c>
      <c r="O127" s="191" t="s">
        <v>1318</v>
      </c>
      <c r="P127" s="192" t="s">
        <v>1026</v>
      </c>
      <c r="Q127" s="428">
        <v>42331</v>
      </c>
      <c r="R127" s="428">
        <v>42340</v>
      </c>
      <c r="S127" s="191" t="s">
        <v>1308</v>
      </c>
      <c r="T127" s="191">
        <v>129</v>
      </c>
      <c r="U127" s="173" t="s">
        <v>798</v>
      </c>
      <c r="V127" s="192" t="s">
        <v>715</v>
      </c>
      <c r="W127" s="189">
        <v>93200589</v>
      </c>
      <c r="X127" s="191" t="s">
        <v>90</v>
      </c>
      <c r="Y127" s="191" t="s">
        <v>1423</v>
      </c>
      <c r="Z127" s="192"/>
      <c r="AA127" s="366">
        <v>667</v>
      </c>
      <c r="AB127" s="430">
        <v>42317</v>
      </c>
      <c r="AC127" s="366">
        <v>853</v>
      </c>
      <c r="AD127" s="391">
        <v>1600000</v>
      </c>
      <c r="AE127" s="535"/>
      <c r="AF127" s="535"/>
      <c r="AG127" s="535"/>
      <c r="AH127" s="535"/>
      <c r="AI127" s="535"/>
      <c r="AJ127" s="535"/>
      <c r="AK127" s="535"/>
      <c r="AL127" s="535"/>
      <c r="AM127" s="535"/>
      <c r="AN127" s="535"/>
      <c r="AO127" s="535"/>
      <c r="AP127" s="535"/>
      <c r="AQ127" s="535"/>
      <c r="AR127" s="535">
        <f t="shared" si="21"/>
        <v>1600000</v>
      </c>
      <c r="AS127" s="540"/>
      <c r="AT127" s="192"/>
      <c r="AU127" s="366">
        <v>181</v>
      </c>
      <c r="AV127" s="401">
        <v>42388</v>
      </c>
      <c r="AW127" s="366">
        <v>173</v>
      </c>
      <c r="AX127" s="391">
        <v>1600000</v>
      </c>
      <c r="AY127" s="391"/>
      <c r="AZ127" s="391">
        <v>800000</v>
      </c>
      <c r="BA127" s="391"/>
      <c r="BB127" s="391"/>
      <c r="BC127" s="391"/>
      <c r="BD127" s="391"/>
      <c r="BE127" s="391">
        <v>800000</v>
      </c>
      <c r="BF127" s="391"/>
      <c r="BG127" s="535"/>
      <c r="BH127" s="391"/>
      <c r="BI127" s="391"/>
      <c r="BJ127" s="391"/>
      <c r="BK127" s="535">
        <f t="shared" si="14"/>
        <v>1600000</v>
      </c>
      <c r="BL127" s="535">
        <f t="shared" si="15"/>
        <v>0</v>
      </c>
      <c r="BM127" s="543">
        <f t="shared" si="16"/>
        <v>1</v>
      </c>
      <c r="BN127" s="391"/>
    </row>
    <row r="128" spans="1:66" s="25" customFormat="1" x14ac:dyDescent="0.25">
      <c r="A128" s="490">
        <v>133</v>
      </c>
      <c r="B128" s="63" t="s">
        <v>210</v>
      </c>
      <c r="C128" s="490">
        <v>1177</v>
      </c>
      <c r="D128" s="63" t="s">
        <v>208</v>
      </c>
      <c r="E128" s="490">
        <v>2</v>
      </c>
      <c r="F128" s="559"/>
      <c r="G128" s="559"/>
      <c r="H128" s="559"/>
      <c r="I128" s="559"/>
      <c r="J128" s="559"/>
      <c r="K128" s="606"/>
      <c r="L128" s="192" t="s">
        <v>1635</v>
      </c>
      <c r="M128" s="192" t="s">
        <v>1119</v>
      </c>
      <c r="N128" s="192" t="s">
        <v>115</v>
      </c>
      <c r="O128" s="191" t="s">
        <v>1318</v>
      </c>
      <c r="P128" s="192" t="s">
        <v>1026</v>
      </c>
      <c r="Q128" s="428">
        <v>42367</v>
      </c>
      <c r="R128" s="428">
        <v>42367</v>
      </c>
      <c r="S128" s="192" t="s">
        <v>1446</v>
      </c>
      <c r="T128" s="191">
        <v>129</v>
      </c>
      <c r="U128" s="173" t="s">
        <v>798</v>
      </c>
      <c r="V128" s="192" t="s">
        <v>715</v>
      </c>
      <c r="W128" s="189">
        <v>93200589</v>
      </c>
      <c r="X128" s="191" t="s">
        <v>90</v>
      </c>
      <c r="Y128" s="191" t="s">
        <v>1423</v>
      </c>
      <c r="Z128" s="192"/>
      <c r="AA128" s="366">
        <v>700</v>
      </c>
      <c r="AB128" s="430">
        <v>42367</v>
      </c>
      <c r="AC128" s="366">
        <v>920</v>
      </c>
      <c r="AD128" s="391">
        <v>800000</v>
      </c>
      <c r="AE128" s="535"/>
      <c r="AF128" s="535"/>
      <c r="AG128" s="536">
        <v>800000</v>
      </c>
      <c r="AH128" s="535"/>
      <c r="AI128" s="535"/>
      <c r="AJ128" s="535"/>
      <c r="AK128" s="535"/>
      <c r="AL128" s="535"/>
      <c r="AM128" s="535"/>
      <c r="AN128" s="535"/>
      <c r="AO128" s="535"/>
      <c r="AP128" s="535"/>
      <c r="AQ128" s="535">
        <f t="shared" si="18"/>
        <v>800000</v>
      </c>
      <c r="AR128" s="535">
        <f t="shared" si="21"/>
        <v>0</v>
      </c>
      <c r="AS128" s="540">
        <f t="shared" si="20"/>
        <v>1</v>
      </c>
      <c r="AT128" s="192"/>
      <c r="AU128" s="366">
        <v>216</v>
      </c>
      <c r="AV128" s="401">
        <v>42388</v>
      </c>
      <c r="AW128" s="366">
        <v>202</v>
      </c>
      <c r="AX128" s="391">
        <f>+AR128</f>
        <v>0</v>
      </c>
      <c r="AY128" s="391"/>
      <c r="AZ128" s="391"/>
      <c r="BA128" s="391">
        <v>800000</v>
      </c>
      <c r="BB128" s="391"/>
      <c r="BC128" s="391"/>
      <c r="BD128" s="391"/>
      <c r="BE128" s="391"/>
      <c r="BF128" s="391"/>
      <c r="BG128" s="535"/>
      <c r="BH128" s="391"/>
      <c r="BI128" s="391"/>
      <c r="BJ128" s="391"/>
      <c r="BK128" s="535">
        <f t="shared" si="14"/>
        <v>800000</v>
      </c>
      <c r="BL128" s="535">
        <f t="shared" si="15"/>
        <v>-800000</v>
      </c>
      <c r="BM128" s="543" t="e">
        <f t="shared" si="16"/>
        <v>#DIV/0!</v>
      </c>
      <c r="BN128" s="391"/>
    </row>
    <row r="129" spans="1:66" s="25" customFormat="1" x14ac:dyDescent="0.25">
      <c r="A129" s="490">
        <v>133</v>
      </c>
      <c r="B129" s="63" t="s">
        <v>210</v>
      </c>
      <c r="C129" s="490">
        <v>1177</v>
      </c>
      <c r="D129" s="63" t="s">
        <v>208</v>
      </c>
      <c r="E129" s="490">
        <v>2</v>
      </c>
      <c r="F129" s="559"/>
      <c r="G129" s="559"/>
      <c r="H129" s="559"/>
      <c r="I129" s="559"/>
      <c r="J129" s="559"/>
      <c r="K129" s="606"/>
      <c r="L129" s="192" t="s">
        <v>1589</v>
      </c>
      <c r="M129" s="192" t="s">
        <v>1119</v>
      </c>
      <c r="N129" s="192" t="s">
        <v>115</v>
      </c>
      <c r="O129" s="192" t="s">
        <v>1095</v>
      </c>
      <c r="P129" s="192" t="s">
        <v>1026</v>
      </c>
      <c r="Q129" s="428">
        <v>42333</v>
      </c>
      <c r="R129" s="428">
        <v>42377</v>
      </c>
      <c r="S129" s="192" t="s">
        <v>1666</v>
      </c>
      <c r="T129" s="191">
        <v>127</v>
      </c>
      <c r="U129" s="173" t="s">
        <v>418</v>
      </c>
      <c r="V129" s="192" t="s">
        <v>1590</v>
      </c>
      <c r="W129" s="192" t="s">
        <v>1671</v>
      </c>
      <c r="X129" s="191" t="s">
        <v>90</v>
      </c>
      <c r="Y129" s="191" t="s">
        <v>870</v>
      </c>
      <c r="Z129" s="192"/>
      <c r="AA129" s="366">
        <v>659</v>
      </c>
      <c r="AB129" s="430">
        <v>42307</v>
      </c>
      <c r="AC129" s="366">
        <v>856</v>
      </c>
      <c r="AD129" s="391">
        <v>6800000</v>
      </c>
      <c r="AE129" s="535"/>
      <c r="AF129" s="535"/>
      <c r="AG129" s="536">
        <v>1360000</v>
      </c>
      <c r="AH129" s="535"/>
      <c r="AI129" s="535"/>
      <c r="AJ129" s="535"/>
      <c r="AK129" s="535"/>
      <c r="AL129" s="535"/>
      <c r="AM129" s="535"/>
      <c r="AN129" s="535"/>
      <c r="AO129" s="535"/>
      <c r="AP129" s="535"/>
      <c r="AQ129" s="535">
        <f>SUM(AE129:AP129)</f>
        <v>1360000</v>
      </c>
      <c r="AR129" s="535">
        <f>+AD129-AQ129</f>
        <v>5440000</v>
      </c>
      <c r="AS129" s="540">
        <f>+AQ129/AD129</f>
        <v>0.2</v>
      </c>
      <c r="AT129" s="192"/>
      <c r="AU129" s="366">
        <v>184</v>
      </c>
      <c r="AV129" s="401">
        <v>42388</v>
      </c>
      <c r="AW129" s="366">
        <v>176</v>
      </c>
      <c r="AX129" s="391">
        <v>6800000</v>
      </c>
      <c r="AY129" s="391"/>
      <c r="AZ129" s="391"/>
      <c r="BA129" s="391">
        <v>1360000</v>
      </c>
      <c r="BB129" s="391">
        <v>1360000</v>
      </c>
      <c r="BC129" s="391">
        <v>1360000</v>
      </c>
      <c r="BD129" s="391"/>
      <c r="BE129" s="391">
        <v>1360000</v>
      </c>
      <c r="BF129" s="391"/>
      <c r="BG129" s="535"/>
      <c r="BH129" s="391"/>
      <c r="BI129" s="391"/>
      <c r="BJ129" s="391"/>
      <c r="BK129" s="535">
        <f t="shared" si="14"/>
        <v>5440000</v>
      </c>
      <c r="BL129" s="535">
        <f t="shared" si="15"/>
        <v>1360000</v>
      </c>
      <c r="BM129" s="543">
        <f t="shared" si="16"/>
        <v>0.8</v>
      </c>
      <c r="BN129" s="391"/>
    </row>
    <row r="130" spans="1:66" s="25" customFormat="1" x14ac:dyDescent="0.25">
      <c r="A130" s="490">
        <v>134</v>
      </c>
      <c r="B130" s="63" t="s">
        <v>215</v>
      </c>
      <c r="C130" s="490">
        <v>1177</v>
      </c>
      <c r="D130" s="63" t="s">
        <v>208</v>
      </c>
      <c r="E130" s="490">
        <v>3</v>
      </c>
      <c r="F130" s="584" t="s">
        <v>45</v>
      </c>
      <c r="G130" s="584">
        <v>15</v>
      </c>
      <c r="H130" s="584" t="s">
        <v>217</v>
      </c>
      <c r="I130" s="584" t="s">
        <v>218</v>
      </c>
      <c r="J130" s="584"/>
      <c r="K130" s="654"/>
      <c r="L130" s="192" t="s">
        <v>1417</v>
      </c>
      <c r="M130" s="192" t="s">
        <v>1119</v>
      </c>
      <c r="N130" s="192" t="s">
        <v>115</v>
      </c>
      <c r="O130" s="191" t="s">
        <v>329</v>
      </c>
      <c r="P130" s="192" t="s">
        <v>641</v>
      </c>
      <c r="Q130" s="428">
        <v>42138</v>
      </c>
      <c r="R130" s="428">
        <v>42138</v>
      </c>
      <c r="S130" s="191" t="s">
        <v>1308</v>
      </c>
      <c r="T130" s="191">
        <v>176</v>
      </c>
      <c r="U130" s="173" t="s">
        <v>1287</v>
      </c>
      <c r="V130" s="192" t="s">
        <v>1038</v>
      </c>
      <c r="W130" s="189">
        <v>19055241</v>
      </c>
      <c r="X130" s="191" t="s">
        <v>1416</v>
      </c>
      <c r="Y130" s="191" t="s">
        <v>884</v>
      </c>
      <c r="Z130" s="192"/>
      <c r="AA130" s="366">
        <v>489</v>
      </c>
      <c r="AB130" s="430">
        <v>42137</v>
      </c>
      <c r="AC130" s="366">
        <v>557</v>
      </c>
      <c r="AD130" s="391">
        <f>46000000-449</f>
        <v>45999551</v>
      </c>
      <c r="AE130" s="535"/>
      <c r="AF130" s="535"/>
      <c r="AG130" s="535"/>
      <c r="AH130" s="535"/>
      <c r="AI130" s="535"/>
      <c r="AJ130" s="535">
        <v>18400000</v>
      </c>
      <c r="AK130" s="535"/>
      <c r="AL130" s="535">
        <v>13799596</v>
      </c>
      <c r="AM130" s="535"/>
      <c r="AN130" s="535"/>
      <c r="AO130" s="535"/>
      <c r="AP130" s="535">
        <v>13799955</v>
      </c>
      <c r="AQ130" s="535">
        <f t="shared" ref="AQ130:AQ167" si="22">SUM(AE130:AP130)</f>
        <v>45999551</v>
      </c>
      <c r="AR130" s="535">
        <f t="shared" si="21"/>
        <v>0</v>
      </c>
      <c r="AS130" s="540">
        <f t="shared" si="20"/>
        <v>1</v>
      </c>
      <c r="AT130" s="192"/>
      <c r="AU130" s="366"/>
      <c r="AV130" s="366"/>
      <c r="AW130" s="366"/>
      <c r="AX130" s="391"/>
      <c r="AY130" s="391"/>
      <c r="AZ130" s="391"/>
      <c r="BA130" s="391"/>
      <c r="BB130" s="391"/>
      <c r="BC130" s="391"/>
      <c r="BD130" s="391"/>
      <c r="BE130" s="391"/>
      <c r="BF130" s="391"/>
      <c r="BG130" s="535"/>
      <c r="BH130" s="391"/>
      <c r="BI130" s="391"/>
      <c r="BJ130" s="391"/>
      <c r="BK130" s="535">
        <f t="shared" si="14"/>
        <v>0</v>
      </c>
      <c r="BL130" s="535">
        <f t="shared" si="15"/>
        <v>0</v>
      </c>
      <c r="BM130" s="543" t="e">
        <f t="shared" si="16"/>
        <v>#DIV/0!</v>
      </c>
      <c r="BN130" s="391"/>
    </row>
    <row r="131" spans="1:66" s="25" customFormat="1" x14ac:dyDescent="0.25">
      <c r="A131" s="490">
        <v>134</v>
      </c>
      <c r="B131" s="63" t="s">
        <v>215</v>
      </c>
      <c r="C131" s="490">
        <v>1177</v>
      </c>
      <c r="D131" s="63" t="s">
        <v>208</v>
      </c>
      <c r="E131" s="490">
        <v>3</v>
      </c>
      <c r="F131" s="585"/>
      <c r="G131" s="585"/>
      <c r="H131" s="585"/>
      <c r="I131" s="585"/>
      <c r="J131" s="585"/>
      <c r="K131" s="655"/>
      <c r="L131" s="192" t="s">
        <v>1415</v>
      </c>
      <c r="M131" s="192" t="s">
        <v>1119</v>
      </c>
      <c r="N131" s="192" t="s">
        <v>115</v>
      </c>
      <c r="O131" s="191" t="s">
        <v>1095</v>
      </c>
      <c r="P131" s="192" t="s">
        <v>1026</v>
      </c>
      <c r="Q131" s="428">
        <v>42138</v>
      </c>
      <c r="R131" s="428">
        <v>42138</v>
      </c>
      <c r="S131" s="191" t="s">
        <v>1308</v>
      </c>
      <c r="T131" s="191">
        <v>169</v>
      </c>
      <c r="U131" s="173" t="s">
        <v>1287</v>
      </c>
      <c r="V131" s="192" t="s">
        <v>715</v>
      </c>
      <c r="W131" s="189">
        <v>93200589</v>
      </c>
      <c r="X131" s="191" t="s">
        <v>90</v>
      </c>
      <c r="Y131" s="191" t="s">
        <v>884</v>
      </c>
      <c r="Z131" s="192"/>
      <c r="AA131" s="366">
        <v>490</v>
      </c>
      <c r="AB131" s="430">
        <v>42137</v>
      </c>
      <c r="AC131" s="366">
        <v>556</v>
      </c>
      <c r="AD131" s="391">
        <v>3975000</v>
      </c>
      <c r="AE131" s="535"/>
      <c r="AF131" s="535"/>
      <c r="AG131" s="535"/>
      <c r="AH131" s="535"/>
      <c r="AI131" s="535"/>
      <c r="AJ131" s="535"/>
      <c r="AK131" s="535"/>
      <c r="AL131" s="535"/>
      <c r="AM131" s="535">
        <v>1987500</v>
      </c>
      <c r="AN131" s="535"/>
      <c r="AO131" s="535"/>
      <c r="AP131" s="535">
        <v>1987500</v>
      </c>
      <c r="AQ131" s="535">
        <f t="shared" si="22"/>
        <v>3975000</v>
      </c>
      <c r="AR131" s="535">
        <f t="shared" si="21"/>
        <v>0</v>
      </c>
      <c r="AS131" s="540">
        <f t="shared" si="20"/>
        <v>1</v>
      </c>
      <c r="AT131" s="192"/>
      <c r="AU131" s="366"/>
      <c r="AV131" s="366"/>
      <c r="AW131" s="366"/>
      <c r="AX131" s="391"/>
      <c r="AY131" s="391"/>
      <c r="AZ131" s="391"/>
      <c r="BA131" s="391"/>
      <c r="BB131" s="391"/>
      <c r="BC131" s="391"/>
      <c r="BD131" s="391"/>
      <c r="BE131" s="391"/>
      <c r="BF131" s="391"/>
      <c r="BG131" s="535"/>
      <c r="BH131" s="391"/>
      <c r="BI131" s="391"/>
      <c r="BJ131" s="391"/>
      <c r="BK131" s="535">
        <f t="shared" si="14"/>
        <v>0</v>
      </c>
      <c r="BL131" s="535">
        <f t="shared" si="15"/>
        <v>0</v>
      </c>
      <c r="BM131" s="543" t="e">
        <f t="shared" si="16"/>
        <v>#DIV/0!</v>
      </c>
      <c r="BN131" s="391"/>
    </row>
    <row r="132" spans="1:66" s="25" customFormat="1" x14ac:dyDescent="0.25">
      <c r="A132" s="490">
        <v>134</v>
      </c>
      <c r="B132" s="63" t="s">
        <v>215</v>
      </c>
      <c r="C132" s="490">
        <v>1177</v>
      </c>
      <c r="D132" s="63" t="s">
        <v>208</v>
      </c>
      <c r="E132" s="490">
        <v>3</v>
      </c>
      <c r="F132" s="585"/>
      <c r="G132" s="585"/>
      <c r="H132" s="585"/>
      <c r="I132" s="585"/>
      <c r="J132" s="585"/>
      <c r="K132" s="655"/>
      <c r="L132" s="192" t="s">
        <v>1560</v>
      </c>
      <c r="M132" s="192" t="s">
        <v>1119</v>
      </c>
      <c r="N132" s="192" t="s">
        <v>115</v>
      </c>
      <c r="O132" s="191" t="s">
        <v>1345</v>
      </c>
      <c r="P132" s="192" t="s">
        <v>1558</v>
      </c>
      <c r="Q132" s="428">
        <v>42262</v>
      </c>
      <c r="R132" s="428">
        <v>42333</v>
      </c>
      <c r="S132" s="191" t="s">
        <v>1308</v>
      </c>
      <c r="T132" s="191">
        <v>115</v>
      </c>
      <c r="U132" s="173" t="s">
        <v>1332</v>
      </c>
      <c r="V132" s="192" t="s">
        <v>1561</v>
      </c>
      <c r="W132" s="189" t="s">
        <v>1576</v>
      </c>
      <c r="X132" s="191" t="s">
        <v>1577</v>
      </c>
      <c r="Y132" s="191" t="s">
        <v>884</v>
      </c>
      <c r="Z132" s="192"/>
      <c r="AA132" s="366">
        <v>627</v>
      </c>
      <c r="AB132" s="430">
        <v>42219</v>
      </c>
      <c r="AC132" s="366">
        <v>787</v>
      </c>
      <c r="AD132" s="391">
        <v>70000000</v>
      </c>
      <c r="AE132" s="535"/>
      <c r="AF132" s="535"/>
      <c r="AG132" s="535"/>
      <c r="AH132" s="535"/>
      <c r="AI132" s="535"/>
      <c r="AJ132" s="535"/>
      <c r="AK132" s="535"/>
      <c r="AL132" s="535"/>
      <c r="AM132" s="535"/>
      <c r="AN132" s="535"/>
      <c r="AO132" s="535"/>
      <c r="AP132" s="535"/>
      <c r="AQ132" s="535">
        <f t="shared" si="22"/>
        <v>0</v>
      </c>
      <c r="AR132" s="535">
        <f t="shared" si="21"/>
        <v>70000000</v>
      </c>
      <c r="AS132" s="540">
        <f t="shared" si="20"/>
        <v>0</v>
      </c>
      <c r="AT132" s="192"/>
      <c r="AU132" s="366">
        <v>166</v>
      </c>
      <c r="AV132" s="401">
        <v>42388</v>
      </c>
      <c r="AW132" s="366">
        <v>159</v>
      </c>
      <c r="AX132" s="391">
        <f>+AR132</f>
        <v>70000000</v>
      </c>
      <c r="AY132" s="391"/>
      <c r="AZ132" s="391"/>
      <c r="BA132" s="391"/>
      <c r="BB132" s="391"/>
      <c r="BC132" s="391"/>
      <c r="BD132" s="391"/>
      <c r="BE132" s="391"/>
      <c r="BF132" s="391"/>
      <c r="BG132" s="535"/>
      <c r="BH132" s="391"/>
      <c r="BI132" s="391"/>
      <c r="BJ132" s="391">
        <v>69967822</v>
      </c>
      <c r="BK132" s="535">
        <f t="shared" ref="BK132:BK167" si="23">SUM(AY132:BJ132)</f>
        <v>69967822</v>
      </c>
      <c r="BL132" s="535">
        <f t="shared" ref="BL132:BL167" si="24">+AX132-BK132</f>
        <v>32178</v>
      </c>
      <c r="BM132" s="543">
        <f t="shared" ref="BM132:BM167" si="25">+BK132/AX132</f>
        <v>0.99954031428571433</v>
      </c>
      <c r="BN132" s="391"/>
    </row>
    <row r="133" spans="1:66" s="25" customFormat="1" x14ac:dyDescent="0.25">
      <c r="A133" s="490">
        <v>134</v>
      </c>
      <c r="B133" s="63" t="s">
        <v>215</v>
      </c>
      <c r="C133" s="490">
        <v>1177</v>
      </c>
      <c r="D133" s="63" t="s">
        <v>208</v>
      </c>
      <c r="E133" s="490">
        <v>3</v>
      </c>
      <c r="F133" s="585"/>
      <c r="G133" s="585"/>
      <c r="H133" s="585"/>
      <c r="I133" s="585"/>
      <c r="J133" s="585"/>
      <c r="K133" s="655"/>
      <c r="L133" s="192" t="s">
        <v>1587</v>
      </c>
      <c r="M133" s="192" t="s">
        <v>1119</v>
      </c>
      <c r="N133" s="192" t="s">
        <v>115</v>
      </c>
      <c r="O133" s="192" t="s">
        <v>1095</v>
      </c>
      <c r="P133" s="192" t="s">
        <v>641</v>
      </c>
      <c r="Q133" s="428">
        <v>42331</v>
      </c>
      <c r="R133" s="428">
        <v>42340</v>
      </c>
      <c r="S133" s="191" t="s">
        <v>1308</v>
      </c>
      <c r="T133" s="191">
        <v>128</v>
      </c>
      <c r="U133" s="173" t="s">
        <v>1287</v>
      </c>
      <c r="V133" s="192" t="s">
        <v>1588</v>
      </c>
      <c r="W133" s="192" t="s">
        <v>1687</v>
      </c>
      <c r="X133" s="192" t="s">
        <v>1688</v>
      </c>
      <c r="Y133" s="191" t="s">
        <v>884</v>
      </c>
      <c r="Z133" s="192"/>
      <c r="AA133" s="366">
        <v>665</v>
      </c>
      <c r="AB133" s="430">
        <v>42313</v>
      </c>
      <c r="AC133" s="366">
        <v>855</v>
      </c>
      <c r="AD133" s="391">
        <v>18000000</v>
      </c>
      <c r="AE133" s="535"/>
      <c r="AF133" s="535"/>
      <c r="AG133" s="536">
        <v>7200000</v>
      </c>
      <c r="AH133" s="535"/>
      <c r="AI133" s="535"/>
      <c r="AJ133" s="535"/>
      <c r="AK133" s="535"/>
      <c r="AL133" s="535"/>
      <c r="AM133" s="535"/>
      <c r="AN133" s="535"/>
      <c r="AO133" s="535"/>
      <c r="AP133" s="535"/>
      <c r="AQ133" s="535">
        <f t="shared" si="22"/>
        <v>7200000</v>
      </c>
      <c r="AR133" s="535">
        <f t="shared" si="21"/>
        <v>10800000</v>
      </c>
      <c r="AS133" s="540">
        <f t="shared" si="20"/>
        <v>0.4</v>
      </c>
      <c r="AT133" s="192"/>
      <c r="AU133" s="366">
        <v>183</v>
      </c>
      <c r="AV133" s="401">
        <v>42388</v>
      </c>
      <c r="AW133" s="366" t="s">
        <v>1716</v>
      </c>
      <c r="AX133" s="391">
        <f>18000000+2360051</f>
        <v>20360051</v>
      </c>
      <c r="AY133" s="391"/>
      <c r="AZ133" s="391">
        <f>7200000+3600000</f>
        <v>10800000</v>
      </c>
      <c r="BA133" s="391">
        <v>7200000</v>
      </c>
      <c r="BB133" s="391"/>
      <c r="BC133" s="391"/>
      <c r="BD133" s="391"/>
      <c r="BE133" s="391">
        <v>2360051</v>
      </c>
      <c r="BF133" s="391"/>
      <c r="BG133" s="535"/>
      <c r="BH133" s="391"/>
      <c r="BI133" s="391"/>
      <c r="BJ133" s="391">
        <v>1360000</v>
      </c>
      <c r="BK133" s="535">
        <f t="shared" si="23"/>
        <v>21720051</v>
      </c>
      <c r="BL133" s="535">
        <f t="shared" si="24"/>
        <v>-1360000</v>
      </c>
      <c r="BM133" s="543">
        <f t="shared" si="25"/>
        <v>1.0667974751143796</v>
      </c>
      <c r="BN133" s="391"/>
    </row>
    <row r="134" spans="1:66" s="25" customFormat="1" x14ac:dyDescent="0.25">
      <c r="A134" s="490">
        <v>134</v>
      </c>
      <c r="B134" s="463" t="s">
        <v>215</v>
      </c>
      <c r="C134" s="464">
        <v>1177</v>
      </c>
      <c r="D134" s="463" t="s">
        <v>208</v>
      </c>
      <c r="E134" s="464">
        <v>3</v>
      </c>
      <c r="F134" s="657"/>
      <c r="G134" s="657"/>
      <c r="H134" s="657"/>
      <c r="I134" s="657"/>
      <c r="J134" s="657"/>
      <c r="K134" s="658"/>
      <c r="L134" s="431" t="s">
        <v>1634</v>
      </c>
      <c r="M134" s="192" t="s">
        <v>1119</v>
      </c>
      <c r="N134" s="192" t="s">
        <v>115</v>
      </c>
      <c r="O134" s="192" t="s">
        <v>1095</v>
      </c>
      <c r="P134" s="192" t="s">
        <v>641</v>
      </c>
      <c r="Q134" s="428">
        <v>42368</v>
      </c>
      <c r="R134" s="428">
        <v>42368</v>
      </c>
      <c r="S134" s="192" t="s">
        <v>1446</v>
      </c>
      <c r="T134" s="191">
        <v>128</v>
      </c>
      <c r="U134" s="173" t="s">
        <v>1287</v>
      </c>
      <c r="V134" s="192" t="s">
        <v>1588</v>
      </c>
      <c r="W134" s="192" t="s">
        <v>1687</v>
      </c>
      <c r="X134" s="192"/>
      <c r="Y134" s="191" t="s">
        <v>884</v>
      </c>
      <c r="Z134" s="192"/>
      <c r="AA134" s="366">
        <v>701</v>
      </c>
      <c r="AB134" s="430">
        <v>42367</v>
      </c>
      <c r="AC134" s="366">
        <v>921</v>
      </c>
      <c r="AD134" s="391">
        <v>9000000</v>
      </c>
      <c r="AE134" s="535"/>
      <c r="AF134" s="535"/>
      <c r="AG134" s="535"/>
      <c r="AH134" s="535"/>
      <c r="AI134" s="535"/>
      <c r="AJ134" s="535"/>
      <c r="AK134" s="535"/>
      <c r="AL134" s="535"/>
      <c r="AM134" s="535"/>
      <c r="AN134" s="535"/>
      <c r="AO134" s="535"/>
      <c r="AP134" s="535"/>
      <c r="AQ134" s="535"/>
      <c r="AR134" s="535">
        <f t="shared" si="21"/>
        <v>9000000</v>
      </c>
      <c r="AS134" s="540"/>
      <c r="AT134" s="192"/>
      <c r="AU134" s="366">
        <v>241</v>
      </c>
      <c r="AV134" s="366"/>
      <c r="AW134" s="366">
        <v>260</v>
      </c>
      <c r="AX134" s="391">
        <v>6639949</v>
      </c>
      <c r="AY134" s="391"/>
      <c r="AZ134" s="391"/>
      <c r="BA134" s="391">
        <v>6300000</v>
      </c>
      <c r="BB134" s="391"/>
      <c r="BC134" s="391"/>
      <c r="BD134" s="391"/>
      <c r="BE134" s="391">
        <v>339949</v>
      </c>
      <c r="BF134" s="391"/>
      <c r="BG134" s="535"/>
      <c r="BH134" s="391"/>
      <c r="BI134" s="391"/>
      <c r="BJ134" s="391"/>
      <c r="BK134" s="535">
        <f t="shared" si="23"/>
        <v>6639949</v>
      </c>
      <c r="BL134" s="535">
        <f t="shared" si="24"/>
        <v>0</v>
      </c>
      <c r="BM134" s="543">
        <f t="shared" si="25"/>
        <v>1</v>
      </c>
      <c r="BN134" s="391"/>
    </row>
    <row r="135" spans="1:66" s="25" customFormat="1" x14ac:dyDescent="0.25">
      <c r="A135" s="490">
        <v>135</v>
      </c>
      <c r="B135" s="462" t="s">
        <v>220</v>
      </c>
      <c r="C135" s="492">
        <v>1178</v>
      </c>
      <c r="D135" s="462" t="s">
        <v>222</v>
      </c>
      <c r="E135" s="492">
        <v>1</v>
      </c>
      <c r="F135" s="590" t="s">
        <v>53</v>
      </c>
      <c r="G135" s="590">
        <v>400</v>
      </c>
      <c r="H135" s="590" t="s">
        <v>61</v>
      </c>
      <c r="I135" s="590" t="s">
        <v>223</v>
      </c>
      <c r="J135" s="590"/>
      <c r="K135" s="656"/>
      <c r="L135" s="192" t="s">
        <v>1591</v>
      </c>
      <c r="M135" s="192" t="s">
        <v>1119</v>
      </c>
      <c r="N135" s="192" t="s">
        <v>115</v>
      </c>
      <c r="O135" s="192" t="s">
        <v>1667</v>
      </c>
      <c r="P135" s="192" t="s">
        <v>1120</v>
      </c>
      <c r="Q135" s="428">
        <v>42319</v>
      </c>
      <c r="R135" s="428">
        <v>42429</v>
      </c>
      <c r="S135" s="192" t="s">
        <v>724</v>
      </c>
      <c r="T135" s="192">
        <v>122</v>
      </c>
      <c r="U135" s="192" t="s">
        <v>1287</v>
      </c>
      <c r="V135" s="192" t="s">
        <v>547</v>
      </c>
      <c r="W135" s="191">
        <v>830059289</v>
      </c>
      <c r="X135" s="191">
        <v>500</v>
      </c>
      <c r="Y135" s="192" t="s">
        <v>1669</v>
      </c>
      <c r="Z135" s="192"/>
      <c r="AA135" s="366">
        <v>640</v>
      </c>
      <c r="AB135" s="173"/>
      <c r="AC135" s="366">
        <v>841</v>
      </c>
      <c r="AD135" s="391">
        <v>43157746</v>
      </c>
      <c r="AE135" s="535"/>
      <c r="AF135" s="535"/>
      <c r="AG135" s="535"/>
      <c r="AH135" s="535"/>
      <c r="AI135" s="535"/>
      <c r="AJ135" s="535"/>
      <c r="AK135" s="535"/>
      <c r="AL135" s="535"/>
      <c r="AM135" s="535"/>
      <c r="AN135" s="535"/>
      <c r="AO135" s="535"/>
      <c r="AP135" s="535"/>
      <c r="AQ135" s="535">
        <f t="shared" si="22"/>
        <v>0</v>
      </c>
      <c r="AR135" s="535">
        <f t="shared" si="21"/>
        <v>43157746</v>
      </c>
      <c r="AS135" s="540">
        <f t="shared" si="20"/>
        <v>0</v>
      </c>
      <c r="AT135" s="192"/>
      <c r="AU135" s="366">
        <v>176</v>
      </c>
      <c r="AV135" s="401">
        <v>42388</v>
      </c>
      <c r="AW135" s="366">
        <v>168</v>
      </c>
      <c r="AX135" s="391">
        <f>+AR135</f>
        <v>43157746</v>
      </c>
      <c r="AY135" s="391"/>
      <c r="AZ135" s="391"/>
      <c r="BA135" s="391"/>
      <c r="BB135" s="391"/>
      <c r="BC135" s="391"/>
      <c r="BD135" s="391">
        <f>5400000+5400000</f>
        <v>10800000</v>
      </c>
      <c r="BE135" s="391">
        <v>20857869</v>
      </c>
      <c r="BF135" s="391"/>
      <c r="BG135" s="535">
        <v>11499877</v>
      </c>
      <c r="BH135" s="391"/>
      <c r="BI135" s="391"/>
      <c r="BJ135" s="391"/>
      <c r="BK135" s="535">
        <f t="shared" si="23"/>
        <v>43157746</v>
      </c>
      <c r="BL135" s="535">
        <f t="shared" si="24"/>
        <v>0</v>
      </c>
      <c r="BM135" s="543">
        <f t="shared" si="25"/>
        <v>1</v>
      </c>
      <c r="BN135" s="391"/>
    </row>
    <row r="136" spans="1:66" s="25" customFormat="1" x14ac:dyDescent="0.25">
      <c r="A136" s="490">
        <v>135</v>
      </c>
      <c r="B136" s="63" t="s">
        <v>220</v>
      </c>
      <c r="C136" s="490">
        <v>1178</v>
      </c>
      <c r="D136" s="63" t="s">
        <v>222</v>
      </c>
      <c r="E136" s="490">
        <v>1</v>
      </c>
      <c r="F136" s="559"/>
      <c r="G136" s="559"/>
      <c r="H136" s="559"/>
      <c r="I136" s="559"/>
      <c r="J136" s="559"/>
      <c r="K136" s="606"/>
      <c r="L136" s="192" t="s">
        <v>1636</v>
      </c>
      <c r="M136" s="192" t="s">
        <v>1119</v>
      </c>
      <c r="N136" s="192" t="s">
        <v>115</v>
      </c>
      <c r="O136" s="192" t="s">
        <v>1667</v>
      </c>
      <c r="P136" s="192" t="s">
        <v>1120</v>
      </c>
      <c r="Q136" s="428">
        <v>42353</v>
      </c>
      <c r="R136" s="428">
        <v>42375</v>
      </c>
      <c r="S136" s="192" t="s">
        <v>1054</v>
      </c>
      <c r="T136" s="192">
        <v>138</v>
      </c>
      <c r="U136" s="192" t="s">
        <v>1287</v>
      </c>
      <c r="V136" s="192" t="s">
        <v>1638</v>
      </c>
      <c r="W136" s="191" t="s">
        <v>1668</v>
      </c>
      <c r="X136" s="191">
        <v>120</v>
      </c>
      <c r="Y136" s="192" t="s">
        <v>1669</v>
      </c>
      <c r="Z136" s="192"/>
      <c r="AA136" s="366">
        <v>644</v>
      </c>
      <c r="AB136" s="173"/>
      <c r="AC136" s="366">
        <v>897</v>
      </c>
      <c r="AD136" s="391">
        <v>48800000</v>
      </c>
      <c r="AE136" s="535"/>
      <c r="AF136" s="535"/>
      <c r="AG136" s="535"/>
      <c r="AH136" s="535"/>
      <c r="AI136" s="535"/>
      <c r="AJ136" s="535"/>
      <c r="AK136" s="535"/>
      <c r="AL136" s="535"/>
      <c r="AM136" s="535"/>
      <c r="AN136" s="535"/>
      <c r="AO136" s="535"/>
      <c r="AP136" s="535"/>
      <c r="AQ136" s="535">
        <f t="shared" si="22"/>
        <v>0</v>
      </c>
      <c r="AR136" s="535">
        <f t="shared" si="21"/>
        <v>48800000</v>
      </c>
      <c r="AS136" s="540">
        <f t="shared" si="20"/>
        <v>0</v>
      </c>
      <c r="AT136" s="192"/>
      <c r="AU136" s="366">
        <v>196</v>
      </c>
      <c r="AV136" s="401">
        <v>42388</v>
      </c>
      <c r="AW136" s="366">
        <v>185</v>
      </c>
      <c r="AX136" s="391">
        <v>48800000</v>
      </c>
      <c r="AY136" s="391"/>
      <c r="AZ136" s="391"/>
      <c r="BA136" s="391"/>
      <c r="BB136" s="391">
        <f>13375785+19305000</f>
        <v>32680785</v>
      </c>
      <c r="BC136" s="391"/>
      <c r="BD136" s="391">
        <v>2940000</v>
      </c>
      <c r="BE136" s="391"/>
      <c r="BF136" s="391"/>
      <c r="BG136" s="535"/>
      <c r="BH136" s="391"/>
      <c r="BI136" s="391"/>
      <c r="BJ136" s="391"/>
      <c r="BK136" s="535">
        <f t="shared" si="23"/>
        <v>35620785</v>
      </c>
      <c r="BL136" s="535">
        <f t="shared" si="24"/>
        <v>13179215</v>
      </c>
      <c r="BM136" s="543">
        <f t="shared" si="25"/>
        <v>0.72993411885245907</v>
      </c>
      <c r="BN136" s="391"/>
    </row>
    <row r="137" spans="1:66" s="25" customFormat="1" x14ac:dyDescent="0.25">
      <c r="A137" s="490">
        <v>135</v>
      </c>
      <c r="B137" s="63" t="s">
        <v>220</v>
      </c>
      <c r="C137" s="490">
        <v>1178</v>
      </c>
      <c r="D137" s="63" t="s">
        <v>222</v>
      </c>
      <c r="E137" s="490">
        <v>1</v>
      </c>
      <c r="F137" s="559"/>
      <c r="G137" s="559"/>
      <c r="H137" s="559"/>
      <c r="I137" s="559"/>
      <c r="J137" s="559"/>
      <c r="K137" s="606"/>
      <c r="L137" s="192" t="s">
        <v>1637</v>
      </c>
      <c r="M137" s="192" t="s">
        <v>1119</v>
      </c>
      <c r="N137" s="192" t="s">
        <v>115</v>
      </c>
      <c r="O137" s="192" t="s">
        <v>1314</v>
      </c>
      <c r="P137" s="192" t="s">
        <v>1026</v>
      </c>
      <c r="Q137" s="428">
        <v>42354</v>
      </c>
      <c r="R137" s="428">
        <v>42375</v>
      </c>
      <c r="S137" s="192" t="s">
        <v>1054</v>
      </c>
      <c r="T137" s="192">
        <v>141</v>
      </c>
      <c r="U137" s="192" t="s">
        <v>798</v>
      </c>
      <c r="V137" s="192" t="s">
        <v>1639</v>
      </c>
      <c r="W137" s="191">
        <v>80037788</v>
      </c>
      <c r="X137" s="191" t="s">
        <v>90</v>
      </c>
      <c r="Y137" s="192" t="s">
        <v>1669</v>
      </c>
      <c r="Z137" s="192"/>
      <c r="AA137" s="366">
        <v>681</v>
      </c>
      <c r="AB137" s="173"/>
      <c r="AC137" s="366">
        <v>900</v>
      </c>
      <c r="AD137" s="391">
        <v>4000000</v>
      </c>
      <c r="AE137" s="535"/>
      <c r="AF137" s="535"/>
      <c r="AG137" s="535"/>
      <c r="AH137" s="535"/>
      <c r="AI137" s="535"/>
      <c r="AJ137" s="535"/>
      <c r="AK137" s="535"/>
      <c r="AL137" s="535"/>
      <c r="AM137" s="535"/>
      <c r="AN137" s="535"/>
      <c r="AO137" s="535"/>
      <c r="AP137" s="535"/>
      <c r="AQ137" s="535">
        <f t="shared" si="22"/>
        <v>0</v>
      </c>
      <c r="AR137" s="535">
        <f t="shared" si="21"/>
        <v>4000000</v>
      </c>
      <c r="AS137" s="540">
        <f t="shared" si="20"/>
        <v>0</v>
      </c>
      <c r="AT137" s="192"/>
      <c r="AU137" s="366">
        <v>197</v>
      </c>
      <c r="AV137" s="401">
        <v>42388</v>
      </c>
      <c r="AW137" s="366">
        <v>186</v>
      </c>
      <c r="AX137" s="391">
        <f>+AR137</f>
        <v>4000000</v>
      </c>
      <c r="AY137" s="391"/>
      <c r="AZ137" s="391"/>
      <c r="BA137" s="391"/>
      <c r="BB137" s="391"/>
      <c r="BC137" s="391"/>
      <c r="BD137" s="391">
        <f>1000000+1000000</f>
        <v>2000000</v>
      </c>
      <c r="BE137" s="391">
        <v>1000000</v>
      </c>
      <c r="BF137" s="391"/>
      <c r="BG137" s="535"/>
      <c r="BH137" s="391"/>
      <c r="BI137" s="391"/>
      <c r="BJ137" s="391"/>
      <c r="BK137" s="535">
        <f t="shared" si="23"/>
        <v>3000000</v>
      </c>
      <c r="BL137" s="535">
        <f t="shared" si="24"/>
        <v>1000000</v>
      </c>
      <c r="BM137" s="543">
        <f t="shared" si="25"/>
        <v>0.75</v>
      </c>
      <c r="BN137" s="391"/>
    </row>
    <row r="138" spans="1:66" s="25" customFormat="1" x14ac:dyDescent="0.25">
      <c r="A138" s="490">
        <v>136</v>
      </c>
      <c r="B138" s="63" t="s">
        <v>226</v>
      </c>
      <c r="C138" s="490">
        <v>1167</v>
      </c>
      <c r="D138" s="63" t="s">
        <v>228</v>
      </c>
      <c r="E138" s="490">
        <v>1</v>
      </c>
      <c r="F138" s="584" t="s">
        <v>53</v>
      </c>
      <c r="G138" s="584">
        <v>800</v>
      </c>
      <c r="H138" s="584" t="s">
        <v>61</v>
      </c>
      <c r="I138" s="584" t="s">
        <v>229</v>
      </c>
      <c r="J138" s="584"/>
      <c r="K138" s="654"/>
      <c r="L138" s="192" t="s">
        <v>1414</v>
      </c>
      <c r="M138" s="192" t="s">
        <v>1119</v>
      </c>
      <c r="N138" s="192" t="s">
        <v>115</v>
      </c>
      <c r="O138" s="192" t="s">
        <v>793</v>
      </c>
      <c r="P138" s="431" t="s">
        <v>1108</v>
      </c>
      <c r="Q138" s="455">
        <v>42157</v>
      </c>
      <c r="R138" s="428">
        <v>42248</v>
      </c>
      <c r="S138" s="192" t="s">
        <v>1054</v>
      </c>
      <c r="T138" s="192">
        <v>58</v>
      </c>
      <c r="U138" s="192" t="s">
        <v>1287</v>
      </c>
      <c r="V138" s="431" t="s">
        <v>415</v>
      </c>
      <c r="W138" s="192">
        <v>900320309</v>
      </c>
      <c r="X138" s="192">
        <v>270</v>
      </c>
      <c r="Y138" s="192" t="s">
        <v>884</v>
      </c>
      <c r="Z138" s="192"/>
      <c r="AA138" s="458">
        <v>496</v>
      </c>
      <c r="AB138" s="430">
        <v>42138</v>
      </c>
      <c r="AC138" s="459">
        <v>583</v>
      </c>
      <c r="AD138" s="534">
        <v>64500000</v>
      </c>
      <c r="AE138" s="535"/>
      <c r="AF138" s="535"/>
      <c r="AG138" s="535"/>
      <c r="AH138" s="535"/>
      <c r="AI138" s="535"/>
      <c r="AJ138" s="535"/>
      <c r="AK138" s="535"/>
      <c r="AL138" s="535"/>
      <c r="AM138" s="535"/>
      <c r="AN138" s="535"/>
      <c r="AO138" s="535">
        <v>9174000</v>
      </c>
      <c r="AP138" s="535">
        <f>14132000+16912800</f>
        <v>31044800</v>
      </c>
      <c r="AQ138" s="535">
        <f t="shared" si="22"/>
        <v>40218800</v>
      </c>
      <c r="AR138" s="535">
        <f t="shared" si="21"/>
        <v>24281200</v>
      </c>
      <c r="AS138" s="540">
        <f t="shared" si="20"/>
        <v>0.62354728682170546</v>
      </c>
      <c r="AT138" s="192"/>
      <c r="AU138" s="366">
        <v>66</v>
      </c>
      <c r="AV138" s="366"/>
      <c r="AW138" s="366">
        <v>252</v>
      </c>
      <c r="AX138" s="391">
        <v>24281200</v>
      </c>
      <c r="AY138" s="391"/>
      <c r="AZ138" s="391"/>
      <c r="BA138" s="391">
        <v>20669000</v>
      </c>
      <c r="BB138" s="391"/>
      <c r="BC138" s="391"/>
      <c r="BD138" s="391"/>
      <c r="BE138" s="391"/>
      <c r="BF138" s="391"/>
      <c r="BG138" s="535"/>
      <c r="BH138" s="391"/>
      <c r="BI138" s="391"/>
      <c r="BJ138" s="391"/>
      <c r="BK138" s="535">
        <f t="shared" si="23"/>
        <v>20669000</v>
      </c>
      <c r="BL138" s="535">
        <f t="shared" si="24"/>
        <v>3612200</v>
      </c>
      <c r="BM138" s="543">
        <f t="shared" si="25"/>
        <v>0.85123470009719449</v>
      </c>
      <c r="BN138" s="391"/>
    </row>
    <row r="139" spans="1:66" s="25" customFormat="1" x14ac:dyDescent="0.25">
      <c r="A139" s="490">
        <v>136</v>
      </c>
      <c r="B139" s="63" t="s">
        <v>226</v>
      </c>
      <c r="C139" s="490">
        <v>1167</v>
      </c>
      <c r="D139" s="63" t="s">
        <v>228</v>
      </c>
      <c r="E139" s="490">
        <v>1</v>
      </c>
      <c r="F139" s="585"/>
      <c r="G139" s="585"/>
      <c r="H139" s="585"/>
      <c r="I139" s="585"/>
      <c r="J139" s="585"/>
      <c r="K139" s="655"/>
      <c r="L139" s="192" t="s">
        <v>1542</v>
      </c>
      <c r="M139" s="192" t="s">
        <v>1119</v>
      </c>
      <c r="N139" s="192" t="s">
        <v>115</v>
      </c>
      <c r="O139" s="192" t="s">
        <v>1301</v>
      </c>
      <c r="P139" s="431" t="s">
        <v>1026</v>
      </c>
      <c r="Q139" s="455">
        <v>42237</v>
      </c>
      <c r="R139" s="428">
        <v>42248</v>
      </c>
      <c r="S139" s="192" t="s">
        <v>1054</v>
      </c>
      <c r="T139" s="192">
        <v>107</v>
      </c>
      <c r="U139" s="192" t="s">
        <v>798</v>
      </c>
      <c r="V139" s="431" t="s">
        <v>789</v>
      </c>
      <c r="W139" s="192">
        <v>92446427</v>
      </c>
      <c r="X139" s="192" t="s">
        <v>90</v>
      </c>
      <c r="Y139" s="192" t="s">
        <v>884</v>
      </c>
      <c r="Z139" s="192"/>
      <c r="AA139" s="366">
        <v>624</v>
      </c>
      <c r="AB139" s="506">
        <v>42219</v>
      </c>
      <c r="AC139" s="366">
        <v>738</v>
      </c>
      <c r="AD139" s="391">
        <v>6600000</v>
      </c>
      <c r="AE139" s="535"/>
      <c r="AF139" s="535"/>
      <c r="AG139" s="536">
        <v>1650000</v>
      </c>
      <c r="AH139" s="535"/>
      <c r="AI139" s="535"/>
      <c r="AJ139" s="535"/>
      <c r="AK139" s="535"/>
      <c r="AL139" s="535"/>
      <c r="AM139" s="535"/>
      <c r="AN139" s="535"/>
      <c r="AO139" s="535">
        <v>1650000</v>
      </c>
      <c r="AP139" s="535">
        <f>1650000+1650000</f>
        <v>3300000</v>
      </c>
      <c r="AQ139" s="535">
        <f t="shared" si="22"/>
        <v>6600000</v>
      </c>
      <c r="AR139" s="535">
        <f t="shared" si="21"/>
        <v>0</v>
      </c>
      <c r="AS139" s="540">
        <f t="shared" si="20"/>
        <v>1</v>
      </c>
      <c r="AT139" s="192"/>
      <c r="AU139" s="366">
        <v>142</v>
      </c>
      <c r="AV139" s="401">
        <v>42388</v>
      </c>
      <c r="AW139" s="366">
        <v>135</v>
      </c>
      <c r="AX139" s="391">
        <v>1650000</v>
      </c>
      <c r="AY139" s="391"/>
      <c r="AZ139" s="391"/>
      <c r="BA139" s="391">
        <v>1650000</v>
      </c>
      <c r="BB139" s="391"/>
      <c r="BC139" s="391"/>
      <c r="BD139" s="391"/>
      <c r="BE139" s="391"/>
      <c r="BF139" s="391"/>
      <c r="BG139" s="535"/>
      <c r="BH139" s="391"/>
      <c r="BI139" s="391"/>
      <c r="BJ139" s="391"/>
      <c r="BK139" s="535">
        <f t="shared" si="23"/>
        <v>1650000</v>
      </c>
      <c r="BL139" s="535">
        <f t="shared" si="24"/>
        <v>0</v>
      </c>
      <c r="BM139" s="543">
        <f t="shared" si="25"/>
        <v>1</v>
      </c>
      <c r="BN139" s="391"/>
    </row>
    <row r="140" spans="1:66" s="25" customFormat="1" ht="15" customHeight="1" x14ac:dyDescent="0.25">
      <c r="A140" s="490">
        <v>136</v>
      </c>
      <c r="B140" s="63" t="s">
        <v>226</v>
      </c>
      <c r="C140" s="490">
        <v>1167</v>
      </c>
      <c r="D140" s="63" t="s">
        <v>228</v>
      </c>
      <c r="E140" s="490">
        <v>1</v>
      </c>
      <c r="F140" s="590"/>
      <c r="G140" s="590"/>
      <c r="H140" s="590"/>
      <c r="I140" s="590"/>
      <c r="J140" s="590"/>
      <c r="K140" s="656"/>
      <c r="L140" s="192"/>
      <c r="M140" s="192"/>
      <c r="N140" s="192"/>
      <c r="O140" s="192"/>
      <c r="P140" s="431"/>
      <c r="Q140" s="455"/>
      <c r="R140" s="428"/>
      <c r="S140" s="192"/>
      <c r="T140" s="192"/>
      <c r="U140" s="192"/>
      <c r="V140" s="431"/>
      <c r="W140" s="192"/>
      <c r="X140" s="192"/>
      <c r="Y140" s="192"/>
      <c r="Z140" s="192"/>
      <c r="AA140" s="366"/>
      <c r="AB140" s="506"/>
      <c r="AC140" s="366"/>
      <c r="AD140" s="391"/>
      <c r="AE140" s="535"/>
      <c r="AF140" s="535"/>
      <c r="AG140" s="535"/>
      <c r="AH140" s="535"/>
      <c r="AI140" s="535"/>
      <c r="AJ140" s="535"/>
      <c r="AK140" s="535"/>
      <c r="AL140" s="535"/>
      <c r="AM140" s="535"/>
      <c r="AN140" s="535"/>
      <c r="AO140" s="535"/>
      <c r="AP140" s="535"/>
      <c r="AQ140" s="535"/>
      <c r="AR140" s="535"/>
      <c r="AS140" s="540"/>
      <c r="AT140" s="192"/>
      <c r="AU140" s="366"/>
      <c r="AV140" s="401"/>
      <c r="AW140" s="366"/>
      <c r="AX140" s="391"/>
      <c r="AY140" s="391"/>
      <c r="AZ140" s="391"/>
      <c r="BA140" s="391"/>
      <c r="BB140" s="391"/>
      <c r="BC140" s="391"/>
      <c r="BD140" s="391"/>
      <c r="BE140" s="391"/>
      <c r="BF140" s="391"/>
      <c r="BG140" s="535"/>
      <c r="BH140" s="391"/>
      <c r="BI140" s="391"/>
      <c r="BJ140" s="391"/>
      <c r="BK140" s="535">
        <f t="shared" si="23"/>
        <v>0</v>
      </c>
      <c r="BL140" s="535">
        <f t="shared" si="24"/>
        <v>0</v>
      </c>
      <c r="BM140" s="543" t="e">
        <f t="shared" si="25"/>
        <v>#DIV/0!</v>
      </c>
      <c r="BN140" s="391"/>
    </row>
    <row r="141" spans="1:66" s="25" customFormat="1" x14ac:dyDescent="0.25">
      <c r="A141" s="490">
        <v>137</v>
      </c>
      <c r="B141" s="63" t="s">
        <v>231</v>
      </c>
      <c r="C141" s="490">
        <v>1167</v>
      </c>
      <c r="D141" s="63" t="s">
        <v>228</v>
      </c>
      <c r="E141" s="490">
        <v>2</v>
      </c>
      <c r="F141" s="584" t="s">
        <v>53</v>
      </c>
      <c r="G141" s="584">
        <v>800</v>
      </c>
      <c r="H141" s="584" t="s">
        <v>61</v>
      </c>
      <c r="I141" s="584" t="s">
        <v>232</v>
      </c>
      <c r="J141" s="584"/>
      <c r="K141" s="654"/>
      <c r="L141" s="192" t="s">
        <v>1592</v>
      </c>
      <c r="M141" s="192" t="s">
        <v>1119</v>
      </c>
      <c r="N141" s="192" t="s">
        <v>115</v>
      </c>
      <c r="O141" s="192" t="s">
        <v>801</v>
      </c>
      <c r="P141" s="192" t="s">
        <v>1120</v>
      </c>
      <c r="Q141" s="428">
        <v>42313</v>
      </c>
      <c r="R141" s="428">
        <v>42387</v>
      </c>
      <c r="S141" s="192" t="s">
        <v>1054</v>
      </c>
      <c r="T141" s="192">
        <v>123</v>
      </c>
      <c r="U141" s="192" t="s">
        <v>1287</v>
      </c>
      <c r="V141" s="192" t="s">
        <v>1584</v>
      </c>
      <c r="W141" s="192">
        <v>900175374</v>
      </c>
      <c r="X141" s="192">
        <v>60</v>
      </c>
      <c r="Y141" s="192" t="s">
        <v>1506</v>
      </c>
      <c r="Z141" s="192"/>
      <c r="AA141" s="366">
        <v>642</v>
      </c>
      <c r="AB141" s="506">
        <v>42278</v>
      </c>
      <c r="AC141" s="366">
        <v>829</v>
      </c>
      <c r="AD141" s="391">
        <v>40549410</v>
      </c>
      <c r="AE141" s="535"/>
      <c r="AF141" s="535"/>
      <c r="AG141" s="535"/>
      <c r="AH141" s="535"/>
      <c r="AI141" s="535"/>
      <c r="AJ141" s="535"/>
      <c r="AK141" s="535"/>
      <c r="AL141" s="535"/>
      <c r="AM141" s="535"/>
      <c r="AN141" s="535"/>
      <c r="AO141" s="535"/>
      <c r="AP141" s="535"/>
      <c r="AQ141" s="535">
        <f t="shared" si="22"/>
        <v>0</v>
      </c>
      <c r="AR141" s="535">
        <f t="shared" si="21"/>
        <v>40549410</v>
      </c>
      <c r="AS141" s="540">
        <f t="shared" si="20"/>
        <v>0</v>
      </c>
      <c r="AT141" s="192"/>
      <c r="AU141" s="366">
        <v>173</v>
      </c>
      <c r="AV141" s="401">
        <v>42388</v>
      </c>
      <c r="AW141" s="366">
        <v>166</v>
      </c>
      <c r="AX141" s="391">
        <v>40549410</v>
      </c>
      <c r="AY141" s="391"/>
      <c r="AZ141" s="391"/>
      <c r="BA141" s="391"/>
      <c r="BB141" s="391"/>
      <c r="BC141" s="391"/>
      <c r="BD141" s="391">
        <f>19752910+7456000</f>
        <v>27208910</v>
      </c>
      <c r="BE141" s="391"/>
      <c r="BF141" s="391"/>
      <c r="BG141" s="535"/>
      <c r="BH141" s="391"/>
      <c r="BI141" s="391"/>
      <c r="BJ141" s="391"/>
      <c r="BK141" s="535">
        <f t="shared" si="23"/>
        <v>27208910</v>
      </c>
      <c r="BL141" s="535">
        <f t="shared" si="24"/>
        <v>13340500</v>
      </c>
      <c r="BM141" s="543">
        <f t="shared" si="25"/>
        <v>0.67100631057270621</v>
      </c>
      <c r="BN141" s="391"/>
    </row>
    <row r="142" spans="1:66" s="25" customFormat="1" x14ac:dyDescent="0.25">
      <c r="A142" s="490">
        <v>137</v>
      </c>
      <c r="B142" s="63" t="s">
        <v>231</v>
      </c>
      <c r="C142" s="490">
        <v>1167</v>
      </c>
      <c r="D142" s="63" t="s">
        <v>228</v>
      </c>
      <c r="E142" s="490">
        <v>2</v>
      </c>
      <c r="F142" s="585"/>
      <c r="G142" s="585"/>
      <c r="H142" s="585"/>
      <c r="I142" s="585"/>
      <c r="J142" s="585"/>
      <c r="K142" s="655"/>
      <c r="L142" s="192" t="s">
        <v>1593</v>
      </c>
      <c r="M142" s="192" t="s">
        <v>1119</v>
      </c>
      <c r="N142" s="192" t="s">
        <v>115</v>
      </c>
      <c r="O142" s="192" t="s">
        <v>1314</v>
      </c>
      <c r="P142" s="431" t="s">
        <v>1026</v>
      </c>
      <c r="Q142" s="428">
        <v>42331</v>
      </c>
      <c r="R142" s="428">
        <v>42387</v>
      </c>
      <c r="S142" s="192" t="s">
        <v>1054</v>
      </c>
      <c r="T142" s="192">
        <v>126</v>
      </c>
      <c r="U142" s="192" t="s">
        <v>798</v>
      </c>
      <c r="V142" s="192" t="s">
        <v>1436</v>
      </c>
      <c r="W142" s="192">
        <v>80882644</v>
      </c>
      <c r="X142" s="192" t="s">
        <v>90</v>
      </c>
      <c r="Y142" s="192" t="s">
        <v>1506</v>
      </c>
      <c r="Z142" s="192"/>
      <c r="AA142" s="366">
        <v>656</v>
      </c>
      <c r="AB142" s="506">
        <v>42307</v>
      </c>
      <c r="AC142" s="366">
        <v>854</v>
      </c>
      <c r="AD142" s="391">
        <v>6000000</v>
      </c>
      <c r="AE142" s="535"/>
      <c r="AF142" s="535"/>
      <c r="AG142" s="536">
        <v>1500000</v>
      </c>
      <c r="AH142" s="535"/>
      <c r="AI142" s="535"/>
      <c r="AJ142" s="535"/>
      <c r="AK142" s="535"/>
      <c r="AL142" s="535"/>
      <c r="AM142" s="535"/>
      <c r="AN142" s="535"/>
      <c r="AO142" s="535"/>
      <c r="AP142" s="535"/>
      <c r="AQ142" s="535">
        <f t="shared" si="22"/>
        <v>1500000</v>
      </c>
      <c r="AR142" s="535">
        <f t="shared" si="21"/>
        <v>4500000</v>
      </c>
      <c r="AS142" s="540">
        <f t="shared" si="20"/>
        <v>0.25</v>
      </c>
      <c r="AT142" s="192"/>
      <c r="AU142" s="366">
        <v>182</v>
      </c>
      <c r="AV142" s="401">
        <v>42388</v>
      </c>
      <c r="AW142" s="366">
        <v>174</v>
      </c>
      <c r="AX142" s="391">
        <v>6000000</v>
      </c>
      <c r="AY142" s="391"/>
      <c r="AZ142" s="391"/>
      <c r="BA142" s="391">
        <v>1500000</v>
      </c>
      <c r="BB142" s="391"/>
      <c r="BC142" s="391"/>
      <c r="BD142" s="391">
        <f>1500000+1500000</f>
        <v>3000000</v>
      </c>
      <c r="BE142" s="391"/>
      <c r="BF142" s="391"/>
      <c r="BG142" s="535"/>
      <c r="BH142" s="391"/>
      <c r="BI142" s="391"/>
      <c r="BJ142" s="391">
        <v>1500000</v>
      </c>
      <c r="BK142" s="535">
        <f t="shared" si="23"/>
        <v>6000000</v>
      </c>
      <c r="BL142" s="535">
        <f t="shared" si="24"/>
        <v>0</v>
      </c>
      <c r="BM142" s="543">
        <f t="shared" si="25"/>
        <v>1</v>
      </c>
      <c r="BN142" s="391"/>
    </row>
    <row r="143" spans="1:66" s="25" customFormat="1" x14ac:dyDescent="0.25">
      <c r="A143" s="490">
        <v>137</v>
      </c>
      <c r="B143" s="63" t="s">
        <v>231</v>
      </c>
      <c r="C143" s="490">
        <v>1167</v>
      </c>
      <c r="D143" s="63" t="s">
        <v>228</v>
      </c>
      <c r="E143" s="490">
        <v>2</v>
      </c>
      <c r="F143" s="590"/>
      <c r="G143" s="590"/>
      <c r="H143" s="590"/>
      <c r="I143" s="590"/>
      <c r="J143" s="590"/>
      <c r="K143" s="656"/>
      <c r="L143" s="192"/>
      <c r="M143" s="192"/>
      <c r="N143" s="192"/>
      <c r="O143" s="192"/>
      <c r="P143" s="431"/>
      <c r="Q143" s="428"/>
      <c r="R143" s="428"/>
      <c r="S143" s="192"/>
      <c r="T143" s="192"/>
      <c r="U143" s="192"/>
      <c r="V143" s="192"/>
      <c r="W143" s="192"/>
      <c r="X143" s="192"/>
      <c r="Y143" s="192"/>
      <c r="Z143" s="192"/>
      <c r="AA143" s="366"/>
      <c r="AB143" s="506"/>
      <c r="AC143" s="366"/>
      <c r="AD143" s="391"/>
      <c r="AE143" s="535"/>
      <c r="AF143" s="535"/>
      <c r="AG143" s="535"/>
      <c r="AH143" s="535"/>
      <c r="AI143" s="535"/>
      <c r="AJ143" s="535"/>
      <c r="AK143" s="535"/>
      <c r="AL143" s="535"/>
      <c r="AM143" s="535"/>
      <c r="AN143" s="535"/>
      <c r="AO143" s="535"/>
      <c r="AP143" s="535"/>
      <c r="AQ143" s="535"/>
      <c r="AR143" s="535"/>
      <c r="AS143" s="540"/>
      <c r="AT143" s="192"/>
      <c r="AU143" s="366"/>
      <c r="AV143" s="401"/>
      <c r="AW143" s="366"/>
      <c r="AX143" s="391"/>
      <c r="AY143" s="391"/>
      <c r="AZ143" s="391"/>
      <c r="BA143" s="391"/>
      <c r="BB143" s="391"/>
      <c r="BC143" s="391"/>
      <c r="BD143" s="391"/>
      <c r="BE143" s="391"/>
      <c r="BF143" s="391"/>
      <c r="BG143" s="535"/>
      <c r="BH143" s="391"/>
      <c r="BI143" s="391"/>
      <c r="BJ143" s="391"/>
      <c r="BK143" s="535">
        <f t="shared" si="23"/>
        <v>0</v>
      </c>
      <c r="BL143" s="535">
        <f t="shared" si="24"/>
        <v>0</v>
      </c>
      <c r="BM143" s="543" t="e">
        <f t="shared" si="25"/>
        <v>#DIV/0!</v>
      </c>
      <c r="BN143" s="391"/>
    </row>
    <row r="144" spans="1:66" s="68" customFormat="1" x14ac:dyDescent="0.25">
      <c r="A144" s="490">
        <v>138</v>
      </c>
      <c r="B144" s="63" t="s">
        <v>233</v>
      </c>
      <c r="C144" s="490">
        <v>1167</v>
      </c>
      <c r="D144" s="63" t="s">
        <v>228</v>
      </c>
      <c r="E144" s="490">
        <v>3</v>
      </c>
      <c r="F144" s="584" t="s">
        <v>53</v>
      </c>
      <c r="G144" s="584">
        <v>800</v>
      </c>
      <c r="H144" s="584" t="s">
        <v>61</v>
      </c>
      <c r="I144" s="584" t="s">
        <v>234</v>
      </c>
      <c r="J144" s="584"/>
      <c r="K144" s="654"/>
      <c r="L144" s="192" t="s">
        <v>1413</v>
      </c>
      <c r="M144" s="192" t="s">
        <v>1119</v>
      </c>
      <c r="N144" s="192" t="s">
        <v>115</v>
      </c>
      <c r="O144" s="192" t="s">
        <v>1411</v>
      </c>
      <c r="P144" s="431" t="s">
        <v>1108</v>
      </c>
      <c r="Q144" s="455">
        <v>42167</v>
      </c>
      <c r="R144" s="428">
        <v>42204</v>
      </c>
      <c r="S144" s="192" t="s">
        <v>1410</v>
      </c>
      <c r="T144" s="431">
        <v>96</v>
      </c>
      <c r="U144" s="192" t="s">
        <v>1287</v>
      </c>
      <c r="V144" s="431" t="s">
        <v>786</v>
      </c>
      <c r="W144" s="192" t="s">
        <v>1349</v>
      </c>
      <c r="X144" s="192">
        <v>300</v>
      </c>
      <c r="Y144" s="192" t="s">
        <v>1397</v>
      </c>
      <c r="Z144" s="192"/>
      <c r="AA144" s="458">
        <v>507</v>
      </c>
      <c r="AB144" s="430">
        <v>42160</v>
      </c>
      <c r="AC144" s="459">
        <v>596</v>
      </c>
      <c r="AD144" s="534">
        <v>78750000</v>
      </c>
      <c r="AE144" s="535"/>
      <c r="AF144" s="535"/>
      <c r="AG144" s="535"/>
      <c r="AH144" s="535"/>
      <c r="AI144" s="535"/>
      <c r="AJ144" s="535"/>
      <c r="AK144" s="535"/>
      <c r="AL144" s="535">
        <v>14880000</v>
      </c>
      <c r="AM144" s="535">
        <v>31500000</v>
      </c>
      <c r="AN144" s="535">
        <v>32370000</v>
      </c>
      <c r="AO144" s="535"/>
      <c r="AP144" s="535"/>
      <c r="AQ144" s="535">
        <f t="shared" si="22"/>
        <v>78750000</v>
      </c>
      <c r="AR144" s="535">
        <f t="shared" si="21"/>
        <v>0</v>
      </c>
      <c r="AS144" s="540">
        <f t="shared" si="20"/>
        <v>1</v>
      </c>
      <c r="AT144" s="192"/>
      <c r="AU144" s="366"/>
      <c r="AV144" s="366"/>
      <c r="AW144" s="366"/>
      <c r="AX144" s="391"/>
      <c r="AY144" s="391"/>
      <c r="AZ144" s="391"/>
      <c r="BA144" s="391"/>
      <c r="BB144" s="391"/>
      <c r="BC144" s="391"/>
      <c r="BD144" s="391"/>
      <c r="BE144" s="391"/>
      <c r="BF144" s="391"/>
      <c r="BG144" s="535"/>
      <c r="BH144" s="391"/>
      <c r="BI144" s="391"/>
      <c r="BJ144" s="391"/>
      <c r="BK144" s="535">
        <f t="shared" si="23"/>
        <v>0</v>
      </c>
      <c r="BL144" s="535">
        <f t="shared" si="24"/>
        <v>0</v>
      </c>
      <c r="BM144" s="543" t="e">
        <f t="shared" si="25"/>
        <v>#DIV/0!</v>
      </c>
      <c r="BN144" s="391"/>
    </row>
    <row r="145" spans="1:66" s="68" customFormat="1" x14ac:dyDescent="0.25">
      <c r="A145" s="490">
        <v>138</v>
      </c>
      <c r="B145" s="63" t="s">
        <v>233</v>
      </c>
      <c r="C145" s="490">
        <v>1167</v>
      </c>
      <c r="D145" s="63" t="s">
        <v>228</v>
      </c>
      <c r="E145" s="490">
        <v>3</v>
      </c>
      <c r="F145" s="585"/>
      <c r="G145" s="585"/>
      <c r="H145" s="585"/>
      <c r="I145" s="585"/>
      <c r="J145" s="585"/>
      <c r="K145" s="655"/>
      <c r="L145" s="192" t="s">
        <v>1412</v>
      </c>
      <c r="M145" s="192" t="s">
        <v>1119</v>
      </c>
      <c r="N145" s="192" t="s">
        <v>115</v>
      </c>
      <c r="O145" s="192" t="s">
        <v>1411</v>
      </c>
      <c r="P145" s="431" t="s">
        <v>1026</v>
      </c>
      <c r="Q145" s="455">
        <v>42167</v>
      </c>
      <c r="R145" s="428">
        <v>42204</v>
      </c>
      <c r="S145" s="192" t="s">
        <v>1410</v>
      </c>
      <c r="T145" s="431">
        <v>143</v>
      </c>
      <c r="U145" s="192" t="s">
        <v>798</v>
      </c>
      <c r="V145" s="431" t="s">
        <v>1092</v>
      </c>
      <c r="W145" s="278">
        <v>80723342</v>
      </c>
      <c r="X145" s="433" t="s">
        <v>90</v>
      </c>
      <c r="Y145" s="192" t="s">
        <v>1397</v>
      </c>
      <c r="Z145" s="192"/>
      <c r="AA145" s="458">
        <v>508</v>
      </c>
      <c r="AB145" s="430">
        <v>42160</v>
      </c>
      <c r="AC145" s="459">
        <v>595</v>
      </c>
      <c r="AD145" s="534">
        <v>4166665</v>
      </c>
      <c r="AE145" s="535"/>
      <c r="AF145" s="535"/>
      <c r="AG145" s="535"/>
      <c r="AH145" s="535"/>
      <c r="AI145" s="535"/>
      <c r="AJ145" s="535"/>
      <c r="AK145" s="535"/>
      <c r="AL145" s="535"/>
      <c r="AM145" s="535"/>
      <c r="AN145" s="534">
        <v>4166665</v>
      </c>
      <c r="AO145" s="535"/>
      <c r="AP145" s="535"/>
      <c r="AQ145" s="535">
        <f t="shared" si="22"/>
        <v>4166665</v>
      </c>
      <c r="AR145" s="535">
        <f t="shared" si="21"/>
        <v>0</v>
      </c>
      <c r="AS145" s="540">
        <f t="shared" si="20"/>
        <v>1</v>
      </c>
      <c r="AT145" s="192"/>
      <c r="AU145" s="366"/>
      <c r="AV145" s="366"/>
      <c r="AW145" s="366"/>
      <c r="AX145" s="391"/>
      <c r="AY145" s="391"/>
      <c r="AZ145" s="391"/>
      <c r="BA145" s="391"/>
      <c r="BB145" s="391"/>
      <c r="BC145" s="391"/>
      <c r="BD145" s="391"/>
      <c r="BE145" s="391"/>
      <c r="BF145" s="391"/>
      <c r="BG145" s="535"/>
      <c r="BH145" s="391"/>
      <c r="BI145" s="391"/>
      <c r="BJ145" s="391"/>
      <c r="BK145" s="535">
        <f t="shared" si="23"/>
        <v>0</v>
      </c>
      <c r="BL145" s="535">
        <f t="shared" si="24"/>
        <v>0</v>
      </c>
      <c r="BM145" s="543" t="e">
        <f t="shared" si="25"/>
        <v>#DIV/0!</v>
      </c>
      <c r="BN145" s="391"/>
    </row>
    <row r="146" spans="1:66" s="68" customFormat="1" x14ac:dyDescent="0.25">
      <c r="A146" s="490">
        <v>138</v>
      </c>
      <c r="B146" s="63" t="s">
        <v>233</v>
      </c>
      <c r="C146" s="490">
        <v>1167</v>
      </c>
      <c r="D146" s="63" t="s">
        <v>228</v>
      </c>
      <c r="E146" s="490">
        <v>3</v>
      </c>
      <c r="F146" s="590"/>
      <c r="G146" s="590"/>
      <c r="H146" s="590"/>
      <c r="I146" s="590"/>
      <c r="J146" s="590"/>
      <c r="K146" s="656"/>
      <c r="L146" s="192"/>
      <c r="M146" s="192"/>
      <c r="N146" s="192"/>
      <c r="O146" s="192"/>
      <c r="P146" s="431"/>
      <c r="Q146" s="455"/>
      <c r="R146" s="428"/>
      <c r="S146" s="192"/>
      <c r="T146" s="431"/>
      <c r="U146" s="192"/>
      <c r="V146" s="431"/>
      <c r="W146" s="278"/>
      <c r="X146" s="433"/>
      <c r="Y146" s="192"/>
      <c r="Z146" s="192"/>
      <c r="AA146" s="458"/>
      <c r="AB146" s="430"/>
      <c r="AC146" s="459"/>
      <c r="AD146" s="534"/>
      <c r="AE146" s="535"/>
      <c r="AF146" s="535"/>
      <c r="AG146" s="535"/>
      <c r="AH146" s="535"/>
      <c r="AI146" s="535"/>
      <c r="AJ146" s="535"/>
      <c r="AK146" s="535"/>
      <c r="AL146" s="535"/>
      <c r="AM146" s="535"/>
      <c r="AN146" s="534"/>
      <c r="AO146" s="535"/>
      <c r="AP146" s="535"/>
      <c r="AQ146" s="535"/>
      <c r="AR146" s="535"/>
      <c r="AS146" s="540"/>
      <c r="AT146" s="192"/>
      <c r="AU146" s="366"/>
      <c r="AV146" s="366"/>
      <c r="AW146" s="366"/>
      <c r="AX146" s="391"/>
      <c r="AY146" s="391"/>
      <c r="AZ146" s="391"/>
      <c r="BA146" s="391"/>
      <c r="BB146" s="391"/>
      <c r="BC146" s="391"/>
      <c r="BD146" s="391"/>
      <c r="BE146" s="391"/>
      <c r="BF146" s="391"/>
      <c r="BG146" s="535"/>
      <c r="BH146" s="391"/>
      <c r="BI146" s="391"/>
      <c r="BJ146" s="391"/>
      <c r="BK146" s="535">
        <f t="shared" si="23"/>
        <v>0</v>
      </c>
      <c r="BL146" s="535">
        <f t="shared" si="24"/>
        <v>0</v>
      </c>
      <c r="BM146" s="543" t="e">
        <f t="shared" si="25"/>
        <v>#DIV/0!</v>
      </c>
      <c r="BN146" s="391"/>
    </row>
    <row r="147" spans="1:66" s="25" customFormat="1" x14ac:dyDescent="0.25">
      <c r="A147" s="491">
        <v>140</v>
      </c>
      <c r="B147" s="65" t="s">
        <v>241</v>
      </c>
      <c r="C147" s="491">
        <v>1171</v>
      </c>
      <c r="D147" s="65" t="s">
        <v>243</v>
      </c>
      <c r="E147" s="491">
        <v>1</v>
      </c>
      <c r="F147" s="584" t="s">
        <v>130</v>
      </c>
      <c r="G147" s="584">
        <v>1</v>
      </c>
      <c r="H147" s="584" t="s">
        <v>244</v>
      </c>
      <c r="I147" s="584" t="s">
        <v>245</v>
      </c>
      <c r="J147" s="584"/>
      <c r="K147" s="654"/>
      <c r="L147" s="192" t="s">
        <v>90</v>
      </c>
      <c r="M147" s="192" t="s">
        <v>1121</v>
      </c>
      <c r="N147" s="192" t="s">
        <v>115</v>
      </c>
      <c r="O147" s="192" t="s">
        <v>90</v>
      </c>
      <c r="P147" s="192" t="s">
        <v>1120</v>
      </c>
      <c r="Q147" s="191" t="s">
        <v>90</v>
      </c>
      <c r="R147" s="191" t="s">
        <v>90</v>
      </c>
      <c r="S147" s="192" t="s">
        <v>90</v>
      </c>
      <c r="T147" s="192" t="s">
        <v>90</v>
      </c>
      <c r="U147" s="192" t="s">
        <v>745</v>
      </c>
      <c r="V147" s="192" t="s">
        <v>90</v>
      </c>
      <c r="W147" s="192" t="s">
        <v>90</v>
      </c>
      <c r="X147" s="192" t="s">
        <v>90</v>
      </c>
      <c r="Y147" s="192" t="s">
        <v>90</v>
      </c>
      <c r="Z147" s="192"/>
      <c r="AA147" s="366" t="s">
        <v>90</v>
      </c>
      <c r="AB147" s="173" t="s">
        <v>90</v>
      </c>
      <c r="AC147" s="366" t="s">
        <v>90</v>
      </c>
      <c r="AD147" s="391">
        <f>959816667+45850000+135750000+97200000+295441664+154126665+42800000+226646666+48216666</f>
        <v>2005848328</v>
      </c>
      <c r="AE147" s="391"/>
      <c r="AF147" s="391"/>
      <c r="AG147" s="391">
        <v>3733337</v>
      </c>
      <c r="AH147" s="391">
        <f>60726669-AG147-AH165</f>
        <v>56033332</v>
      </c>
      <c r="AI147" s="391">
        <f>142317975-AI162-AI166</f>
        <v>100803327</v>
      </c>
      <c r="AJ147" s="391">
        <f>159152976-39047981-3700000</f>
        <v>116404995</v>
      </c>
      <c r="AK147" s="535">
        <v>128123336</v>
      </c>
      <c r="AL147" s="535">
        <f>145537000-2850000</f>
        <v>142687000</v>
      </c>
      <c r="AM147" s="535">
        <f>156134999-2850000</f>
        <v>153284999</v>
      </c>
      <c r="AN147" s="535">
        <f>175115465-2848800-1950000</f>
        <v>170316665</v>
      </c>
      <c r="AO147" s="535">
        <f>265772979-AO148-AO162-AO166-1425000</f>
        <v>197600000</v>
      </c>
      <c r="AP147" s="535">
        <v>345313324</v>
      </c>
      <c r="AQ147" s="535">
        <f>SUM(AE147:AP147)</f>
        <v>1414300315</v>
      </c>
      <c r="AR147" s="535">
        <f t="shared" si="21"/>
        <v>591548013</v>
      </c>
      <c r="AS147" s="540">
        <f>+AQ147/AD147</f>
        <v>0.70508836349066173</v>
      </c>
      <c r="AT147" s="192"/>
      <c r="AU147" s="366" t="s">
        <v>1699</v>
      </c>
      <c r="AV147" s="366"/>
      <c r="AW147" s="366" t="s">
        <v>1699</v>
      </c>
      <c r="AX147" s="391">
        <v>620498013</v>
      </c>
      <c r="AY147" s="391"/>
      <c r="AZ147" s="391">
        <v>172556665</v>
      </c>
      <c r="BA147" s="391">
        <v>204550000</v>
      </c>
      <c r="BB147" s="391"/>
      <c r="BC147" s="391">
        <v>40285001</v>
      </c>
      <c r="BD147" s="391">
        <v>40680000</v>
      </c>
      <c r="BE147" s="391">
        <v>36650000</v>
      </c>
      <c r="BF147" s="391">
        <v>19313000</v>
      </c>
      <c r="BG147" s="535">
        <v>16880000</v>
      </c>
      <c r="BH147" s="391">
        <v>20870000</v>
      </c>
      <c r="BI147" s="391">
        <v>4550000</v>
      </c>
      <c r="BJ147" s="391">
        <v>16289999</v>
      </c>
      <c r="BK147" s="535">
        <f t="shared" si="23"/>
        <v>572624665</v>
      </c>
      <c r="BL147" s="535">
        <f t="shared" si="24"/>
        <v>47873348</v>
      </c>
      <c r="BM147" s="543">
        <f t="shared" si="25"/>
        <v>0.92284689556290322</v>
      </c>
      <c r="BN147" s="391"/>
    </row>
    <row r="148" spans="1:66" s="25" customFormat="1" x14ac:dyDescent="0.25">
      <c r="A148" s="491">
        <v>140</v>
      </c>
      <c r="B148" s="65" t="s">
        <v>241</v>
      </c>
      <c r="C148" s="491">
        <v>1171</v>
      </c>
      <c r="D148" s="65" t="s">
        <v>243</v>
      </c>
      <c r="E148" s="491">
        <v>1</v>
      </c>
      <c r="F148" s="585"/>
      <c r="G148" s="585"/>
      <c r="H148" s="585"/>
      <c r="I148" s="585"/>
      <c r="J148" s="585"/>
      <c r="K148" s="655"/>
      <c r="L148" s="431" t="s">
        <v>1409</v>
      </c>
      <c r="M148" s="192" t="s">
        <v>1121</v>
      </c>
      <c r="N148" s="192" t="s">
        <v>115</v>
      </c>
      <c r="O148" s="192" t="s">
        <v>1408</v>
      </c>
      <c r="P148" s="431" t="s">
        <v>1113</v>
      </c>
      <c r="Q148" s="455">
        <v>42115</v>
      </c>
      <c r="R148" s="455">
        <v>42115</v>
      </c>
      <c r="S148" s="433" t="s">
        <v>1405</v>
      </c>
      <c r="T148" s="459">
        <v>181</v>
      </c>
      <c r="U148" s="192" t="s">
        <v>1287</v>
      </c>
      <c r="V148" s="431" t="s">
        <v>1105</v>
      </c>
      <c r="W148" s="192">
        <v>900351680</v>
      </c>
      <c r="X148" s="192" t="s">
        <v>1407</v>
      </c>
      <c r="Y148" s="192" t="s">
        <v>884</v>
      </c>
      <c r="Z148" s="192"/>
      <c r="AA148" s="366">
        <v>444</v>
      </c>
      <c r="AB148" s="506">
        <v>42090</v>
      </c>
      <c r="AC148" s="366">
        <v>512</v>
      </c>
      <c r="AD148" s="391">
        <v>80000000</v>
      </c>
      <c r="AE148" s="391"/>
      <c r="AF148" s="391"/>
      <c r="AG148" s="391"/>
      <c r="AH148" s="391">
        <v>32000000</v>
      </c>
      <c r="AI148" s="391"/>
      <c r="AJ148" s="391"/>
      <c r="AK148" s="535">
        <v>14023458</v>
      </c>
      <c r="AL148" s="535">
        <v>9976544</v>
      </c>
      <c r="AM148" s="535"/>
      <c r="AN148" s="535"/>
      <c r="AO148" s="535">
        <v>23999998</v>
      </c>
      <c r="AP148" s="535"/>
      <c r="AQ148" s="535">
        <f t="shared" si="22"/>
        <v>80000000</v>
      </c>
      <c r="AR148" s="535">
        <f t="shared" si="21"/>
        <v>0</v>
      </c>
      <c r="AS148" s="540">
        <f>+AQ148/AD148</f>
        <v>1</v>
      </c>
      <c r="AT148" s="192"/>
      <c r="AU148" s="366"/>
      <c r="AV148" s="366"/>
      <c r="AW148" s="366"/>
      <c r="AX148" s="391"/>
      <c r="AY148" s="391"/>
      <c r="AZ148" s="391"/>
      <c r="BA148" s="391"/>
      <c r="BB148" s="391"/>
      <c r="BC148" s="391"/>
      <c r="BD148" s="391"/>
      <c r="BE148" s="391"/>
      <c r="BF148" s="391"/>
      <c r="BG148" s="535"/>
      <c r="BH148" s="391"/>
      <c r="BI148" s="391"/>
      <c r="BJ148" s="391"/>
      <c r="BK148" s="535">
        <f t="shared" si="23"/>
        <v>0</v>
      </c>
      <c r="BL148" s="535">
        <f t="shared" si="24"/>
        <v>0</v>
      </c>
      <c r="BM148" s="543" t="e">
        <f t="shared" si="25"/>
        <v>#DIV/0!</v>
      </c>
      <c r="BN148" s="391"/>
    </row>
    <row r="149" spans="1:66" s="25" customFormat="1" x14ac:dyDescent="0.25">
      <c r="A149" s="491">
        <v>140</v>
      </c>
      <c r="B149" s="65" t="s">
        <v>241</v>
      </c>
      <c r="C149" s="491">
        <v>1171</v>
      </c>
      <c r="D149" s="65" t="s">
        <v>243</v>
      </c>
      <c r="E149" s="491">
        <v>1</v>
      </c>
      <c r="F149" s="585"/>
      <c r="G149" s="585"/>
      <c r="H149" s="585"/>
      <c r="I149" s="585"/>
      <c r="J149" s="585"/>
      <c r="K149" s="655"/>
      <c r="L149" s="431" t="s">
        <v>1406</v>
      </c>
      <c r="M149" s="192" t="s">
        <v>1121</v>
      </c>
      <c r="N149" s="192" t="s">
        <v>115</v>
      </c>
      <c r="O149" s="192" t="s">
        <v>1318</v>
      </c>
      <c r="P149" s="431" t="s">
        <v>1026</v>
      </c>
      <c r="Q149" s="455">
        <v>42115</v>
      </c>
      <c r="R149" s="455">
        <v>42115</v>
      </c>
      <c r="S149" s="433" t="s">
        <v>1405</v>
      </c>
      <c r="T149" s="459">
        <v>170</v>
      </c>
      <c r="U149" s="192" t="s">
        <v>798</v>
      </c>
      <c r="V149" s="431" t="s">
        <v>715</v>
      </c>
      <c r="W149" s="192">
        <v>93200589</v>
      </c>
      <c r="X149" s="192" t="s">
        <v>90</v>
      </c>
      <c r="Y149" s="192" t="s">
        <v>884</v>
      </c>
      <c r="Z149" s="192"/>
      <c r="AA149" s="366">
        <v>445</v>
      </c>
      <c r="AB149" s="506">
        <v>42090</v>
      </c>
      <c r="AC149" s="366">
        <v>513</v>
      </c>
      <c r="AD149" s="391">
        <v>7125000</v>
      </c>
      <c r="AE149" s="391"/>
      <c r="AF149" s="391"/>
      <c r="AG149" s="391"/>
      <c r="AH149" s="391"/>
      <c r="AI149" s="391"/>
      <c r="AJ149" s="535"/>
      <c r="AK149" s="535"/>
      <c r="AL149" s="535">
        <v>2850000</v>
      </c>
      <c r="AM149" s="535">
        <v>2850000</v>
      </c>
      <c r="AN149" s="535"/>
      <c r="AO149" s="535">
        <v>1425000</v>
      </c>
      <c r="AP149" s="535"/>
      <c r="AQ149" s="535">
        <f t="shared" si="22"/>
        <v>7125000</v>
      </c>
      <c r="AR149" s="535">
        <f t="shared" si="21"/>
        <v>0</v>
      </c>
      <c r="AS149" s="540">
        <f>+AQ149/AD149</f>
        <v>1</v>
      </c>
      <c r="AT149" s="192"/>
      <c r="AU149" s="366"/>
      <c r="AV149" s="366"/>
      <c r="AW149" s="366"/>
      <c r="AX149" s="391"/>
      <c r="AY149" s="391"/>
      <c r="AZ149" s="391"/>
      <c r="BA149" s="391"/>
      <c r="BB149" s="391"/>
      <c r="BC149" s="391"/>
      <c r="BD149" s="391"/>
      <c r="BE149" s="391"/>
      <c r="BF149" s="391"/>
      <c r="BG149" s="535"/>
      <c r="BH149" s="391"/>
      <c r="BI149" s="391"/>
      <c r="BJ149" s="391"/>
      <c r="BK149" s="535">
        <f t="shared" si="23"/>
        <v>0</v>
      </c>
      <c r="BL149" s="535">
        <f t="shared" si="24"/>
        <v>0</v>
      </c>
      <c r="BM149" s="543" t="e">
        <f t="shared" si="25"/>
        <v>#DIV/0!</v>
      </c>
      <c r="BN149" s="391"/>
    </row>
    <row r="150" spans="1:66" s="25" customFormat="1" x14ac:dyDescent="0.25">
      <c r="A150" s="491">
        <v>140</v>
      </c>
      <c r="B150" s="65" t="s">
        <v>241</v>
      </c>
      <c r="C150" s="491">
        <v>1171</v>
      </c>
      <c r="D150" s="65" t="s">
        <v>243</v>
      </c>
      <c r="E150" s="491">
        <v>1</v>
      </c>
      <c r="F150" s="585"/>
      <c r="G150" s="585"/>
      <c r="H150" s="585"/>
      <c r="I150" s="585"/>
      <c r="J150" s="585"/>
      <c r="K150" s="655"/>
      <c r="L150" s="192" t="s">
        <v>1640</v>
      </c>
      <c r="M150" s="192" t="s">
        <v>1121</v>
      </c>
      <c r="N150" s="192" t="s">
        <v>115</v>
      </c>
      <c r="O150" s="192" t="s">
        <v>1318</v>
      </c>
      <c r="P150" s="192" t="s">
        <v>1641</v>
      </c>
      <c r="Q150" s="428">
        <v>42213</v>
      </c>
      <c r="R150" s="428">
        <v>42213</v>
      </c>
      <c r="S150" s="191" t="s">
        <v>807</v>
      </c>
      <c r="T150" s="191" t="s">
        <v>1642</v>
      </c>
      <c r="U150" s="192" t="s">
        <v>1287</v>
      </c>
      <c r="V150" s="192" t="s">
        <v>1643</v>
      </c>
      <c r="W150" s="192" t="s">
        <v>1690</v>
      </c>
      <c r="X150" s="192" t="s">
        <v>90</v>
      </c>
      <c r="Y150" s="192" t="s">
        <v>884</v>
      </c>
      <c r="Z150" s="192"/>
      <c r="AA150" s="366">
        <v>569</v>
      </c>
      <c r="AB150" s="506">
        <v>42213</v>
      </c>
      <c r="AC150" s="366">
        <v>688</v>
      </c>
      <c r="AD150" s="391">
        <v>10000000</v>
      </c>
      <c r="AE150" s="391"/>
      <c r="AF150" s="391"/>
      <c r="AG150" s="536">
        <v>5939200</v>
      </c>
      <c r="AH150" s="391"/>
      <c r="AI150" s="391"/>
      <c r="AJ150" s="535"/>
      <c r="AK150" s="535"/>
      <c r="AL150" s="535"/>
      <c r="AM150" s="535"/>
      <c r="AN150" s="535">
        <v>2848800</v>
      </c>
      <c r="AO150" s="535"/>
      <c r="AP150" s="535"/>
      <c r="AQ150" s="535">
        <f t="shared" si="22"/>
        <v>8788000</v>
      </c>
      <c r="AR150" s="535">
        <f t="shared" si="21"/>
        <v>1212000</v>
      </c>
      <c r="AS150" s="540">
        <f>+AQ150/AD150</f>
        <v>0.87880000000000003</v>
      </c>
      <c r="AT150" s="192"/>
      <c r="AU150" s="366">
        <v>104</v>
      </c>
      <c r="AV150" s="401">
        <v>42388</v>
      </c>
      <c r="AW150" s="366">
        <v>97</v>
      </c>
      <c r="AX150" s="391">
        <v>7151200</v>
      </c>
      <c r="AY150" s="391"/>
      <c r="AZ150" s="391"/>
      <c r="BA150" s="391">
        <v>5939200</v>
      </c>
      <c r="BB150" s="391"/>
      <c r="BC150" s="391"/>
      <c r="BD150" s="391"/>
      <c r="BE150" s="391"/>
      <c r="BF150" s="391"/>
      <c r="BG150" s="535"/>
      <c r="BH150" s="391"/>
      <c r="BI150" s="391"/>
      <c r="BJ150" s="391"/>
      <c r="BK150" s="535">
        <f t="shared" si="23"/>
        <v>5939200</v>
      </c>
      <c r="BL150" s="535">
        <f t="shared" si="24"/>
        <v>1212000</v>
      </c>
      <c r="BM150" s="543">
        <f t="shared" si="25"/>
        <v>0.83051795502852666</v>
      </c>
      <c r="BN150" s="391"/>
    </row>
    <row r="151" spans="1:66" s="25" customFormat="1" x14ac:dyDescent="0.25">
      <c r="A151" s="491">
        <v>140</v>
      </c>
      <c r="B151" s="65" t="s">
        <v>241</v>
      </c>
      <c r="C151" s="491">
        <v>1171</v>
      </c>
      <c r="D151" s="65" t="s">
        <v>243</v>
      </c>
      <c r="E151" s="491">
        <v>1</v>
      </c>
      <c r="F151" s="585"/>
      <c r="G151" s="585"/>
      <c r="H151" s="585"/>
      <c r="I151" s="585"/>
      <c r="J151" s="585"/>
      <c r="K151" s="655"/>
      <c r="L151" s="192" t="s">
        <v>1644</v>
      </c>
      <c r="M151" s="192" t="s">
        <v>1121</v>
      </c>
      <c r="N151" s="192" t="s">
        <v>115</v>
      </c>
      <c r="O151" s="192" t="s">
        <v>1645</v>
      </c>
      <c r="P151" s="192" t="s">
        <v>1120</v>
      </c>
      <c r="Q151" s="428">
        <v>42366</v>
      </c>
      <c r="R151" s="428">
        <v>42385</v>
      </c>
      <c r="S151" s="192" t="s">
        <v>512</v>
      </c>
      <c r="T151" s="192">
        <v>137</v>
      </c>
      <c r="U151" s="192" t="s">
        <v>1287</v>
      </c>
      <c r="V151" s="192" t="s">
        <v>1646</v>
      </c>
      <c r="W151" s="192">
        <v>830120215</v>
      </c>
      <c r="X151" s="192" t="s">
        <v>90</v>
      </c>
      <c r="Y151" s="192" t="s">
        <v>870</v>
      </c>
      <c r="Z151" s="192"/>
      <c r="AA151" s="366">
        <v>666</v>
      </c>
      <c r="AB151" s="506">
        <v>42317</v>
      </c>
      <c r="AC151" s="366">
        <v>917</v>
      </c>
      <c r="AD151" s="391">
        <v>34315540</v>
      </c>
      <c r="AE151" s="391"/>
      <c r="AF151" s="391"/>
      <c r="AG151" s="536">
        <v>34315540</v>
      </c>
      <c r="AH151" s="391"/>
      <c r="AI151" s="391"/>
      <c r="AJ151" s="535"/>
      <c r="AK151" s="535"/>
      <c r="AL151" s="535"/>
      <c r="AM151" s="535"/>
      <c r="AN151" s="535"/>
      <c r="AO151" s="535"/>
      <c r="AP151" s="535"/>
      <c r="AQ151" s="535">
        <f t="shared" si="22"/>
        <v>34315540</v>
      </c>
      <c r="AR151" s="535">
        <f t="shared" si="21"/>
        <v>0</v>
      </c>
      <c r="AS151" s="540"/>
      <c r="AT151" s="192"/>
      <c r="AU151" s="366">
        <v>213</v>
      </c>
      <c r="AV151" s="401">
        <v>42388</v>
      </c>
      <c r="AW151" s="366">
        <v>199</v>
      </c>
      <c r="AX151" s="391">
        <v>34315540</v>
      </c>
      <c r="AY151" s="391"/>
      <c r="AZ151" s="391"/>
      <c r="BA151" s="391">
        <v>34315540</v>
      </c>
      <c r="BB151" s="391"/>
      <c r="BC151" s="391"/>
      <c r="BD151" s="391"/>
      <c r="BE151" s="391"/>
      <c r="BF151" s="391"/>
      <c r="BG151" s="535"/>
      <c r="BH151" s="391"/>
      <c r="BI151" s="391"/>
      <c r="BJ151" s="391"/>
      <c r="BK151" s="535">
        <f t="shared" si="23"/>
        <v>34315540</v>
      </c>
      <c r="BL151" s="535">
        <f t="shared" si="24"/>
        <v>0</v>
      </c>
      <c r="BM151" s="543">
        <f t="shared" si="25"/>
        <v>1</v>
      </c>
      <c r="BN151" s="391"/>
    </row>
    <row r="152" spans="1:66" s="25" customFormat="1" x14ac:dyDescent="0.25">
      <c r="A152" s="491">
        <v>140</v>
      </c>
      <c r="B152" s="65" t="s">
        <v>241</v>
      </c>
      <c r="C152" s="491">
        <v>1171</v>
      </c>
      <c r="D152" s="65" t="s">
        <v>243</v>
      </c>
      <c r="E152" s="491">
        <v>1</v>
      </c>
      <c r="F152" s="585"/>
      <c r="G152" s="585"/>
      <c r="H152" s="585"/>
      <c r="I152" s="585"/>
      <c r="J152" s="585"/>
      <c r="K152" s="655"/>
      <c r="L152" s="192" t="s">
        <v>1647</v>
      </c>
      <c r="M152" s="192" t="s">
        <v>1121</v>
      </c>
      <c r="N152" s="192" t="s">
        <v>115</v>
      </c>
      <c r="O152" s="192" t="s">
        <v>1286</v>
      </c>
      <c r="P152" s="192" t="s">
        <v>1120</v>
      </c>
      <c r="Q152" s="428">
        <v>42366</v>
      </c>
      <c r="R152" s="428">
        <v>42373</v>
      </c>
      <c r="S152" s="192" t="s">
        <v>1054</v>
      </c>
      <c r="T152" s="192">
        <v>153</v>
      </c>
      <c r="U152" s="192" t="s">
        <v>1287</v>
      </c>
      <c r="V152" s="192" t="s">
        <v>1421</v>
      </c>
      <c r="W152" s="192" t="s">
        <v>1420</v>
      </c>
      <c r="X152" s="192" t="s">
        <v>90</v>
      </c>
      <c r="Y152" s="192" t="s">
        <v>870</v>
      </c>
      <c r="Z152" s="192"/>
      <c r="AA152" s="366">
        <v>676</v>
      </c>
      <c r="AB152" s="506">
        <v>42328</v>
      </c>
      <c r="AC152" s="366">
        <v>919</v>
      </c>
      <c r="AD152" s="391">
        <v>97397440</v>
      </c>
      <c r="AE152" s="391"/>
      <c r="AF152" s="391"/>
      <c r="AG152" s="536">
        <v>29219232</v>
      </c>
      <c r="AH152" s="391"/>
      <c r="AI152" s="391"/>
      <c r="AJ152" s="535"/>
      <c r="AK152" s="535"/>
      <c r="AL152" s="535"/>
      <c r="AM152" s="535"/>
      <c r="AN152" s="535"/>
      <c r="AO152" s="535"/>
      <c r="AP152" s="535"/>
      <c r="AQ152" s="535">
        <f t="shared" si="22"/>
        <v>29219232</v>
      </c>
      <c r="AR152" s="535">
        <f t="shared" si="21"/>
        <v>68178208</v>
      </c>
      <c r="AS152" s="540"/>
      <c r="AT152" s="192"/>
      <c r="AU152" s="366">
        <v>2015</v>
      </c>
      <c r="AV152" s="401">
        <v>42388</v>
      </c>
      <c r="AW152" s="366">
        <v>201</v>
      </c>
      <c r="AX152" s="391">
        <v>97397440</v>
      </c>
      <c r="AY152" s="391"/>
      <c r="AZ152" s="391"/>
      <c r="BA152" s="391">
        <v>29219232</v>
      </c>
      <c r="BB152" s="391"/>
      <c r="BC152" s="391"/>
      <c r="BD152" s="391"/>
      <c r="BE152" s="391"/>
      <c r="BF152" s="391"/>
      <c r="BG152" s="535">
        <v>380768</v>
      </c>
      <c r="BH152" s="391">
        <v>59177440</v>
      </c>
      <c r="BI152" s="391"/>
      <c r="BJ152" s="539">
        <v>8620000</v>
      </c>
      <c r="BK152" s="535">
        <f t="shared" si="23"/>
        <v>97397440</v>
      </c>
      <c r="BL152" s="535">
        <f t="shared" si="24"/>
        <v>0</v>
      </c>
      <c r="BM152" s="543">
        <f t="shared" si="25"/>
        <v>1</v>
      </c>
      <c r="BN152" s="391"/>
    </row>
    <row r="153" spans="1:66" s="25" customFormat="1" x14ac:dyDescent="0.25">
      <c r="A153" s="491">
        <v>140</v>
      </c>
      <c r="B153" s="65" t="s">
        <v>241</v>
      </c>
      <c r="C153" s="491">
        <v>1171</v>
      </c>
      <c r="D153" s="65" t="s">
        <v>243</v>
      </c>
      <c r="E153" s="491">
        <v>1</v>
      </c>
      <c r="F153" s="585"/>
      <c r="G153" s="585"/>
      <c r="H153" s="585"/>
      <c r="I153" s="585"/>
      <c r="J153" s="585"/>
      <c r="K153" s="655"/>
      <c r="L153" s="192" t="s">
        <v>1648</v>
      </c>
      <c r="M153" s="192" t="s">
        <v>1121</v>
      </c>
      <c r="N153" s="192" t="s">
        <v>115</v>
      </c>
      <c r="O153" s="192" t="s">
        <v>1645</v>
      </c>
      <c r="P153" s="192" t="s">
        <v>1649</v>
      </c>
      <c r="Q153" s="428">
        <v>42354</v>
      </c>
      <c r="R153" s="428">
        <v>42354</v>
      </c>
      <c r="S153" s="192" t="s">
        <v>512</v>
      </c>
      <c r="T153" s="192">
        <v>139</v>
      </c>
      <c r="U153" s="192" t="s">
        <v>1287</v>
      </c>
      <c r="V153" s="192" t="s">
        <v>1650</v>
      </c>
      <c r="W153" s="192">
        <v>800249316</v>
      </c>
      <c r="X153" s="192" t="s">
        <v>90</v>
      </c>
      <c r="Y153" s="192" t="s">
        <v>483</v>
      </c>
      <c r="Z153" s="192"/>
      <c r="AA153" s="366">
        <v>662</v>
      </c>
      <c r="AB153" s="506">
        <v>42313</v>
      </c>
      <c r="AC153" s="366">
        <v>901</v>
      </c>
      <c r="AD153" s="391">
        <v>35385419</v>
      </c>
      <c r="AE153" s="391"/>
      <c r="AF153" s="391"/>
      <c r="AG153" s="536">
        <v>35385419</v>
      </c>
      <c r="AH153" s="391"/>
      <c r="AI153" s="391"/>
      <c r="AJ153" s="535"/>
      <c r="AK153" s="535"/>
      <c r="AL153" s="535"/>
      <c r="AM153" s="535"/>
      <c r="AN153" s="535"/>
      <c r="AO153" s="535"/>
      <c r="AP153" s="535"/>
      <c r="AQ153" s="535">
        <f t="shared" si="22"/>
        <v>35385419</v>
      </c>
      <c r="AR153" s="535">
        <f t="shared" si="21"/>
        <v>0</v>
      </c>
      <c r="AS153" s="540"/>
      <c r="AT153" s="192"/>
      <c r="AU153" s="366">
        <v>198</v>
      </c>
      <c r="AV153" s="401">
        <v>42388</v>
      </c>
      <c r="AW153" s="366">
        <v>187</v>
      </c>
      <c r="AX153" s="391">
        <v>35385419</v>
      </c>
      <c r="AY153" s="391"/>
      <c r="AZ153" s="391"/>
      <c r="BA153" s="391">
        <v>35385419</v>
      </c>
      <c r="BB153" s="391"/>
      <c r="BC153" s="391"/>
      <c r="BD153" s="391"/>
      <c r="BE153" s="391"/>
      <c r="BF153" s="391"/>
      <c r="BG153" s="535"/>
      <c r="BH153" s="391"/>
      <c r="BI153" s="391"/>
      <c r="BJ153" s="391"/>
      <c r="BK153" s="535">
        <f t="shared" si="23"/>
        <v>35385419</v>
      </c>
      <c r="BL153" s="535">
        <f t="shared" si="24"/>
        <v>0</v>
      </c>
      <c r="BM153" s="543">
        <f t="shared" si="25"/>
        <v>1</v>
      </c>
      <c r="BN153" s="391"/>
    </row>
    <row r="154" spans="1:66" s="25" customFormat="1" x14ac:dyDescent="0.25">
      <c r="A154" s="491">
        <v>140</v>
      </c>
      <c r="B154" s="65" t="s">
        <v>241</v>
      </c>
      <c r="C154" s="491">
        <v>1171</v>
      </c>
      <c r="D154" s="65" t="s">
        <v>243</v>
      </c>
      <c r="E154" s="491">
        <v>1</v>
      </c>
      <c r="F154" s="585"/>
      <c r="G154" s="585"/>
      <c r="H154" s="585"/>
      <c r="I154" s="585"/>
      <c r="J154" s="585"/>
      <c r="K154" s="655"/>
      <c r="L154" s="192" t="s">
        <v>1651</v>
      </c>
      <c r="M154" s="192" t="s">
        <v>1121</v>
      </c>
      <c r="N154" s="192" t="s">
        <v>115</v>
      </c>
      <c r="O154" s="192" t="s">
        <v>801</v>
      </c>
      <c r="P154" s="192" t="s">
        <v>1120</v>
      </c>
      <c r="Q154" s="428">
        <v>42209</v>
      </c>
      <c r="R154" s="428">
        <v>42212</v>
      </c>
      <c r="S154" s="192" t="s">
        <v>1683</v>
      </c>
      <c r="T154" s="192">
        <v>101</v>
      </c>
      <c r="U154" s="192" t="s">
        <v>1287</v>
      </c>
      <c r="V154" s="192" t="s">
        <v>1652</v>
      </c>
      <c r="W154" s="192" t="s">
        <v>1684</v>
      </c>
      <c r="X154" s="192" t="s">
        <v>90</v>
      </c>
      <c r="Y154" s="192" t="s">
        <v>884</v>
      </c>
      <c r="Z154" s="192"/>
      <c r="AA154" s="366">
        <v>558</v>
      </c>
      <c r="AB154" s="506">
        <v>42209</v>
      </c>
      <c r="AC154" s="366">
        <v>684</v>
      </c>
      <c r="AD154" s="391">
        <v>11700000</v>
      </c>
      <c r="AE154" s="391"/>
      <c r="AF154" s="391"/>
      <c r="AG154" s="391"/>
      <c r="AH154" s="391"/>
      <c r="AI154" s="391"/>
      <c r="AJ154" s="535"/>
      <c r="AK154" s="535"/>
      <c r="AL154" s="535"/>
      <c r="AM154" s="535"/>
      <c r="AN154" s="535">
        <v>1950000</v>
      </c>
      <c r="AO154" s="535"/>
      <c r="AP154" s="535">
        <v>3900000</v>
      </c>
      <c r="AQ154" s="535">
        <f t="shared" si="22"/>
        <v>5850000</v>
      </c>
      <c r="AR154" s="535">
        <f t="shared" si="21"/>
        <v>5850000</v>
      </c>
      <c r="AS154" s="540"/>
      <c r="AT154" s="192"/>
      <c r="AU154" s="366">
        <v>102</v>
      </c>
      <c r="AV154" s="401">
        <v>42388</v>
      </c>
      <c r="AW154" s="366">
        <v>95</v>
      </c>
      <c r="AX154" s="391">
        <v>3900000</v>
      </c>
      <c r="AY154" s="391"/>
      <c r="AZ154" s="391">
        <v>1950000</v>
      </c>
      <c r="BA154" s="391"/>
      <c r="BB154" s="391"/>
      <c r="BC154" s="391">
        <v>1950000</v>
      </c>
      <c r="BD154" s="391"/>
      <c r="BE154" s="391"/>
      <c r="BF154" s="391"/>
      <c r="BG154" s="535"/>
      <c r="BH154" s="391"/>
      <c r="BI154" s="391"/>
      <c r="BJ154" s="391"/>
      <c r="BK154" s="535">
        <f t="shared" si="23"/>
        <v>3900000</v>
      </c>
      <c r="BL154" s="535">
        <f t="shared" si="24"/>
        <v>0</v>
      </c>
      <c r="BM154" s="543">
        <f t="shared" si="25"/>
        <v>1</v>
      </c>
      <c r="BN154" s="391"/>
    </row>
    <row r="155" spans="1:66" s="25" customFormat="1" x14ac:dyDescent="0.25">
      <c r="A155" s="491">
        <v>140</v>
      </c>
      <c r="B155" s="65" t="s">
        <v>241</v>
      </c>
      <c r="C155" s="491">
        <v>1171</v>
      </c>
      <c r="D155" s="65" t="s">
        <v>243</v>
      </c>
      <c r="E155" s="491">
        <v>1</v>
      </c>
      <c r="F155" s="585"/>
      <c r="G155" s="585"/>
      <c r="H155" s="585"/>
      <c r="I155" s="585"/>
      <c r="J155" s="585"/>
      <c r="K155" s="655"/>
      <c r="L155" s="192" t="s">
        <v>1653</v>
      </c>
      <c r="M155" s="192" t="s">
        <v>1121</v>
      </c>
      <c r="N155" s="192" t="s">
        <v>115</v>
      </c>
      <c r="O155" s="192" t="s">
        <v>1095</v>
      </c>
      <c r="P155" s="192" t="s">
        <v>1120</v>
      </c>
      <c r="Q155" s="428">
        <v>42335</v>
      </c>
      <c r="R155" s="428">
        <v>42340</v>
      </c>
      <c r="S155" s="192" t="s">
        <v>1683</v>
      </c>
      <c r="T155" s="192">
        <v>130</v>
      </c>
      <c r="U155" s="192" t="s">
        <v>1287</v>
      </c>
      <c r="V155" s="192" t="s">
        <v>1594</v>
      </c>
      <c r="W155" s="192" t="s">
        <v>1685</v>
      </c>
      <c r="X155" s="192" t="s">
        <v>90</v>
      </c>
      <c r="Y155" s="192" t="s">
        <v>884</v>
      </c>
      <c r="Z155" s="192"/>
      <c r="AA155" s="366">
        <v>669</v>
      </c>
      <c r="AB155" s="506">
        <v>42317</v>
      </c>
      <c r="AC155" s="366">
        <v>868</v>
      </c>
      <c r="AD155" s="391">
        <v>7650000</v>
      </c>
      <c r="AE155" s="391"/>
      <c r="AF155" s="391"/>
      <c r="AG155" s="536">
        <v>1275000</v>
      </c>
      <c r="AH155" s="391"/>
      <c r="AI155" s="391"/>
      <c r="AJ155" s="535"/>
      <c r="AK155" s="535"/>
      <c r="AL155" s="535"/>
      <c r="AM155" s="535"/>
      <c r="AN155" s="535"/>
      <c r="AO155" s="535"/>
      <c r="AP155" s="535"/>
      <c r="AQ155" s="535">
        <f t="shared" si="22"/>
        <v>1275000</v>
      </c>
      <c r="AR155" s="535">
        <f t="shared" si="21"/>
        <v>6375000</v>
      </c>
      <c r="AS155" s="540"/>
      <c r="AT155" s="192"/>
      <c r="AU155" s="366">
        <v>185</v>
      </c>
      <c r="AV155" s="401">
        <v>42388</v>
      </c>
      <c r="AW155" s="366">
        <v>177</v>
      </c>
      <c r="AX155" s="391">
        <v>7650000</v>
      </c>
      <c r="AY155" s="391"/>
      <c r="AZ155" s="391">
        <v>1275000</v>
      </c>
      <c r="BA155" s="391">
        <v>1275000</v>
      </c>
      <c r="BB155" s="391"/>
      <c r="BC155" s="391">
        <f>1275000+1275000</f>
        <v>2550000</v>
      </c>
      <c r="BD155" s="391"/>
      <c r="BE155" s="391">
        <v>1275000</v>
      </c>
      <c r="BF155" s="391"/>
      <c r="BG155" s="535"/>
      <c r="BH155" s="391"/>
      <c r="BI155" s="391"/>
      <c r="BJ155" s="391"/>
      <c r="BK155" s="535">
        <f t="shared" si="23"/>
        <v>6375000</v>
      </c>
      <c r="BL155" s="535">
        <f t="shared" si="24"/>
        <v>1275000</v>
      </c>
      <c r="BM155" s="543">
        <f t="shared" si="25"/>
        <v>0.83333333333333337</v>
      </c>
      <c r="BN155" s="391"/>
    </row>
    <row r="156" spans="1:66" s="25" customFormat="1" x14ac:dyDescent="0.25">
      <c r="A156" s="491">
        <v>140</v>
      </c>
      <c r="B156" s="65" t="s">
        <v>241</v>
      </c>
      <c r="C156" s="491">
        <v>1171</v>
      </c>
      <c r="D156" s="65" t="s">
        <v>243</v>
      </c>
      <c r="E156" s="491">
        <v>1</v>
      </c>
      <c r="F156" s="585"/>
      <c r="G156" s="585"/>
      <c r="H156" s="585"/>
      <c r="I156" s="585"/>
      <c r="J156" s="585"/>
      <c r="K156" s="655"/>
      <c r="L156" s="192" t="s">
        <v>1595</v>
      </c>
      <c r="M156" s="192" t="s">
        <v>1121</v>
      </c>
      <c r="N156" s="192" t="s">
        <v>115</v>
      </c>
      <c r="O156" s="431" t="s">
        <v>1113</v>
      </c>
      <c r="P156" s="431" t="s">
        <v>1686</v>
      </c>
      <c r="Q156" s="428">
        <v>42335</v>
      </c>
      <c r="R156" s="428">
        <v>42340</v>
      </c>
      <c r="S156" s="192" t="s">
        <v>1683</v>
      </c>
      <c r="T156" s="192">
        <v>131</v>
      </c>
      <c r="U156" s="192" t="s">
        <v>1287</v>
      </c>
      <c r="V156" s="192" t="s">
        <v>1596</v>
      </c>
      <c r="W156" s="192">
        <v>9008908119</v>
      </c>
      <c r="X156" s="192" t="s">
        <v>90</v>
      </c>
      <c r="Y156" s="192" t="s">
        <v>884</v>
      </c>
      <c r="Z156" s="192"/>
      <c r="AA156" s="366">
        <v>668</v>
      </c>
      <c r="AB156" s="506">
        <v>42317</v>
      </c>
      <c r="AC156" s="366">
        <v>870</v>
      </c>
      <c r="AD156" s="391">
        <v>9800000</v>
      </c>
      <c r="AE156" s="391"/>
      <c r="AF156" s="391"/>
      <c r="AG156" s="536">
        <v>2541102</v>
      </c>
      <c r="AH156" s="391"/>
      <c r="AI156" s="391"/>
      <c r="AJ156" s="535"/>
      <c r="AK156" s="535"/>
      <c r="AL156" s="535"/>
      <c r="AM156" s="535"/>
      <c r="AN156" s="535"/>
      <c r="AO156" s="535"/>
      <c r="AP156" s="535"/>
      <c r="AQ156" s="535">
        <f t="shared" si="22"/>
        <v>2541102</v>
      </c>
      <c r="AR156" s="535">
        <f t="shared" si="21"/>
        <v>7258898</v>
      </c>
      <c r="AS156" s="540"/>
      <c r="AT156" s="192"/>
      <c r="AU156" s="366">
        <v>187</v>
      </c>
      <c r="AV156" s="401">
        <v>42388</v>
      </c>
      <c r="AW156" s="366">
        <v>178</v>
      </c>
      <c r="AX156" s="391">
        <v>9800000</v>
      </c>
      <c r="AY156" s="391"/>
      <c r="AZ156" s="391"/>
      <c r="BA156" s="391">
        <f>1981541+559561</f>
        <v>2541102</v>
      </c>
      <c r="BB156" s="391"/>
      <c r="BC156" s="391">
        <v>1150198</v>
      </c>
      <c r="BD156" s="391"/>
      <c r="BE156" s="391">
        <v>2733656</v>
      </c>
      <c r="BF156" s="391"/>
      <c r="BG156" s="535"/>
      <c r="BH156" s="391"/>
      <c r="BI156" s="391"/>
      <c r="BJ156" s="539">
        <v>2152218</v>
      </c>
      <c r="BK156" s="535">
        <f t="shared" si="23"/>
        <v>8577174</v>
      </c>
      <c r="BL156" s="535">
        <f t="shared" si="24"/>
        <v>1222826</v>
      </c>
      <c r="BM156" s="543">
        <f t="shared" si="25"/>
        <v>0.87522183673469389</v>
      </c>
      <c r="BN156" s="391"/>
    </row>
    <row r="157" spans="1:66" s="25" customFormat="1" x14ac:dyDescent="0.25">
      <c r="A157" s="491">
        <v>140</v>
      </c>
      <c r="B157" s="65" t="s">
        <v>241</v>
      </c>
      <c r="C157" s="491">
        <v>1171</v>
      </c>
      <c r="D157" s="65" t="s">
        <v>243</v>
      </c>
      <c r="E157" s="491">
        <v>1</v>
      </c>
      <c r="F157" s="585"/>
      <c r="G157" s="585"/>
      <c r="H157" s="585"/>
      <c r="I157" s="585"/>
      <c r="J157" s="585"/>
      <c r="K157" s="655"/>
      <c r="L157" s="192" t="s">
        <v>1656</v>
      </c>
      <c r="M157" s="192" t="s">
        <v>1121</v>
      </c>
      <c r="N157" s="192" t="s">
        <v>115</v>
      </c>
      <c r="O157" s="192" t="s">
        <v>801</v>
      </c>
      <c r="P157" s="431" t="s">
        <v>1641</v>
      </c>
      <c r="Q157" s="428">
        <v>42242</v>
      </c>
      <c r="R157" s="428">
        <v>42262</v>
      </c>
      <c r="S157" s="192" t="s">
        <v>807</v>
      </c>
      <c r="T157" s="192">
        <v>109</v>
      </c>
      <c r="U157" s="192" t="s">
        <v>1287</v>
      </c>
      <c r="V157" s="192" t="s">
        <v>1657</v>
      </c>
      <c r="W157" s="192">
        <v>79538529</v>
      </c>
      <c r="X157" s="192" t="s">
        <v>90</v>
      </c>
      <c r="Y157" s="192" t="s">
        <v>884</v>
      </c>
      <c r="Z157" s="192"/>
      <c r="AA157" s="366">
        <v>556</v>
      </c>
      <c r="AB157" s="506">
        <v>42188</v>
      </c>
      <c r="AC157" s="366">
        <v>740</v>
      </c>
      <c r="AD157" s="391">
        <v>60000000</v>
      </c>
      <c r="AE157" s="391"/>
      <c r="AF157" s="391"/>
      <c r="AG157" s="536">
        <v>19800000</v>
      </c>
      <c r="AH157" s="391"/>
      <c r="AI157" s="391"/>
      <c r="AJ157" s="535"/>
      <c r="AK157" s="535"/>
      <c r="AL157" s="535"/>
      <c r="AM157" s="535"/>
      <c r="AN157" s="535"/>
      <c r="AO157" s="535"/>
      <c r="AP157" s="535">
        <v>15000000</v>
      </c>
      <c r="AQ157" s="535">
        <f t="shared" si="22"/>
        <v>34800000</v>
      </c>
      <c r="AR157" s="535">
        <f t="shared" si="21"/>
        <v>25200000</v>
      </c>
      <c r="AS157" s="540"/>
      <c r="AT157" s="192"/>
      <c r="AU157" s="366">
        <v>143</v>
      </c>
      <c r="AV157" s="401">
        <v>42388</v>
      </c>
      <c r="AW157" s="366">
        <v>136</v>
      </c>
      <c r="AX157" s="391">
        <v>19800000</v>
      </c>
      <c r="AY157" s="391"/>
      <c r="AZ157" s="391"/>
      <c r="BA157" s="391">
        <v>19800000</v>
      </c>
      <c r="BB157" s="391"/>
      <c r="BC157" s="391"/>
      <c r="BD157" s="391"/>
      <c r="BE157" s="391"/>
      <c r="BF157" s="391"/>
      <c r="BG157" s="535"/>
      <c r="BH157" s="391"/>
      <c r="BI157" s="391"/>
      <c r="BJ157" s="391"/>
      <c r="BK157" s="535">
        <f t="shared" si="23"/>
        <v>19800000</v>
      </c>
      <c r="BL157" s="535">
        <f t="shared" si="24"/>
        <v>0</v>
      </c>
      <c r="BM157" s="543">
        <f t="shared" si="25"/>
        <v>1</v>
      </c>
      <c r="BN157" s="391"/>
    </row>
    <row r="158" spans="1:66" s="25" customFormat="1" x14ac:dyDescent="0.25">
      <c r="A158" s="491">
        <v>140</v>
      </c>
      <c r="B158" s="65" t="s">
        <v>241</v>
      </c>
      <c r="C158" s="491">
        <v>1171</v>
      </c>
      <c r="D158" s="65" t="s">
        <v>243</v>
      </c>
      <c r="E158" s="491">
        <v>1</v>
      </c>
      <c r="F158" s="585"/>
      <c r="G158" s="585"/>
      <c r="H158" s="585"/>
      <c r="I158" s="585"/>
      <c r="J158" s="585"/>
      <c r="K158" s="655"/>
      <c r="L158" s="192" t="s">
        <v>1658</v>
      </c>
      <c r="M158" s="192" t="s">
        <v>1121</v>
      </c>
      <c r="N158" s="192" t="s">
        <v>115</v>
      </c>
      <c r="O158" s="192" t="s">
        <v>801</v>
      </c>
      <c r="P158" s="431" t="s">
        <v>1641</v>
      </c>
      <c r="Q158" s="428">
        <v>42353</v>
      </c>
      <c r="R158" s="428">
        <v>42262</v>
      </c>
      <c r="S158" s="192" t="s">
        <v>724</v>
      </c>
      <c r="T158" s="192">
        <v>109</v>
      </c>
      <c r="U158" s="192" t="s">
        <v>1287</v>
      </c>
      <c r="V158" s="192" t="s">
        <v>1657</v>
      </c>
      <c r="W158" s="192">
        <v>79538529</v>
      </c>
      <c r="X158" s="192" t="s">
        <v>90</v>
      </c>
      <c r="Y158" s="192" t="s">
        <v>884</v>
      </c>
      <c r="Z158" s="192"/>
      <c r="AA158" s="366">
        <v>682</v>
      </c>
      <c r="AB158" s="506">
        <v>42342</v>
      </c>
      <c r="AC158" s="366">
        <v>896</v>
      </c>
      <c r="AD158" s="391">
        <v>30000000</v>
      </c>
      <c r="AE158" s="391"/>
      <c r="AF158" s="391"/>
      <c r="AG158" s="536">
        <v>30000000</v>
      </c>
      <c r="AH158" s="391"/>
      <c r="AI158" s="391"/>
      <c r="AJ158" s="535"/>
      <c r="AK158" s="535"/>
      <c r="AL158" s="535"/>
      <c r="AM158" s="535"/>
      <c r="AN158" s="535"/>
      <c r="AO158" s="535"/>
      <c r="AP158" s="535"/>
      <c r="AQ158" s="535">
        <f t="shared" si="22"/>
        <v>30000000</v>
      </c>
      <c r="AR158" s="535">
        <f t="shared" si="21"/>
        <v>0</v>
      </c>
      <c r="AS158" s="540"/>
      <c r="AT158" s="192"/>
      <c r="AU158" s="366">
        <v>195</v>
      </c>
      <c r="AV158" s="401">
        <v>42388</v>
      </c>
      <c r="AW158" s="366">
        <v>184</v>
      </c>
      <c r="AX158" s="391">
        <v>30000000</v>
      </c>
      <c r="AY158" s="391"/>
      <c r="AZ158" s="391"/>
      <c r="BA158" s="391">
        <v>30000000</v>
      </c>
      <c r="BB158" s="391"/>
      <c r="BC158" s="391"/>
      <c r="BD158" s="391"/>
      <c r="BE158" s="391"/>
      <c r="BF158" s="391"/>
      <c r="BG158" s="535"/>
      <c r="BH158" s="391"/>
      <c r="BI158" s="391"/>
      <c r="BJ158" s="391"/>
      <c r="BK158" s="535">
        <f t="shared" si="23"/>
        <v>30000000</v>
      </c>
      <c r="BL158" s="535">
        <f t="shared" si="24"/>
        <v>0</v>
      </c>
      <c r="BM158" s="543">
        <f t="shared" si="25"/>
        <v>1</v>
      </c>
      <c r="BN158" s="391"/>
    </row>
    <row r="159" spans="1:66" s="25" customFormat="1" x14ac:dyDescent="0.25">
      <c r="A159" s="491">
        <v>140</v>
      </c>
      <c r="B159" s="65" t="s">
        <v>241</v>
      </c>
      <c r="C159" s="491">
        <v>1171</v>
      </c>
      <c r="D159" s="65" t="s">
        <v>243</v>
      </c>
      <c r="E159" s="491">
        <v>1</v>
      </c>
      <c r="F159" s="585"/>
      <c r="G159" s="585"/>
      <c r="H159" s="585"/>
      <c r="I159" s="585"/>
      <c r="J159" s="585"/>
      <c r="K159" s="655"/>
      <c r="L159" s="192" t="s">
        <v>1659</v>
      </c>
      <c r="M159" s="192" t="s">
        <v>1121</v>
      </c>
      <c r="N159" s="192" t="s">
        <v>115</v>
      </c>
      <c r="O159" s="192" t="s">
        <v>1095</v>
      </c>
      <c r="P159" s="431" t="s">
        <v>1026</v>
      </c>
      <c r="Q159" s="428">
        <v>42262</v>
      </c>
      <c r="R159" s="428">
        <v>42262</v>
      </c>
      <c r="S159" s="192" t="s">
        <v>807</v>
      </c>
      <c r="T159" s="192">
        <v>114</v>
      </c>
      <c r="U159" s="192" t="s">
        <v>1287</v>
      </c>
      <c r="V159" s="192" t="s">
        <v>1660</v>
      </c>
      <c r="W159" s="192">
        <v>79514880</v>
      </c>
      <c r="X159" s="192" t="s">
        <v>90</v>
      </c>
      <c r="Y159" s="192" t="s">
        <v>884</v>
      </c>
      <c r="Z159" s="192"/>
      <c r="AA159" s="366">
        <v>114</v>
      </c>
      <c r="AB159" s="506">
        <v>42262</v>
      </c>
      <c r="AC159" s="366">
        <v>784</v>
      </c>
      <c r="AD159" s="391">
        <v>10800000</v>
      </c>
      <c r="AE159" s="391"/>
      <c r="AF159" s="391"/>
      <c r="AG159" s="536">
        <v>7200000</v>
      </c>
      <c r="AH159" s="391"/>
      <c r="AI159" s="391"/>
      <c r="AJ159" s="535"/>
      <c r="AK159" s="535"/>
      <c r="AL159" s="535"/>
      <c r="AM159" s="535"/>
      <c r="AN159" s="535"/>
      <c r="AO159" s="535"/>
      <c r="AP159" s="535">
        <v>1800000</v>
      </c>
      <c r="AQ159" s="535">
        <f t="shared" si="22"/>
        <v>9000000</v>
      </c>
      <c r="AR159" s="535">
        <f t="shared" si="21"/>
        <v>1800000</v>
      </c>
      <c r="AS159" s="540"/>
      <c r="AT159" s="192"/>
      <c r="AU159" s="366">
        <v>164</v>
      </c>
      <c r="AV159" s="173">
        <v>42388</v>
      </c>
      <c r="AW159" s="366">
        <v>157</v>
      </c>
      <c r="AX159" s="391">
        <v>7200000</v>
      </c>
      <c r="AY159" s="391"/>
      <c r="AZ159" s="391"/>
      <c r="BA159" s="391">
        <v>7200000</v>
      </c>
      <c r="BB159" s="391"/>
      <c r="BC159" s="391"/>
      <c r="BD159" s="391"/>
      <c r="BE159" s="391"/>
      <c r="BF159" s="391"/>
      <c r="BG159" s="535"/>
      <c r="BH159" s="391"/>
      <c r="BI159" s="391"/>
      <c r="BJ159" s="391"/>
      <c r="BK159" s="535">
        <f t="shared" si="23"/>
        <v>7200000</v>
      </c>
      <c r="BL159" s="535">
        <f t="shared" si="24"/>
        <v>0</v>
      </c>
      <c r="BM159" s="543">
        <f t="shared" si="25"/>
        <v>1</v>
      </c>
      <c r="BN159" s="391"/>
    </row>
    <row r="160" spans="1:66" s="25" customFormat="1" x14ac:dyDescent="0.25">
      <c r="A160" s="491">
        <v>140</v>
      </c>
      <c r="B160" s="65" t="s">
        <v>241</v>
      </c>
      <c r="C160" s="491">
        <v>1171</v>
      </c>
      <c r="D160" s="65" t="s">
        <v>243</v>
      </c>
      <c r="E160" s="491">
        <v>1</v>
      </c>
      <c r="F160" s="585"/>
      <c r="G160" s="585"/>
      <c r="H160" s="585"/>
      <c r="I160" s="585"/>
      <c r="J160" s="585"/>
      <c r="K160" s="655"/>
      <c r="L160" s="192" t="s">
        <v>1661</v>
      </c>
      <c r="M160" s="192" t="s">
        <v>1121</v>
      </c>
      <c r="N160" s="192" t="s">
        <v>115</v>
      </c>
      <c r="O160" s="192" t="s">
        <v>1286</v>
      </c>
      <c r="P160" s="431" t="s">
        <v>1641</v>
      </c>
      <c r="Q160" s="428">
        <v>42366</v>
      </c>
      <c r="R160" s="191"/>
      <c r="S160" s="192" t="s">
        <v>1292</v>
      </c>
      <c r="T160" s="192">
        <v>152</v>
      </c>
      <c r="U160" s="192" t="s">
        <v>1287</v>
      </c>
      <c r="V160" s="192" t="s">
        <v>1525</v>
      </c>
      <c r="W160" s="433" t="s">
        <v>1541</v>
      </c>
      <c r="X160" s="192" t="s">
        <v>90</v>
      </c>
      <c r="Y160" s="192" t="s">
        <v>884</v>
      </c>
      <c r="Z160" s="192"/>
      <c r="AA160" s="366">
        <v>672</v>
      </c>
      <c r="AB160" s="506">
        <v>42319</v>
      </c>
      <c r="AC160" s="366">
        <v>918</v>
      </c>
      <c r="AD160" s="391">
        <v>40000000</v>
      </c>
      <c r="AE160" s="391"/>
      <c r="AF160" s="391"/>
      <c r="AG160" s="391"/>
      <c r="AH160" s="391"/>
      <c r="AI160" s="391"/>
      <c r="AJ160" s="535"/>
      <c r="AK160" s="535"/>
      <c r="AL160" s="535"/>
      <c r="AM160" s="535"/>
      <c r="AN160" s="535"/>
      <c r="AO160" s="535"/>
      <c r="AP160" s="535"/>
      <c r="AQ160" s="535">
        <f t="shared" si="22"/>
        <v>0</v>
      </c>
      <c r="AR160" s="535">
        <f t="shared" si="21"/>
        <v>40000000</v>
      </c>
      <c r="AS160" s="540"/>
      <c r="AT160" s="192"/>
      <c r="AU160" s="366">
        <v>214</v>
      </c>
      <c r="AV160" s="401">
        <v>42388</v>
      </c>
      <c r="AW160" s="366">
        <v>200</v>
      </c>
      <c r="AX160" s="391">
        <v>40000000</v>
      </c>
      <c r="AY160" s="391"/>
      <c r="AZ160" s="391"/>
      <c r="BA160" s="391"/>
      <c r="BB160" s="391"/>
      <c r="BC160" s="391"/>
      <c r="BD160" s="391"/>
      <c r="BE160" s="391"/>
      <c r="BF160" s="391"/>
      <c r="BG160" s="535"/>
      <c r="BH160" s="391">
        <v>14611975</v>
      </c>
      <c r="BI160" s="391">
        <v>15787020</v>
      </c>
      <c r="BJ160" s="391"/>
      <c r="BK160" s="535">
        <f t="shared" si="23"/>
        <v>30398995</v>
      </c>
      <c r="BL160" s="535">
        <f t="shared" si="24"/>
        <v>9601005</v>
      </c>
      <c r="BM160" s="543">
        <f t="shared" si="25"/>
        <v>0.75997487500000005</v>
      </c>
      <c r="BN160" s="391"/>
    </row>
    <row r="161" spans="1:241" s="25" customFormat="1" x14ac:dyDescent="0.25">
      <c r="A161" s="491">
        <v>140</v>
      </c>
      <c r="B161" s="65" t="s">
        <v>241</v>
      </c>
      <c r="C161" s="491">
        <v>1171</v>
      </c>
      <c r="D161" s="65" t="s">
        <v>243</v>
      </c>
      <c r="E161" s="491">
        <v>1</v>
      </c>
      <c r="F161" s="585"/>
      <c r="G161" s="585"/>
      <c r="H161" s="585"/>
      <c r="I161" s="585"/>
      <c r="J161" s="585"/>
      <c r="K161" s="655"/>
      <c r="L161" s="192" t="s">
        <v>1654</v>
      </c>
      <c r="M161" s="192" t="s">
        <v>1121</v>
      </c>
      <c r="N161" s="192" t="s">
        <v>115</v>
      </c>
      <c r="O161" s="192" t="s">
        <v>1095</v>
      </c>
      <c r="P161" s="192" t="s">
        <v>1649</v>
      </c>
      <c r="Q161" s="428">
        <v>42352</v>
      </c>
      <c r="R161" s="428">
        <v>42373</v>
      </c>
      <c r="S161" s="192" t="s">
        <v>1446</v>
      </c>
      <c r="T161" s="192">
        <v>136</v>
      </c>
      <c r="U161" s="192" t="s">
        <v>1287</v>
      </c>
      <c r="V161" s="192" t="s">
        <v>1655</v>
      </c>
      <c r="W161" s="192" t="s">
        <v>1689</v>
      </c>
      <c r="X161" s="192" t="s">
        <v>90</v>
      </c>
      <c r="Y161" s="192" t="s">
        <v>870</v>
      </c>
      <c r="Z161" s="192"/>
      <c r="AA161" s="366">
        <v>677</v>
      </c>
      <c r="AB161" s="506">
        <v>42328</v>
      </c>
      <c r="AC161" s="366">
        <v>883</v>
      </c>
      <c r="AD161" s="391">
        <v>18000000</v>
      </c>
      <c r="AE161" s="391"/>
      <c r="AF161" s="391"/>
      <c r="AG161" s="536">
        <v>17928460</v>
      </c>
      <c r="AH161" s="391"/>
      <c r="AI161" s="391"/>
      <c r="AJ161" s="535"/>
      <c r="AK161" s="535"/>
      <c r="AL161" s="535"/>
      <c r="AM161" s="535"/>
      <c r="AN161" s="535"/>
      <c r="AO161" s="535"/>
      <c r="AP161" s="535"/>
      <c r="AQ161" s="535">
        <f t="shared" si="22"/>
        <v>17928460</v>
      </c>
      <c r="AR161" s="535">
        <f t="shared" si="21"/>
        <v>71540</v>
      </c>
      <c r="AS161" s="540"/>
      <c r="AT161" s="192"/>
      <c r="AU161" s="366">
        <v>194</v>
      </c>
      <c r="AV161" s="401">
        <v>42388</v>
      </c>
      <c r="AW161" s="366">
        <v>183</v>
      </c>
      <c r="AX161" s="391">
        <v>18000000</v>
      </c>
      <c r="AY161" s="391"/>
      <c r="AZ161" s="391"/>
      <c r="BA161" s="391">
        <v>17928460</v>
      </c>
      <c r="BB161" s="391"/>
      <c r="BC161" s="391"/>
      <c r="BD161" s="391"/>
      <c r="BE161" s="391"/>
      <c r="BF161" s="391"/>
      <c r="BG161" s="535"/>
      <c r="BH161" s="391"/>
      <c r="BI161" s="391"/>
      <c r="BJ161" s="391"/>
      <c r="BK161" s="535">
        <f t="shared" si="23"/>
        <v>17928460</v>
      </c>
      <c r="BL161" s="535">
        <f t="shared" si="24"/>
        <v>71540</v>
      </c>
      <c r="BM161" s="543">
        <f t="shared" si="25"/>
        <v>0.99602555555555561</v>
      </c>
      <c r="BN161" s="391"/>
    </row>
    <row r="162" spans="1:241" s="25" customFormat="1" x14ac:dyDescent="0.25">
      <c r="A162" s="490">
        <v>141</v>
      </c>
      <c r="B162" s="63" t="s">
        <v>247</v>
      </c>
      <c r="C162" s="490">
        <v>1171</v>
      </c>
      <c r="D162" s="63" t="s">
        <v>243</v>
      </c>
      <c r="E162" s="490">
        <v>2</v>
      </c>
      <c r="F162" s="559" t="s">
        <v>130</v>
      </c>
      <c r="G162" s="559">
        <v>7</v>
      </c>
      <c r="H162" s="559" t="s">
        <v>249</v>
      </c>
      <c r="I162" s="559" t="s">
        <v>250</v>
      </c>
      <c r="J162" s="559"/>
      <c r="K162" s="606"/>
      <c r="L162" s="192" t="s">
        <v>90</v>
      </c>
      <c r="M162" s="192" t="s">
        <v>1121</v>
      </c>
      <c r="N162" s="192" t="s">
        <v>115</v>
      </c>
      <c r="O162" s="192" t="s">
        <v>90</v>
      </c>
      <c r="P162" s="192" t="s">
        <v>90</v>
      </c>
      <c r="Q162" s="191" t="s">
        <v>90</v>
      </c>
      <c r="R162" s="191" t="s">
        <v>90</v>
      </c>
      <c r="S162" s="192" t="s">
        <v>90</v>
      </c>
      <c r="T162" s="192" t="s">
        <v>90</v>
      </c>
      <c r="U162" s="192" t="s">
        <v>745</v>
      </c>
      <c r="V162" s="192" t="s">
        <v>90</v>
      </c>
      <c r="W162" s="192" t="s">
        <v>90</v>
      </c>
      <c r="X162" s="192" t="s">
        <v>90</v>
      </c>
      <c r="Y162" s="192" t="s">
        <v>90</v>
      </c>
      <c r="Z162" s="192"/>
      <c r="AA162" s="366" t="s">
        <v>90</v>
      </c>
      <c r="AB162" s="173" t="s">
        <v>90</v>
      </c>
      <c r="AC162" s="366" t="s">
        <v>90</v>
      </c>
      <c r="AD162" s="391">
        <f>156191924+39047981+39047981+39047981+78095962+39047981+39047981+39047981</f>
        <v>468575772</v>
      </c>
      <c r="AE162" s="391"/>
      <c r="AF162" s="391">
        <v>39047981</v>
      </c>
      <c r="AG162" s="391">
        <v>39047981</v>
      </c>
      <c r="AH162" s="391">
        <v>39047981</v>
      </c>
      <c r="AI162" s="391">
        <v>39047981</v>
      </c>
      <c r="AJ162" s="391">
        <v>39047981</v>
      </c>
      <c r="AK162" s="391">
        <v>39047981</v>
      </c>
      <c r="AL162" s="535">
        <v>39047981</v>
      </c>
      <c r="AM162" s="535">
        <v>39047981</v>
      </c>
      <c r="AN162" s="535">
        <v>39047981</v>
      </c>
      <c r="AO162" s="535">
        <f>7*5578283</f>
        <v>39047981</v>
      </c>
      <c r="AP162" s="535">
        <f>39047981+39047981</f>
        <v>78095962</v>
      </c>
      <c r="AQ162" s="535">
        <f t="shared" si="22"/>
        <v>468575772</v>
      </c>
      <c r="AR162" s="535">
        <f t="shared" si="21"/>
        <v>0</v>
      </c>
      <c r="AS162" s="540">
        <f>+AQ162/AD162</f>
        <v>1</v>
      </c>
      <c r="AT162" s="192"/>
      <c r="AU162" s="366"/>
      <c r="AV162" s="366"/>
      <c r="AW162" s="366"/>
      <c r="AX162" s="391"/>
      <c r="AY162" s="391"/>
      <c r="AZ162" s="391"/>
      <c r="BA162" s="391"/>
      <c r="BB162" s="391">
        <f>3666667+453332</f>
        <v>4119999</v>
      </c>
      <c r="BC162" s="391"/>
      <c r="BD162" s="391"/>
      <c r="BE162" s="391"/>
      <c r="BF162" s="391"/>
      <c r="BG162" s="535"/>
      <c r="BH162" s="391"/>
      <c r="BI162" s="391"/>
      <c r="BJ162" s="391"/>
      <c r="BK162" s="535">
        <f t="shared" si="23"/>
        <v>4119999</v>
      </c>
      <c r="BL162" s="535">
        <f t="shared" si="24"/>
        <v>-4119999</v>
      </c>
      <c r="BM162" s="543" t="e">
        <f t="shared" si="25"/>
        <v>#DIV/0!</v>
      </c>
      <c r="BN162" s="391"/>
    </row>
    <row r="163" spans="1:241" s="25" customFormat="1" x14ac:dyDescent="0.25">
      <c r="A163" s="490">
        <v>141</v>
      </c>
      <c r="B163" s="63" t="s">
        <v>247</v>
      </c>
      <c r="C163" s="490">
        <v>1171</v>
      </c>
      <c r="D163" s="63" t="s">
        <v>243</v>
      </c>
      <c r="E163" s="490">
        <v>2</v>
      </c>
      <c r="F163" s="559"/>
      <c r="G163" s="559"/>
      <c r="H163" s="559"/>
      <c r="I163" s="559"/>
      <c r="J163" s="559"/>
      <c r="K163" s="606"/>
      <c r="L163" s="192"/>
      <c r="M163" s="192"/>
      <c r="N163" s="192"/>
      <c r="O163" s="192"/>
      <c r="P163" s="192"/>
      <c r="Q163" s="191"/>
      <c r="R163" s="191"/>
      <c r="S163" s="192"/>
      <c r="T163" s="192"/>
      <c r="U163" s="192"/>
      <c r="V163" s="192"/>
      <c r="W163" s="192"/>
      <c r="X163" s="192"/>
      <c r="Y163" s="192"/>
      <c r="Z163" s="192"/>
      <c r="AA163" s="366"/>
      <c r="AB163" s="173"/>
      <c r="AC163" s="366"/>
      <c r="AD163" s="391"/>
      <c r="AE163" s="391"/>
      <c r="AF163" s="391"/>
      <c r="AG163" s="391"/>
      <c r="AH163" s="391"/>
      <c r="AI163" s="391"/>
      <c r="AJ163" s="391"/>
      <c r="AK163" s="391"/>
      <c r="AL163" s="535"/>
      <c r="AM163" s="535"/>
      <c r="AN163" s="535"/>
      <c r="AO163" s="535"/>
      <c r="AP163" s="535"/>
      <c r="AQ163" s="535"/>
      <c r="AR163" s="535"/>
      <c r="AS163" s="540"/>
      <c r="AT163" s="192"/>
      <c r="AU163" s="366"/>
      <c r="AV163" s="366"/>
      <c r="AW163" s="366"/>
      <c r="AX163" s="391"/>
      <c r="AY163" s="391"/>
      <c r="AZ163" s="391"/>
      <c r="BA163" s="391"/>
      <c r="BB163" s="391"/>
      <c r="BC163" s="391"/>
      <c r="BD163" s="391"/>
      <c r="BE163" s="391"/>
      <c r="BF163" s="391"/>
      <c r="BG163" s="535"/>
      <c r="BH163" s="391"/>
      <c r="BI163" s="391"/>
      <c r="BJ163" s="391"/>
      <c r="BK163" s="535">
        <f t="shared" si="23"/>
        <v>0</v>
      </c>
      <c r="BL163" s="535">
        <f t="shared" si="24"/>
        <v>0</v>
      </c>
      <c r="BM163" s="543" t="e">
        <f t="shared" si="25"/>
        <v>#DIV/0!</v>
      </c>
      <c r="BN163" s="391"/>
    </row>
    <row r="164" spans="1:241" s="25" customFormat="1" x14ac:dyDescent="0.25">
      <c r="A164" s="490">
        <v>141</v>
      </c>
      <c r="B164" s="63" t="s">
        <v>247</v>
      </c>
      <c r="C164" s="490">
        <v>1171</v>
      </c>
      <c r="D164" s="63" t="s">
        <v>243</v>
      </c>
      <c r="E164" s="490">
        <v>2</v>
      </c>
      <c r="F164" s="559"/>
      <c r="G164" s="559"/>
      <c r="H164" s="559"/>
      <c r="I164" s="559"/>
      <c r="J164" s="559"/>
      <c r="K164" s="606"/>
      <c r="L164" s="192"/>
      <c r="M164" s="192"/>
      <c r="N164" s="192"/>
      <c r="O164" s="192"/>
      <c r="P164" s="192"/>
      <c r="Q164" s="191"/>
      <c r="R164" s="191"/>
      <c r="S164" s="192"/>
      <c r="T164" s="192"/>
      <c r="U164" s="192"/>
      <c r="V164" s="192"/>
      <c r="W164" s="192"/>
      <c r="X164" s="192"/>
      <c r="Y164" s="192"/>
      <c r="Z164" s="192"/>
      <c r="AA164" s="366"/>
      <c r="AB164" s="173"/>
      <c r="AC164" s="366"/>
      <c r="AD164" s="391"/>
      <c r="AE164" s="391"/>
      <c r="AF164" s="391"/>
      <c r="AG164" s="391"/>
      <c r="AH164" s="391"/>
      <c r="AI164" s="391"/>
      <c r="AJ164" s="391"/>
      <c r="AK164" s="391"/>
      <c r="AL164" s="535"/>
      <c r="AM164" s="535"/>
      <c r="AN164" s="535"/>
      <c r="AO164" s="535"/>
      <c r="AP164" s="535"/>
      <c r="AQ164" s="535"/>
      <c r="AR164" s="535"/>
      <c r="AS164" s="540"/>
      <c r="AT164" s="192"/>
      <c r="AU164" s="366"/>
      <c r="AV164" s="366"/>
      <c r="AW164" s="366"/>
      <c r="AX164" s="391"/>
      <c r="AY164" s="391"/>
      <c r="AZ164" s="391"/>
      <c r="BA164" s="391"/>
      <c r="BB164" s="391"/>
      <c r="BC164" s="391"/>
      <c r="BD164" s="391"/>
      <c r="BE164" s="391"/>
      <c r="BF164" s="391"/>
      <c r="BG164" s="535"/>
      <c r="BH164" s="391"/>
      <c r="BI164" s="391"/>
      <c r="BJ164" s="391"/>
      <c r="BK164" s="535">
        <f t="shared" si="23"/>
        <v>0</v>
      </c>
      <c r="BL164" s="535">
        <f t="shared" si="24"/>
        <v>0</v>
      </c>
      <c r="BM164" s="543" t="e">
        <f t="shared" si="25"/>
        <v>#DIV/0!</v>
      </c>
      <c r="BN164" s="391"/>
    </row>
    <row r="165" spans="1:241" s="25" customFormat="1" x14ac:dyDescent="0.25">
      <c r="A165" s="490">
        <v>142</v>
      </c>
      <c r="B165" s="63" t="s">
        <v>251</v>
      </c>
      <c r="C165" s="490">
        <v>1171</v>
      </c>
      <c r="D165" s="63" t="s">
        <v>243</v>
      </c>
      <c r="E165" s="490">
        <v>3</v>
      </c>
      <c r="F165" s="559" t="s">
        <v>252</v>
      </c>
      <c r="G165" s="559">
        <v>1</v>
      </c>
      <c r="H165" s="559" t="s">
        <v>253</v>
      </c>
      <c r="I165" s="559" t="s">
        <v>254</v>
      </c>
      <c r="J165" s="559"/>
      <c r="K165" s="606"/>
      <c r="L165" s="192" t="s">
        <v>1122</v>
      </c>
      <c r="M165" s="192" t="s">
        <v>1121</v>
      </c>
      <c r="N165" s="192" t="s">
        <v>115</v>
      </c>
      <c r="O165" s="280" t="s">
        <v>806</v>
      </c>
      <c r="P165" s="192" t="s">
        <v>1120</v>
      </c>
      <c r="Q165" s="507">
        <v>42076</v>
      </c>
      <c r="R165" s="507">
        <v>42078</v>
      </c>
      <c r="S165" s="280" t="s">
        <v>1404</v>
      </c>
      <c r="T165" s="280" t="s">
        <v>1403</v>
      </c>
      <c r="U165" s="280" t="s">
        <v>745</v>
      </c>
      <c r="V165" s="192" t="s">
        <v>1123</v>
      </c>
      <c r="W165" s="192">
        <v>51738812</v>
      </c>
      <c r="X165" s="192" t="s">
        <v>90</v>
      </c>
      <c r="Y165" s="192" t="s">
        <v>90</v>
      </c>
      <c r="Z165" s="192"/>
      <c r="AA165" s="366">
        <v>433</v>
      </c>
      <c r="AB165" s="506">
        <v>42076</v>
      </c>
      <c r="AC165" s="366">
        <v>461</v>
      </c>
      <c r="AD165" s="391">
        <v>960000</v>
      </c>
      <c r="AE165" s="391"/>
      <c r="AF165" s="391"/>
      <c r="AG165" s="391"/>
      <c r="AH165" s="391">
        <v>960000</v>
      </c>
      <c r="AI165" s="391"/>
      <c r="AJ165" s="535"/>
      <c r="AK165" s="535"/>
      <c r="AL165" s="535"/>
      <c r="AM165" s="535"/>
      <c r="AN165" s="535"/>
      <c r="AO165" s="535"/>
      <c r="AP165" s="535"/>
      <c r="AQ165" s="535">
        <f t="shared" si="22"/>
        <v>960000</v>
      </c>
      <c r="AR165" s="535">
        <f t="shared" si="21"/>
        <v>0</v>
      </c>
      <c r="AS165" s="540">
        <f>+AQ165/AD165</f>
        <v>1</v>
      </c>
      <c r="AT165" s="192"/>
      <c r="AU165" s="366"/>
      <c r="AV165" s="366"/>
      <c r="AW165" s="366"/>
      <c r="AX165" s="391"/>
      <c r="AY165" s="391"/>
      <c r="AZ165" s="391"/>
      <c r="BA165" s="391"/>
      <c r="BB165" s="391"/>
      <c r="BC165" s="391"/>
      <c r="BD165" s="391"/>
      <c r="BE165" s="391"/>
      <c r="BF165" s="391"/>
      <c r="BG165" s="535"/>
      <c r="BH165" s="391"/>
      <c r="BI165" s="391"/>
      <c r="BJ165" s="391"/>
      <c r="BK165" s="535">
        <f t="shared" si="23"/>
        <v>0</v>
      </c>
      <c r="BL165" s="535">
        <f t="shared" si="24"/>
        <v>0</v>
      </c>
      <c r="BM165" s="543" t="e">
        <f t="shared" si="25"/>
        <v>#DIV/0!</v>
      </c>
      <c r="BN165" s="391"/>
    </row>
    <row r="166" spans="1:241" s="25" customFormat="1" x14ac:dyDescent="0.25">
      <c r="A166" s="490">
        <v>142</v>
      </c>
      <c r="B166" s="63" t="s">
        <v>251</v>
      </c>
      <c r="C166" s="490">
        <v>1171</v>
      </c>
      <c r="D166" s="63" t="s">
        <v>243</v>
      </c>
      <c r="E166" s="490">
        <v>3</v>
      </c>
      <c r="F166" s="559"/>
      <c r="G166" s="559"/>
      <c r="H166" s="559"/>
      <c r="I166" s="559"/>
      <c r="J166" s="559"/>
      <c r="K166" s="606"/>
      <c r="L166" s="192" t="s">
        <v>1124</v>
      </c>
      <c r="M166" s="192" t="s">
        <v>1121</v>
      </c>
      <c r="N166" s="192" t="s">
        <v>115</v>
      </c>
      <c r="O166" s="280" t="s">
        <v>806</v>
      </c>
      <c r="P166" s="192" t="s">
        <v>1120</v>
      </c>
      <c r="Q166" s="507">
        <v>42088</v>
      </c>
      <c r="R166" s="507">
        <v>42089</v>
      </c>
      <c r="S166" s="280" t="s">
        <v>1402</v>
      </c>
      <c r="T166" s="280" t="s">
        <v>1401</v>
      </c>
      <c r="U166" s="280" t="s">
        <v>745</v>
      </c>
      <c r="V166" s="192" t="s">
        <v>1123</v>
      </c>
      <c r="W166" s="192">
        <v>51738812</v>
      </c>
      <c r="X166" s="192" t="s">
        <v>90</v>
      </c>
      <c r="Y166" s="192" t="s">
        <v>90</v>
      </c>
      <c r="Z166" s="192"/>
      <c r="AA166" s="366">
        <v>437</v>
      </c>
      <c r="AB166" s="506">
        <v>42088</v>
      </c>
      <c r="AC166" s="366">
        <v>471</v>
      </c>
      <c r="AD166" s="391">
        <v>24790000</v>
      </c>
      <c r="AE166" s="391"/>
      <c r="AF166" s="391"/>
      <c r="AG166" s="391"/>
      <c r="AH166" s="391"/>
      <c r="AI166" s="391">
        <v>2466667</v>
      </c>
      <c r="AJ166" s="535">
        <v>3700000</v>
      </c>
      <c r="AK166" s="535">
        <v>3700000</v>
      </c>
      <c r="AL166" s="535">
        <v>3700000</v>
      </c>
      <c r="AM166" s="535">
        <v>3700000</v>
      </c>
      <c r="AN166" s="535">
        <v>3700000</v>
      </c>
      <c r="AO166" s="535">
        <v>3700000</v>
      </c>
      <c r="AP166" s="535">
        <v>123333</v>
      </c>
      <c r="AQ166" s="535">
        <f t="shared" si="22"/>
        <v>24790000</v>
      </c>
      <c r="AR166" s="535">
        <f t="shared" si="21"/>
        <v>0</v>
      </c>
      <c r="AS166" s="540">
        <f>+AQ166/AD166</f>
        <v>1</v>
      </c>
      <c r="AT166" s="192"/>
      <c r="AU166" s="366"/>
      <c r="AV166" s="366"/>
      <c r="AW166" s="366"/>
      <c r="AX166" s="391"/>
      <c r="AY166" s="391"/>
      <c r="AZ166" s="391"/>
      <c r="BA166" s="391"/>
      <c r="BB166" s="391"/>
      <c r="BC166" s="391"/>
      <c r="BD166" s="391"/>
      <c r="BE166" s="391"/>
      <c r="BF166" s="391"/>
      <c r="BG166" s="535"/>
      <c r="BH166" s="391"/>
      <c r="BI166" s="391"/>
      <c r="BJ166" s="391"/>
      <c r="BK166" s="535">
        <f t="shared" si="23"/>
        <v>0</v>
      </c>
      <c r="BL166" s="535">
        <f t="shared" si="24"/>
        <v>0</v>
      </c>
      <c r="BM166" s="543" t="e">
        <f t="shared" si="25"/>
        <v>#DIV/0!</v>
      </c>
      <c r="BN166" s="391"/>
    </row>
    <row r="167" spans="1:241" s="25" customFormat="1" x14ac:dyDescent="0.25">
      <c r="A167" s="490">
        <v>142</v>
      </c>
      <c r="B167" s="63" t="s">
        <v>251</v>
      </c>
      <c r="C167" s="490">
        <v>1171</v>
      </c>
      <c r="D167" s="63" t="s">
        <v>243</v>
      </c>
      <c r="E167" s="490">
        <v>3</v>
      </c>
      <c r="F167" s="559"/>
      <c r="G167" s="559"/>
      <c r="H167" s="559"/>
      <c r="I167" s="559"/>
      <c r="J167" s="559"/>
      <c r="K167" s="606"/>
      <c r="L167" s="192" t="s">
        <v>1543</v>
      </c>
      <c r="M167" s="192" t="s">
        <v>1121</v>
      </c>
      <c r="N167" s="192" t="s">
        <v>115</v>
      </c>
      <c r="O167" s="192" t="s">
        <v>806</v>
      </c>
      <c r="P167" s="192" t="s">
        <v>1120</v>
      </c>
      <c r="Q167" s="507">
        <v>42088</v>
      </c>
      <c r="R167" s="507">
        <v>42235</v>
      </c>
      <c r="S167" s="192" t="s">
        <v>1544</v>
      </c>
      <c r="T167" s="280" t="s">
        <v>1401</v>
      </c>
      <c r="U167" s="280" t="s">
        <v>745</v>
      </c>
      <c r="V167" s="192" t="s">
        <v>1123</v>
      </c>
      <c r="W167" s="192">
        <v>51738812</v>
      </c>
      <c r="X167" s="192" t="s">
        <v>90</v>
      </c>
      <c r="Y167" s="192" t="s">
        <v>90</v>
      </c>
      <c r="Z167" s="192"/>
      <c r="AA167" s="191">
        <v>598</v>
      </c>
      <c r="AB167" s="506">
        <v>42215</v>
      </c>
      <c r="AC167" s="191">
        <v>734</v>
      </c>
      <c r="AD167" s="391">
        <v>12333333</v>
      </c>
      <c r="AE167" s="391"/>
      <c r="AF167" s="391"/>
      <c r="AG167" s="391"/>
      <c r="AH167" s="391"/>
      <c r="AI167" s="391"/>
      <c r="AJ167" s="535"/>
      <c r="AK167" s="535"/>
      <c r="AL167" s="535"/>
      <c r="AM167" s="535"/>
      <c r="AN167" s="535"/>
      <c r="AO167" s="535"/>
      <c r="AP167" s="535">
        <f>3576667+3700000</f>
        <v>7276667</v>
      </c>
      <c r="AQ167" s="535">
        <f t="shared" si="22"/>
        <v>7276667</v>
      </c>
      <c r="AR167" s="535">
        <f>+AD167-AQ167</f>
        <v>5056666</v>
      </c>
      <c r="AS167" s="540">
        <f>+AQ167/AD167</f>
        <v>0.59000004297297415</v>
      </c>
      <c r="AT167" s="192"/>
      <c r="AU167" s="366">
        <v>138</v>
      </c>
      <c r="AV167" s="401">
        <v>42388</v>
      </c>
      <c r="AW167" s="366">
        <v>131</v>
      </c>
      <c r="AX167" s="391">
        <v>5056666</v>
      </c>
      <c r="AY167" s="391"/>
      <c r="AZ167" s="391"/>
      <c r="BA167" s="391"/>
      <c r="BB167" s="391"/>
      <c r="BC167" s="391"/>
      <c r="BD167" s="391"/>
      <c r="BE167" s="391"/>
      <c r="BF167" s="391"/>
      <c r="BG167" s="535"/>
      <c r="BH167" s="391"/>
      <c r="BI167" s="391"/>
      <c r="BJ167" s="391"/>
      <c r="BK167" s="535">
        <f t="shared" si="23"/>
        <v>0</v>
      </c>
      <c r="BL167" s="535">
        <f t="shared" si="24"/>
        <v>5056666</v>
      </c>
      <c r="BM167" s="543">
        <f t="shared" si="25"/>
        <v>0</v>
      </c>
      <c r="BN167" s="391"/>
    </row>
    <row r="168" spans="1:241" s="7" customFormat="1" x14ac:dyDescent="0.25">
      <c r="A168" s="4"/>
      <c r="B168" s="3"/>
      <c r="C168" s="5"/>
      <c r="D168" s="3"/>
      <c r="E168" s="5"/>
      <c r="F168" s="51"/>
      <c r="G168" s="51"/>
      <c r="H168" s="5"/>
      <c r="I168" s="5"/>
      <c r="J168" s="6">
        <f>SUM(J3:J167)</f>
        <v>0</v>
      </c>
      <c r="K168" s="6">
        <f>SUM(K3:K167)</f>
        <v>0</v>
      </c>
      <c r="Q168" s="421"/>
      <c r="R168" s="421"/>
      <c r="AA168" s="4"/>
      <c r="AD168" s="390">
        <f t="shared" ref="AD168:AQ168" si="26">SUM(AD3:AD167)</f>
        <v>19466060027</v>
      </c>
      <c r="AE168" s="390">
        <f t="shared" si="26"/>
        <v>32727273</v>
      </c>
      <c r="AF168" s="390">
        <f t="shared" si="26"/>
        <v>39047981</v>
      </c>
      <c r="AG168" s="390">
        <f t="shared" si="26"/>
        <v>1300971211</v>
      </c>
      <c r="AH168" s="390">
        <f t="shared" si="26"/>
        <v>128041313</v>
      </c>
      <c r="AI168" s="390">
        <f t="shared" si="26"/>
        <v>549820633</v>
      </c>
      <c r="AJ168" s="390">
        <f t="shared" si="26"/>
        <v>285552976</v>
      </c>
      <c r="AK168" s="390">
        <f t="shared" si="26"/>
        <v>311294775</v>
      </c>
      <c r="AL168" s="390">
        <f t="shared" si="26"/>
        <v>368001121</v>
      </c>
      <c r="AM168" s="390">
        <f t="shared" si="26"/>
        <v>530030719</v>
      </c>
      <c r="AN168" s="390">
        <f t="shared" si="26"/>
        <v>1837793839</v>
      </c>
      <c r="AO168" s="390">
        <f t="shared" si="26"/>
        <v>795254291</v>
      </c>
      <c r="AP168" s="390">
        <f t="shared" si="26"/>
        <v>3396222500</v>
      </c>
      <c r="AQ168" s="390">
        <f t="shared" si="26"/>
        <v>9524191845</v>
      </c>
      <c r="AR168" s="390"/>
      <c r="AS168" s="542"/>
      <c r="AX168" s="7">
        <f>SUM(AX3:AX167)</f>
        <v>10301483937</v>
      </c>
      <c r="AZ168" s="7">
        <f>SUM(AZ3:AZ167)</f>
        <v>1458540229</v>
      </c>
      <c r="BA168" s="7">
        <f>SUM(BA3:BA161)</f>
        <v>2135599628</v>
      </c>
      <c r="BB168" s="7">
        <f t="shared" ref="BB168:BI168" si="27">SUM(BB3:BB167)</f>
        <v>309960784</v>
      </c>
      <c r="BC168" s="7">
        <f t="shared" si="27"/>
        <v>577262707</v>
      </c>
      <c r="BD168" s="7">
        <f t="shared" si="27"/>
        <v>698269297</v>
      </c>
      <c r="BE168" s="409">
        <f t="shared" si="27"/>
        <v>393215216</v>
      </c>
      <c r="BF168" s="409">
        <f t="shared" si="27"/>
        <v>573734014</v>
      </c>
      <c r="BG168" s="465">
        <f t="shared" si="27"/>
        <v>477737832</v>
      </c>
      <c r="BH168" s="465">
        <f t="shared" si="27"/>
        <v>685774678</v>
      </c>
      <c r="BI168" s="465">
        <f t="shared" si="27"/>
        <v>748442560</v>
      </c>
      <c r="BK168" s="409">
        <f>SUM(BK3:BK167)</f>
        <v>8729092672</v>
      </c>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c r="IB168" s="8"/>
      <c r="IC168" s="8"/>
      <c r="ID168" s="8"/>
      <c r="IE168" s="8"/>
      <c r="IF168" s="8"/>
      <c r="IG168" s="8"/>
    </row>
    <row r="169" spans="1:241" s="7" customFormat="1" x14ac:dyDescent="0.25">
      <c r="A169" s="4"/>
      <c r="B169" s="3"/>
      <c r="C169" s="5"/>
      <c r="D169" s="3"/>
      <c r="E169" s="5"/>
      <c r="F169" s="51"/>
      <c r="G169" s="51"/>
      <c r="H169" s="5"/>
      <c r="I169" s="5"/>
      <c r="J169" s="6"/>
      <c r="K169" s="6"/>
      <c r="Q169" s="421"/>
      <c r="R169" s="421"/>
      <c r="AA169" s="4"/>
      <c r="AC169" s="7" t="s">
        <v>1531</v>
      </c>
      <c r="AD169" s="390">
        <v>19466060027</v>
      </c>
      <c r="AE169" s="390">
        <v>32727273</v>
      </c>
      <c r="AF169" s="390">
        <v>39047981</v>
      </c>
      <c r="AG169" s="390">
        <v>42781318</v>
      </c>
      <c r="AH169" s="390">
        <v>128041313</v>
      </c>
      <c r="AI169" s="390">
        <v>549820633</v>
      </c>
      <c r="AJ169" s="390">
        <v>285552976</v>
      </c>
      <c r="AK169" s="390">
        <v>311294775</v>
      </c>
      <c r="AL169" s="390">
        <v>368001121</v>
      </c>
      <c r="AM169" s="390">
        <v>530030719</v>
      </c>
      <c r="AN169" s="390">
        <v>1837793839</v>
      </c>
      <c r="AO169" s="390">
        <v>795254291</v>
      </c>
      <c r="AP169" s="390">
        <v>3396222500</v>
      </c>
      <c r="AQ169" s="390">
        <v>8316568739</v>
      </c>
      <c r="AR169" s="390"/>
      <c r="AS169" s="542"/>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c r="IB169" s="8"/>
      <c r="IC169" s="8"/>
      <c r="ID169" s="8"/>
      <c r="IE169" s="8"/>
      <c r="IF169" s="8"/>
      <c r="IG169" s="8"/>
    </row>
    <row r="170" spans="1:241" s="7" customFormat="1" x14ac:dyDescent="0.25">
      <c r="A170" s="4"/>
      <c r="B170" s="3"/>
      <c r="C170" s="5"/>
      <c r="D170" s="3"/>
      <c r="E170" s="5"/>
      <c r="F170" s="51"/>
      <c r="G170" s="51"/>
      <c r="H170" s="5"/>
      <c r="I170" s="5"/>
      <c r="J170" s="6"/>
      <c r="K170" s="6"/>
      <c r="Q170" s="421"/>
      <c r="R170" s="421"/>
      <c r="AA170" s="5"/>
      <c r="AC170" s="421"/>
      <c r="AD170" s="397"/>
      <c r="AM170" s="340">
        <f>+AM169-AM168</f>
        <v>0</v>
      </c>
      <c r="AQ170" s="340"/>
      <c r="AS170" s="542"/>
      <c r="AX170" s="409"/>
      <c r="BF170" s="450"/>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c r="IE170" s="8"/>
      <c r="IF170" s="8"/>
      <c r="IG170" s="8"/>
    </row>
    <row r="171" spans="1:241" s="7" customFormat="1" x14ac:dyDescent="0.25">
      <c r="A171" s="4"/>
      <c r="B171" s="3"/>
      <c r="C171" s="5"/>
      <c r="D171" s="3"/>
      <c r="E171" s="5"/>
      <c r="F171" s="51"/>
      <c r="G171" s="51"/>
      <c r="H171" s="5"/>
      <c r="I171" s="5"/>
      <c r="J171" s="6"/>
      <c r="K171" s="6"/>
      <c r="Q171" s="421"/>
      <c r="R171" s="421"/>
      <c r="AA171" s="5"/>
      <c r="AC171" s="421"/>
      <c r="AD171" s="340"/>
      <c r="AP171" s="409"/>
      <c r="AQ171" s="409"/>
      <c r="AS171" s="542"/>
      <c r="AW171" s="421"/>
      <c r="BF171" s="397"/>
      <c r="BH171" s="409"/>
      <c r="BK171" s="450"/>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c r="IB171" s="8"/>
      <c r="IC171" s="8"/>
      <c r="ID171" s="8"/>
      <c r="IE171" s="8"/>
      <c r="IF171" s="8"/>
      <c r="IG171" s="8"/>
    </row>
    <row r="172" spans="1:241" x14ac:dyDescent="0.25">
      <c r="AA172" s="5"/>
      <c r="AD172" s="340"/>
      <c r="AI172" s="340"/>
      <c r="BG172" s="450"/>
      <c r="BK172" s="409"/>
    </row>
    <row r="173" spans="1:241" s="7" customFormat="1" x14ac:dyDescent="0.25">
      <c r="A173" s="4"/>
      <c r="B173" s="3"/>
      <c r="C173" s="5"/>
      <c r="D173" s="530"/>
      <c r="E173" s="531"/>
      <c r="F173" s="532"/>
      <c r="G173" s="532"/>
      <c r="H173" s="531"/>
      <c r="I173" s="5"/>
      <c r="J173" s="6"/>
      <c r="K173" s="6"/>
      <c r="Q173" s="421"/>
      <c r="R173" s="421"/>
      <c r="AA173" s="5"/>
      <c r="AC173" s="421"/>
      <c r="AD173" s="340"/>
      <c r="AN173" s="397"/>
      <c r="AQ173" s="409"/>
      <c r="AS173" s="542"/>
      <c r="AW173" s="421"/>
      <c r="BD173" s="409"/>
      <c r="BE173" s="409"/>
      <c r="BF173" s="450"/>
      <c r="BG173" s="450"/>
      <c r="BJ173" s="339"/>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c r="IB173" s="8"/>
      <c r="IC173" s="8"/>
      <c r="ID173" s="8"/>
      <c r="IE173" s="8"/>
      <c r="IF173" s="8"/>
      <c r="IG173" s="8"/>
    </row>
    <row r="174" spans="1:241" s="7" customFormat="1" x14ac:dyDescent="0.25">
      <c r="A174" s="4"/>
      <c r="B174" s="3"/>
      <c r="C174" s="5"/>
      <c r="D174" s="530"/>
      <c r="E174" s="531"/>
      <c r="F174" s="532"/>
      <c r="G174" s="532"/>
      <c r="H174" s="531"/>
      <c r="I174" s="5"/>
      <c r="J174" s="6"/>
      <c r="K174" s="6"/>
      <c r="Q174" s="421"/>
      <c r="R174" s="421"/>
      <c r="AA174" s="5"/>
      <c r="AC174" s="421"/>
      <c r="AS174" s="542"/>
      <c r="AW174" s="421"/>
      <c r="BH174" s="450"/>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c r="HX174" s="8"/>
      <c r="HY174" s="8"/>
      <c r="HZ174" s="8"/>
      <c r="IA174" s="8"/>
      <c r="IB174" s="8"/>
      <c r="IC174" s="8"/>
      <c r="ID174" s="8"/>
      <c r="IE174" s="8"/>
      <c r="IF174" s="8"/>
      <c r="IG174" s="8"/>
    </row>
    <row r="175" spans="1:241" s="53" customFormat="1" x14ac:dyDescent="0.25">
      <c r="A175" s="4"/>
      <c r="B175" s="3"/>
      <c r="C175" s="5"/>
      <c r="D175" s="530"/>
      <c r="E175" s="531"/>
      <c r="F175" s="532"/>
      <c r="G175" s="532"/>
      <c r="H175" s="531"/>
      <c r="I175" s="5"/>
      <c r="J175" s="6"/>
      <c r="K175" s="6"/>
      <c r="L175" s="7"/>
      <c r="M175" s="7"/>
      <c r="N175" s="7"/>
      <c r="O175" s="7"/>
      <c r="P175" s="7"/>
      <c r="Q175" s="421"/>
      <c r="R175" s="421"/>
      <c r="S175" s="7"/>
      <c r="T175" s="7"/>
      <c r="U175" s="7"/>
      <c r="V175" s="7"/>
      <c r="W175" s="7"/>
      <c r="X175" s="7"/>
      <c r="Y175" s="7"/>
      <c r="Z175" s="7"/>
      <c r="AA175" s="5"/>
      <c r="AB175" s="7"/>
      <c r="AC175" s="421"/>
      <c r="AD175" s="340"/>
      <c r="AE175" s="7"/>
      <c r="AF175" s="7"/>
      <c r="AG175" s="7"/>
      <c r="AH175" s="7"/>
      <c r="AI175" s="7"/>
      <c r="AJ175" s="7"/>
      <c r="AK175" s="7"/>
      <c r="AL175" s="7"/>
      <c r="AM175" s="7"/>
      <c r="AN175" s="7"/>
      <c r="AO175" s="7"/>
      <c r="AP175" s="450"/>
      <c r="AQ175" s="7"/>
      <c r="AR175" s="7"/>
      <c r="AS175" s="542"/>
      <c r="AT175" s="7"/>
      <c r="AU175" s="7"/>
      <c r="AV175" s="7"/>
      <c r="AW175" s="421"/>
      <c r="AX175" s="7"/>
      <c r="AY175" s="7"/>
      <c r="AZ175" s="7"/>
      <c r="BA175" s="7"/>
      <c r="BB175" s="7"/>
      <c r="BC175" s="7"/>
      <c r="BD175" s="7"/>
      <c r="BE175" s="7"/>
      <c r="BF175" s="7"/>
      <c r="BG175" s="7"/>
      <c r="BH175" s="7"/>
      <c r="BI175" s="7"/>
      <c r="BJ175" s="7"/>
      <c r="BK175" s="450"/>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c r="IB175" s="8"/>
      <c r="IC175" s="8"/>
      <c r="ID175" s="8"/>
      <c r="IE175" s="8"/>
      <c r="IF175" s="8"/>
      <c r="IG175" s="8"/>
    </row>
    <row r="176" spans="1:241" s="53" customFormat="1" x14ac:dyDescent="0.25">
      <c r="A176" s="4"/>
      <c r="B176" s="3"/>
      <c r="C176" s="531"/>
      <c r="D176" s="530"/>
      <c r="E176" s="531"/>
      <c r="F176" s="532"/>
      <c r="G176" s="532"/>
      <c r="H176" s="531"/>
      <c r="I176" s="5"/>
      <c r="J176" s="6"/>
      <c r="K176" s="6"/>
      <c r="L176" s="7"/>
      <c r="M176" s="7"/>
      <c r="N176" s="7"/>
      <c r="O176" s="7"/>
      <c r="P176" s="7"/>
      <c r="Q176" s="421"/>
      <c r="R176" s="421"/>
      <c r="S176" s="7"/>
      <c r="T176" s="7"/>
      <c r="U176" s="7"/>
      <c r="V176" s="7"/>
      <c r="W176" s="7"/>
      <c r="X176" s="7"/>
      <c r="Y176" s="7"/>
      <c r="Z176" s="7"/>
      <c r="AA176" s="5"/>
      <c r="AB176" s="7"/>
      <c r="AC176" s="421"/>
      <c r="AD176" s="340"/>
      <c r="AE176" s="7"/>
      <c r="AF176" s="7"/>
      <c r="AG176" s="7"/>
      <c r="AH176" s="7"/>
      <c r="AI176" s="7"/>
      <c r="AJ176" s="7"/>
      <c r="AK176" s="7"/>
      <c r="AL176" s="7"/>
      <c r="AM176" s="7"/>
      <c r="AN176" s="7"/>
      <c r="AO176" s="7"/>
      <c r="AP176" s="7"/>
      <c r="AQ176" s="450"/>
      <c r="AR176" s="7"/>
      <c r="AS176" s="542"/>
      <c r="AT176" s="7"/>
      <c r="AU176" s="7"/>
      <c r="AV176" s="7"/>
      <c r="AW176" s="421"/>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c r="HX176" s="8"/>
      <c r="HY176" s="8"/>
      <c r="HZ176" s="8"/>
      <c r="IA176" s="8"/>
      <c r="IB176" s="8"/>
      <c r="IC176" s="8"/>
      <c r="ID176" s="8"/>
      <c r="IE176" s="8"/>
      <c r="IF176" s="8"/>
      <c r="IG176" s="8"/>
    </row>
    <row r="177" spans="1:241" s="53" customFormat="1" x14ac:dyDescent="0.25">
      <c r="A177" s="4"/>
      <c r="B177" s="3"/>
      <c r="C177" s="531"/>
      <c r="D177" s="530"/>
      <c r="E177" s="531"/>
      <c r="F177" s="532"/>
      <c r="G177" s="532"/>
      <c r="H177" s="531"/>
      <c r="I177" s="5"/>
      <c r="J177" s="6"/>
      <c r="K177" s="6"/>
      <c r="L177" s="7"/>
      <c r="M177" s="7"/>
      <c r="N177" s="7"/>
      <c r="O177" s="7"/>
      <c r="P177" s="7"/>
      <c r="Q177" s="421"/>
      <c r="R177" s="421"/>
      <c r="S177" s="7"/>
      <c r="T177" s="7"/>
      <c r="U177" s="7"/>
      <c r="V177" s="7"/>
      <c r="W177" s="7"/>
      <c r="X177" s="7"/>
      <c r="Y177" s="7"/>
      <c r="Z177" s="7"/>
      <c r="AA177" s="5"/>
      <c r="AB177" s="7"/>
      <c r="AC177" s="421"/>
      <c r="AD177" s="449"/>
      <c r="AE177" s="7"/>
      <c r="AF177" s="7"/>
      <c r="AG177" s="7"/>
      <c r="AH177" s="7"/>
      <c r="AI177" s="7"/>
      <c r="AJ177" s="7"/>
      <c r="AK177" s="7"/>
      <c r="AL177" s="7"/>
      <c r="AM177" s="7"/>
      <c r="AN177" s="7"/>
      <c r="AO177" s="7"/>
      <c r="AP177" s="7"/>
      <c r="AQ177" s="7"/>
      <c r="AR177" s="7"/>
      <c r="AS177" s="542"/>
      <c r="AT177" s="7"/>
      <c r="AU177" s="7"/>
      <c r="AV177" s="7"/>
      <c r="AW177" s="421"/>
      <c r="AX177" s="7"/>
      <c r="AY177" s="7"/>
      <c r="AZ177" s="7"/>
      <c r="BA177" s="7"/>
      <c r="BB177" s="7"/>
      <c r="BC177" s="7"/>
      <c r="BD177" s="7"/>
      <c r="BE177" s="7"/>
      <c r="BF177" s="7"/>
      <c r="BG177" s="7"/>
      <c r="BH177" s="7"/>
      <c r="BI177" s="7"/>
      <c r="BJ177" s="7"/>
      <c r="BK177" s="450"/>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c r="IB177" s="8"/>
      <c r="IC177" s="8"/>
      <c r="ID177" s="8"/>
      <c r="IE177" s="8"/>
      <c r="IF177" s="8"/>
      <c r="IG177" s="8"/>
    </row>
    <row r="178" spans="1:241" s="53" customFormat="1" x14ac:dyDescent="0.25">
      <c r="A178" s="4"/>
      <c r="B178" s="3"/>
      <c r="C178" s="531"/>
      <c r="D178" s="530"/>
      <c r="E178" s="531"/>
      <c r="F178" s="532"/>
      <c r="G178" s="532"/>
      <c r="H178" s="531"/>
      <c r="I178" s="5"/>
      <c r="J178" s="6"/>
      <c r="K178" s="6"/>
      <c r="L178" s="7"/>
      <c r="M178" s="7"/>
      <c r="N178" s="7"/>
      <c r="O178" s="7"/>
      <c r="P178" s="7"/>
      <c r="Q178" s="421"/>
      <c r="R178" s="421"/>
      <c r="S178" s="7"/>
      <c r="T178" s="7"/>
      <c r="U178" s="7"/>
      <c r="V178" s="7"/>
      <c r="W178" s="7"/>
      <c r="X178" s="7"/>
      <c r="Y178" s="7"/>
      <c r="Z178" s="7"/>
      <c r="AA178" s="424"/>
      <c r="AB178" s="7"/>
      <c r="AC178" s="421"/>
      <c r="AD178" s="7"/>
      <c r="AE178" s="7"/>
      <c r="AF178" s="7"/>
      <c r="AG178" s="7"/>
      <c r="AH178" s="7"/>
      <c r="AI178" s="7"/>
      <c r="AJ178" s="7"/>
      <c r="AK178" s="7"/>
      <c r="AL178" s="7"/>
      <c r="AM178" s="7"/>
      <c r="AN178" s="7"/>
      <c r="AO178" s="7"/>
      <c r="AP178" s="450"/>
      <c r="AQ178" s="7"/>
      <c r="AR178" s="7"/>
      <c r="AS178" s="542"/>
      <c r="AT178" s="7"/>
      <c r="AU178" s="7"/>
      <c r="AV178" s="7"/>
      <c r="AW178" s="421"/>
      <c r="AX178" s="7"/>
      <c r="AY178" s="7"/>
      <c r="AZ178" s="7"/>
      <c r="BA178" s="7"/>
      <c r="BB178" s="7"/>
      <c r="BC178" s="7"/>
      <c r="BD178" s="7"/>
      <c r="BE178" s="409"/>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c r="IB178" s="8"/>
      <c r="IC178" s="8"/>
      <c r="ID178" s="8"/>
      <c r="IE178" s="8"/>
      <c r="IF178" s="8"/>
      <c r="IG178" s="8"/>
    </row>
    <row r="179" spans="1:241" s="53" customFormat="1" x14ac:dyDescent="0.25">
      <c r="A179" s="4"/>
      <c r="B179" s="3"/>
      <c r="C179" s="531"/>
      <c r="D179" s="3"/>
      <c r="E179" s="531"/>
      <c r="F179" s="532"/>
      <c r="G179" s="532"/>
      <c r="H179" s="531"/>
      <c r="I179" s="5"/>
      <c r="J179" s="6"/>
      <c r="K179" s="6"/>
      <c r="L179" s="7"/>
      <c r="M179" s="7"/>
      <c r="N179" s="7"/>
      <c r="O179" s="7"/>
      <c r="P179" s="7"/>
      <c r="Q179" s="421"/>
      <c r="R179" s="421"/>
      <c r="S179" s="7"/>
      <c r="T179" s="7"/>
      <c r="U179" s="7"/>
      <c r="V179" s="7"/>
      <c r="W179" s="7"/>
      <c r="X179" s="7"/>
      <c r="Y179" s="7"/>
      <c r="Z179" s="7"/>
      <c r="AA179" s="5"/>
      <c r="AB179" s="7"/>
      <c r="AC179" s="421"/>
      <c r="AD179" s="409"/>
      <c r="AE179" s="7"/>
      <c r="AF179" s="7"/>
      <c r="AG179" s="7"/>
      <c r="AH179" s="7"/>
      <c r="AI179" s="7"/>
      <c r="AJ179" s="7"/>
      <c r="AK179" s="7"/>
      <c r="AL179" s="7"/>
      <c r="AM179" s="7"/>
      <c r="AN179" s="7"/>
      <c r="AO179" s="7"/>
      <c r="AP179" s="450"/>
      <c r="AQ179" s="7"/>
      <c r="AR179" s="7"/>
      <c r="AS179" s="542"/>
      <c r="AT179" s="7"/>
      <c r="AU179" s="7"/>
      <c r="AV179" s="7"/>
      <c r="AW179" s="421"/>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c r="IB179" s="8"/>
      <c r="IC179" s="8"/>
      <c r="ID179" s="8"/>
      <c r="IE179" s="8"/>
      <c r="IF179" s="8"/>
      <c r="IG179" s="8"/>
    </row>
    <row r="180" spans="1:241" s="53" customFormat="1" x14ac:dyDescent="0.25">
      <c r="A180" s="4"/>
      <c r="B180" s="3"/>
      <c r="C180" s="531"/>
      <c r="D180" s="3"/>
      <c r="E180" s="531"/>
      <c r="F180" s="532"/>
      <c r="G180" s="532"/>
      <c r="H180" s="531"/>
      <c r="I180" s="5"/>
      <c r="J180" s="6"/>
      <c r="K180" s="6"/>
      <c r="L180" s="7"/>
      <c r="M180" s="7"/>
      <c r="N180" s="7"/>
      <c r="O180" s="7"/>
      <c r="P180" s="7"/>
      <c r="Q180" s="421"/>
      <c r="R180" s="421"/>
      <c r="S180" s="7"/>
      <c r="T180" s="7"/>
      <c r="U180" s="7"/>
      <c r="V180" s="7"/>
      <c r="W180" s="7"/>
      <c r="X180" s="7"/>
      <c r="Y180" s="7"/>
      <c r="Z180" s="7"/>
      <c r="AA180" s="421"/>
      <c r="AB180" s="340"/>
      <c r="AC180" s="425"/>
      <c r="AD180" s="7"/>
      <c r="AE180" s="7"/>
      <c r="AF180" s="7"/>
      <c r="AG180" s="7"/>
      <c r="AH180" s="7"/>
      <c r="AI180" s="7"/>
      <c r="AJ180" s="7"/>
      <c r="AK180" s="7"/>
      <c r="AL180" s="7"/>
      <c r="AM180" s="7"/>
      <c r="AN180" s="7"/>
      <c r="AO180" s="7"/>
      <c r="AP180" s="533"/>
      <c r="AQ180" s="7"/>
      <c r="AR180" s="7"/>
      <c r="AS180" s="542"/>
      <c r="AT180" s="7"/>
      <c r="AU180" s="7"/>
      <c r="AV180" s="7"/>
      <c r="AW180" s="421"/>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c r="IE180" s="8"/>
      <c r="IF180" s="8"/>
      <c r="IG180" s="8"/>
    </row>
    <row r="181" spans="1:241" s="53" customFormat="1" x14ac:dyDescent="0.25">
      <c r="A181" s="4"/>
      <c r="B181" s="3"/>
      <c r="C181" s="530"/>
      <c r="D181" s="530"/>
      <c r="E181" s="531"/>
      <c r="F181" s="532"/>
      <c r="G181" s="532"/>
      <c r="H181" s="531"/>
      <c r="I181" s="5"/>
      <c r="J181" s="6"/>
      <c r="K181" s="6"/>
      <c r="L181" s="7"/>
      <c r="M181" s="7"/>
      <c r="N181" s="7"/>
      <c r="O181" s="7"/>
      <c r="P181" s="7"/>
      <c r="Q181" s="421"/>
      <c r="R181" s="421"/>
      <c r="S181" s="7"/>
      <c r="T181" s="7"/>
      <c r="U181" s="7"/>
      <c r="V181" s="7"/>
      <c r="W181" s="7"/>
      <c r="X181" s="7"/>
      <c r="Y181" s="7"/>
      <c r="Z181" s="7"/>
      <c r="AA181" s="421"/>
      <c r="AB181" s="7"/>
      <c r="AC181" s="421"/>
      <c r="AD181" s="7"/>
      <c r="AE181" s="7"/>
      <c r="AF181" s="7"/>
      <c r="AG181" s="7"/>
      <c r="AH181" s="7"/>
      <c r="AI181" s="7"/>
      <c r="AJ181" s="7"/>
      <c r="AK181" s="7"/>
      <c r="AL181" s="7"/>
      <c r="AM181" s="7"/>
      <c r="AN181" s="7"/>
      <c r="AO181" s="7"/>
      <c r="AP181" s="450"/>
      <c r="AQ181" s="7"/>
      <c r="AR181" s="7"/>
      <c r="AS181" s="542"/>
      <c r="AT181" s="7"/>
      <c r="AU181" s="7"/>
      <c r="AV181" s="7"/>
      <c r="AW181" s="421"/>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c r="IA181" s="8"/>
      <c r="IB181" s="8"/>
      <c r="IC181" s="8"/>
      <c r="ID181" s="8"/>
      <c r="IE181" s="8"/>
      <c r="IF181" s="8"/>
      <c r="IG181" s="8"/>
    </row>
    <row r="182" spans="1:241" s="53" customFormat="1" x14ac:dyDescent="0.25">
      <c r="A182" s="4"/>
      <c r="B182" s="3"/>
      <c r="C182" s="530"/>
      <c r="D182" s="48"/>
      <c r="E182" s="531"/>
      <c r="F182" s="532"/>
      <c r="G182" s="532"/>
      <c r="H182" s="531"/>
      <c r="I182" s="5"/>
      <c r="J182" s="6"/>
      <c r="K182" s="6"/>
      <c r="L182" s="7"/>
      <c r="M182" s="7"/>
      <c r="N182" s="7"/>
      <c r="O182" s="7"/>
      <c r="P182" s="7"/>
      <c r="Q182" s="421"/>
      <c r="R182" s="421"/>
      <c r="S182" s="7"/>
      <c r="T182" s="7"/>
      <c r="U182" s="7"/>
      <c r="V182" s="7"/>
      <c r="W182" s="7"/>
      <c r="X182" s="7"/>
      <c r="Y182" s="7"/>
      <c r="Z182" s="7"/>
      <c r="AA182" s="421"/>
      <c r="AB182" s="7"/>
      <c r="AC182" s="425"/>
      <c r="AD182" s="7"/>
      <c r="AE182" s="7"/>
      <c r="AF182" s="7"/>
      <c r="AG182" s="7"/>
      <c r="AH182" s="7"/>
      <c r="AI182" s="7"/>
      <c r="AJ182" s="7"/>
      <c r="AK182" s="7"/>
      <c r="AL182" s="7"/>
      <c r="AM182" s="7"/>
      <c r="AN182" s="7"/>
      <c r="AO182" s="7"/>
      <c r="AP182" s="450"/>
      <c r="AQ182" s="7"/>
      <c r="AR182" s="7"/>
      <c r="AS182" s="542"/>
      <c r="AT182" s="7"/>
      <c r="AU182" s="7"/>
      <c r="AV182" s="7"/>
      <c r="AW182" s="421"/>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c r="HX182" s="8"/>
      <c r="HY182" s="8"/>
      <c r="HZ182" s="8"/>
      <c r="IA182" s="8"/>
      <c r="IB182" s="8"/>
      <c r="IC182" s="8"/>
      <c r="ID182" s="8"/>
      <c r="IE182" s="8"/>
      <c r="IF182" s="8"/>
      <c r="IG182" s="8"/>
    </row>
    <row r="183" spans="1:241" s="53" customFormat="1" x14ac:dyDescent="0.25">
      <c r="A183" s="4"/>
      <c r="B183" s="3"/>
      <c r="C183" s="530"/>
      <c r="D183" s="530"/>
      <c r="E183" s="531"/>
      <c r="F183" s="532"/>
      <c r="G183" s="532"/>
      <c r="H183" s="531"/>
      <c r="I183" s="5"/>
      <c r="J183" s="6"/>
      <c r="K183" s="6"/>
      <c r="L183" s="7"/>
      <c r="M183" s="7"/>
      <c r="N183" s="7"/>
      <c r="O183" s="7"/>
      <c r="P183" s="7"/>
      <c r="Q183" s="421"/>
      <c r="R183" s="421"/>
      <c r="S183" s="7"/>
      <c r="T183" s="7"/>
      <c r="U183" s="7"/>
      <c r="V183" s="7"/>
      <c r="W183" s="7"/>
      <c r="X183" s="7"/>
      <c r="Y183" s="7"/>
      <c r="Z183" s="7"/>
      <c r="AA183" s="421"/>
      <c r="AB183" s="7"/>
      <c r="AC183" s="421"/>
      <c r="AD183" s="340"/>
      <c r="AE183" s="7"/>
      <c r="AF183" s="7"/>
      <c r="AG183" s="7"/>
      <c r="AH183" s="7"/>
      <c r="AI183" s="7"/>
      <c r="AJ183" s="7"/>
      <c r="AK183" s="7"/>
      <c r="AL183" s="7"/>
      <c r="AM183" s="7"/>
      <c r="AN183" s="7"/>
      <c r="AO183" s="7"/>
      <c r="AP183" s="450"/>
      <c r="AQ183" s="7"/>
      <c r="AR183" s="7"/>
      <c r="AS183" s="542"/>
      <c r="AT183" s="7"/>
      <c r="AU183" s="7"/>
      <c r="AV183" s="7"/>
      <c r="AW183" s="421"/>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c r="HX183" s="8"/>
      <c r="HY183" s="8"/>
      <c r="HZ183" s="8"/>
      <c r="IA183" s="8"/>
      <c r="IB183" s="8"/>
      <c r="IC183" s="8"/>
      <c r="ID183" s="8"/>
      <c r="IE183" s="8"/>
      <c r="IF183" s="8"/>
      <c r="IG183" s="8"/>
    </row>
    <row r="184" spans="1:241" s="53" customFormat="1" x14ac:dyDescent="0.25">
      <c r="A184" s="4"/>
      <c r="B184" s="3"/>
      <c r="C184" s="531"/>
      <c r="D184" s="530"/>
      <c r="E184" s="531"/>
      <c r="F184" s="532"/>
      <c r="G184" s="532"/>
      <c r="H184" s="531"/>
      <c r="I184" s="5"/>
      <c r="J184" s="6"/>
      <c r="K184" s="6"/>
      <c r="L184" s="7"/>
      <c r="M184" s="7"/>
      <c r="N184" s="7"/>
      <c r="O184" s="7"/>
      <c r="P184" s="7"/>
      <c r="Q184" s="421"/>
      <c r="R184" s="421"/>
      <c r="S184" s="7"/>
      <c r="T184" s="7"/>
      <c r="U184" s="7"/>
      <c r="V184" s="7"/>
      <c r="W184" s="7"/>
      <c r="X184" s="7"/>
      <c r="Y184" s="7"/>
      <c r="Z184" s="7"/>
      <c r="AA184" s="421"/>
      <c r="AB184" s="7"/>
      <c r="AC184" s="421"/>
      <c r="AD184" s="7"/>
      <c r="AE184" s="7"/>
      <c r="AF184" s="7"/>
      <c r="AG184" s="7"/>
      <c r="AH184" s="7"/>
      <c r="AI184" s="7"/>
      <c r="AJ184" s="7"/>
      <c r="AK184" s="7"/>
      <c r="AL184" s="7"/>
      <c r="AM184" s="7"/>
      <c r="AN184" s="7"/>
      <c r="AO184" s="7"/>
      <c r="AP184" s="7"/>
      <c r="AQ184" s="7"/>
      <c r="AR184" s="7"/>
      <c r="AS184" s="542"/>
      <c r="AT184" s="7"/>
      <c r="AU184" s="7"/>
      <c r="AV184" s="7"/>
      <c r="AW184" s="421"/>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c r="HX184" s="8"/>
      <c r="HY184" s="8"/>
      <c r="HZ184" s="8"/>
      <c r="IA184" s="8"/>
      <c r="IB184" s="8"/>
      <c r="IC184" s="8"/>
      <c r="ID184" s="8"/>
      <c r="IE184" s="8"/>
      <c r="IF184" s="8"/>
      <c r="IG184" s="8"/>
    </row>
    <row r="185" spans="1:241" s="53" customFormat="1" x14ac:dyDescent="0.25">
      <c r="A185" s="4"/>
      <c r="B185" s="3"/>
      <c r="C185" s="531"/>
      <c r="D185" s="530"/>
      <c r="E185" s="531"/>
      <c r="F185" s="532"/>
      <c r="G185" s="532"/>
      <c r="H185" s="531"/>
      <c r="I185" s="5"/>
      <c r="J185" s="6"/>
      <c r="K185" s="6"/>
      <c r="L185" s="7"/>
      <c r="M185" s="7"/>
      <c r="N185" s="7"/>
      <c r="O185" s="7"/>
      <c r="P185" s="7"/>
      <c r="Q185" s="421"/>
      <c r="R185" s="421"/>
      <c r="S185" s="7"/>
      <c r="T185" s="7"/>
      <c r="U185" s="7"/>
      <c r="V185" s="7"/>
      <c r="W185" s="7"/>
      <c r="X185" s="7"/>
      <c r="Y185" s="7"/>
      <c r="Z185" s="7"/>
      <c r="AA185" s="421"/>
      <c r="AB185" s="7"/>
      <c r="AC185" s="421"/>
      <c r="AD185" s="7"/>
      <c r="AE185" s="7"/>
      <c r="AF185" s="7"/>
      <c r="AG185" s="7"/>
      <c r="AH185" s="7"/>
      <c r="AI185" s="7"/>
      <c r="AJ185" s="7"/>
      <c r="AK185" s="7"/>
      <c r="AL185" s="7"/>
      <c r="AM185" s="7"/>
      <c r="AN185" s="7"/>
      <c r="AO185" s="7"/>
      <c r="AP185" s="7"/>
      <c r="AQ185" s="7"/>
      <c r="AR185" s="7"/>
      <c r="AS185" s="542"/>
      <c r="AT185" s="7"/>
      <c r="AU185" s="7"/>
      <c r="AV185" s="7"/>
      <c r="AW185" s="421"/>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c r="IB185" s="8"/>
      <c r="IC185" s="8"/>
      <c r="ID185" s="8"/>
      <c r="IE185" s="8"/>
      <c r="IF185" s="8"/>
      <c r="IG185" s="8"/>
    </row>
    <row r="186" spans="1:241" s="53" customFormat="1" x14ac:dyDescent="0.25">
      <c r="A186" s="4"/>
      <c r="B186" s="3"/>
      <c r="C186" s="531"/>
      <c r="D186" s="530"/>
      <c r="E186" s="531"/>
      <c r="F186" s="532"/>
      <c r="G186" s="532"/>
      <c r="H186" s="531"/>
      <c r="I186" s="5"/>
      <c r="J186" s="6"/>
      <c r="K186" s="6"/>
      <c r="L186" s="7"/>
      <c r="M186" s="7"/>
      <c r="N186" s="7"/>
      <c r="O186" s="7"/>
      <c r="P186" s="7"/>
      <c r="Q186" s="421"/>
      <c r="R186" s="421"/>
      <c r="S186" s="7"/>
      <c r="T186" s="7"/>
      <c r="U186" s="7"/>
      <c r="V186" s="7"/>
      <c r="W186" s="7"/>
      <c r="X186" s="7"/>
      <c r="Y186" s="7"/>
      <c r="Z186" s="7"/>
      <c r="AA186" s="421"/>
      <c r="AB186" s="7"/>
      <c r="AC186" s="421"/>
      <c r="AD186" s="7"/>
      <c r="AE186" s="7"/>
      <c r="AF186" s="7"/>
      <c r="AG186" s="7"/>
      <c r="AH186" s="7"/>
      <c r="AI186" s="7"/>
      <c r="AJ186" s="7"/>
      <c r="AK186" s="7"/>
      <c r="AL186" s="7"/>
      <c r="AM186" s="7"/>
      <c r="AN186" s="7"/>
      <c r="AO186" s="7"/>
      <c r="AP186" s="7"/>
      <c r="AQ186" s="7"/>
      <c r="AR186" s="7"/>
      <c r="AS186" s="542"/>
      <c r="AT186" s="7"/>
      <c r="AU186" s="7"/>
      <c r="AV186" s="7"/>
      <c r="AW186" s="421"/>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c r="IB186" s="8"/>
      <c r="IC186" s="8"/>
      <c r="ID186" s="8"/>
      <c r="IE186" s="8"/>
      <c r="IF186" s="8"/>
      <c r="IG186" s="8"/>
    </row>
    <row r="187" spans="1:241" s="53" customFormat="1" x14ac:dyDescent="0.25">
      <c r="A187" s="4"/>
      <c r="B187" s="3"/>
      <c r="C187" s="531"/>
      <c r="D187" s="530"/>
      <c r="E187" s="531"/>
      <c r="F187" s="532"/>
      <c r="G187" s="532"/>
      <c r="H187" s="531"/>
      <c r="I187" s="5"/>
      <c r="J187" s="6"/>
      <c r="K187" s="6"/>
      <c r="L187" s="7"/>
      <c r="M187" s="7"/>
      <c r="N187" s="7"/>
      <c r="O187" s="7"/>
      <c r="P187" s="7"/>
      <c r="Q187" s="421"/>
      <c r="R187" s="421"/>
      <c r="S187" s="7"/>
      <c r="T187" s="7"/>
      <c r="U187" s="7"/>
      <c r="V187" s="7"/>
      <c r="W187" s="7"/>
      <c r="X187" s="7"/>
      <c r="Y187" s="7"/>
      <c r="Z187" s="7"/>
      <c r="AA187" s="421"/>
      <c r="AB187" s="7"/>
      <c r="AC187" s="421"/>
      <c r="AD187" s="7"/>
      <c r="AE187" s="7"/>
      <c r="AF187" s="7"/>
      <c r="AG187" s="7"/>
      <c r="AH187" s="7"/>
      <c r="AI187" s="7"/>
      <c r="AJ187" s="7"/>
      <c r="AK187" s="7"/>
      <c r="AL187" s="7"/>
      <c r="AM187" s="7"/>
      <c r="AN187" s="7"/>
      <c r="AO187" s="7"/>
      <c r="AP187" s="7"/>
      <c r="AQ187" s="7"/>
      <c r="AR187" s="7"/>
      <c r="AS187" s="542"/>
      <c r="AT187" s="7"/>
      <c r="AU187" s="7"/>
      <c r="AV187" s="7"/>
      <c r="AW187" s="421"/>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c r="IB187" s="8"/>
      <c r="IC187" s="8"/>
      <c r="ID187" s="8"/>
      <c r="IE187" s="8"/>
      <c r="IF187" s="8"/>
      <c r="IG187" s="8"/>
    </row>
    <row r="188" spans="1:241" s="53" customFormat="1" x14ac:dyDescent="0.25">
      <c r="A188" s="4"/>
      <c r="B188" s="3"/>
      <c r="C188" s="531"/>
      <c r="D188" s="530"/>
      <c r="E188" s="531"/>
      <c r="F188" s="532"/>
      <c r="G188" s="532"/>
      <c r="H188" s="531"/>
      <c r="I188" s="5"/>
      <c r="J188" s="6"/>
      <c r="K188" s="6"/>
      <c r="L188" s="7"/>
      <c r="M188" s="7"/>
      <c r="N188" s="7"/>
      <c r="O188" s="7"/>
      <c r="P188" s="7"/>
      <c r="Q188" s="421"/>
      <c r="R188" s="421"/>
      <c r="S188" s="7"/>
      <c r="T188" s="7"/>
      <c r="U188" s="7"/>
      <c r="V188" s="7"/>
      <c r="W188" s="7"/>
      <c r="X188" s="7"/>
      <c r="Y188" s="7"/>
      <c r="Z188" s="7"/>
      <c r="AA188" s="421"/>
      <c r="AB188" s="7"/>
      <c r="AC188" s="421"/>
      <c r="AD188" s="7"/>
      <c r="AE188" s="7"/>
      <c r="AF188" s="7"/>
      <c r="AG188" s="7"/>
      <c r="AH188" s="7"/>
      <c r="AI188" s="7"/>
      <c r="AJ188" s="7"/>
      <c r="AK188" s="7"/>
      <c r="AL188" s="7"/>
      <c r="AM188" s="7"/>
      <c r="AN188" s="7"/>
      <c r="AO188" s="7"/>
      <c r="AP188" s="7"/>
      <c r="AQ188" s="7"/>
      <c r="AR188" s="7"/>
      <c r="AS188" s="542"/>
      <c r="AT188" s="7"/>
      <c r="AU188" s="7"/>
      <c r="AV188" s="7"/>
      <c r="AW188" s="421"/>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c r="IB188" s="8"/>
      <c r="IC188" s="8"/>
      <c r="ID188" s="8"/>
      <c r="IE188" s="8"/>
      <c r="IF188" s="8"/>
      <c r="IG188" s="8"/>
    </row>
    <row r="189" spans="1:241" s="53" customFormat="1" x14ac:dyDescent="0.25">
      <c r="A189" s="4"/>
      <c r="B189" s="3"/>
      <c r="C189" s="531"/>
      <c r="D189" s="530"/>
      <c r="E189" s="531"/>
      <c r="F189" s="532"/>
      <c r="G189" s="532"/>
      <c r="H189" s="531"/>
      <c r="I189" s="5"/>
      <c r="J189" s="6"/>
      <c r="K189" s="6"/>
      <c r="L189" s="7"/>
      <c r="M189" s="7"/>
      <c r="N189" s="7"/>
      <c r="O189" s="7"/>
      <c r="P189" s="7"/>
      <c r="Q189" s="421"/>
      <c r="R189" s="421"/>
      <c r="S189" s="7"/>
      <c r="T189" s="7"/>
      <c r="U189" s="7"/>
      <c r="V189" s="7"/>
      <c r="W189" s="7"/>
      <c r="X189" s="7"/>
      <c r="Y189" s="7"/>
      <c r="Z189" s="7"/>
      <c r="AA189" s="421"/>
      <c r="AB189" s="7"/>
      <c r="AC189" s="421"/>
      <c r="AD189" s="7"/>
      <c r="AE189" s="7"/>
      <c r="AF189" s="7"/>
      <c r="AG189" s="7"/>
      <c r="AH189" s="7"/>
      <c r="AI189" s="7"/>
      <c r="AJ189" s="7"/>
      <c r="AK189" s="7"/>
      <c r="AL189" s="7"/>
      <c r="AM189" s="7"/>
      <c r="AN189" s="7"/>
      <c r="AO189" s="7"/>
      <c r="AP189" s="7"/>
      <c r="AQ189" s="7"/>
      <c r="AR189" s="7"/>
      <c r="AS189" s="542"/>
      <c r="AT189" s="7"/>
      <c r="AU189" s="7"/>
      <c r="AV189" s="7"/>
      <c r="AW189" s="421"/>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c r="IE189" s="8"/>
      <c r="IF189" s="8"/>
      <c r="IG189" s="8"/>
    </row>
    <row r="190" spans="1:241" s="53" customFormat="1" x14ac:dyDescent="0.25">
      <c r="A190" s="4"/>
      <c r="B190" s="3"/>
      <c r="C190" s="531"/>
      <c r="D190" s="530"/>
      <c r="E190" s="531"/>
      <c r="F190" s="532"/>
      <c r="G190" s="532"/>
      <c r="H190" s="531"/>
      <c r="I190" s="5"/>
      <c r="J190" s="6"/>
      <c r="K190" s="6"/>
      <c r="L190" s="7"/>
      <c r="M190" s="7"/>
      <c r="N190" s="7"/>
      <c r="O190" s="7"/>
      <c r="P190" s="7"/>
      <c r="Q190" s="421"/>
      <c r="R190" s="421"/>
      <c r="S190" s="7"/>
      <c r="T190" s="7"/>
      <c r="U190" s="7"/>
      <c r="V190" s="7"/>
      <c r="W190" s="7"/>
      <c r="X190" s="7"/>
      <c r="Y190" s="7"/>
      <c r="Z190" s="7"/>
      <c r="AA190" s="421"/>
      <c r="AB190" s="7"/>
      <c r="AC190" s="421"/>
      <c r="AD190" s="7"/>
      <c r="AE190" s="7"/>
      <c r="AF190" s="7"/>
      <c r="AG190" s="7"/>
      <c r="AH190" s="7"/>
      <c r="AI190" s="7"/>
      <c r="AJ190" s="7"/>
      <c r="AK190" s="7"/>
      <c r="AL190" s="7"/>
      <c r="AM190" s="7"/>
      <c r="AN190" s="7"/>
      <c r="AO190" s="7"/>
      <c r="AP190" s="7"/>
      <c r="AQ190" s="7"/>
      <c r="AR190" s="7"/>
      <c r="AS190" s="542"/>
      <c r="AT190" s="7"/>
      <c r="AU190" s="7"/>
      <c r="AV190" s="7"/>
      <c r="AW190" s="421"/>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c r="ID190" s="8"/>
      <c r="IE190" s="8"/>
      <c r="IF190" s="8"/>
      <c r="IG190" s="8"/>
    </row>
    <row r="191" spans="1:241" s="7" customFormat="1" x14ac:dyDescent="0.25">
      <c r="A191" s="4"/>
      <c r="B191" s="3"/>
      <c r="C191" s="531"/>
      <c r="D191" s="530"/>
      <c r="E191" s="531"/>
      <c r="F191" s="532"/>
      <c r="G191" s="532"/>
      <c r="H191" s="531"/>
      <c r="I191" s="5"/>
      <c r="J191" s="6"/>
      <c r="K191" s="6"/>
      <c r="Q191" s="421"/>
      <c r="R191" s="421"/>
      <c r="AA191" s="421"/>
      <c r="AC191" s="421"/>
      <c r="AS191" s="542"/>
      <c r="AW191" s="421"/>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c r="HX191" s="8"/>
      <c r="HY191" s="8"/>
      <c r="HZ191" s="8"/>
      <c r="IA191" s="8"/>
      <c r="IB191" s="8"/>
      <c r="IC191" s="8"/>
      <c r="ID191" s="8"/>
      <c r="IE191" s="8"/>
      <c r="IF191" s="8"/>
      <c r="IG191" s="8"/>
    </row>
    <row r="192" spans="1:241" s="7" customFormat="1" x14ac:dyDescent="0.25">
      <c r="A192" s="4"/>
      <c r="B192" s="3"/>
      <c r="C192" s="5"/>
      <c r="D192" s="530"/>
      <c r="E192" s="531"/>
      <c r="F192" s="532"/>
      <c r="G192" s="532"/>
      <c r="H192" s="531"/>
      <c r="I192" s="5"/>
      <c r="J192" s="6"/>
      <c r="K192" s="6"/>
      <c r="Q192" s="421"/>
      <c r="R192" s="421"/>
      <c r="AA192" s="421"/>
      <c r="AC192" s="421"/>
      <c r="AS192" s="542"/>
      <c r="AW192" s="421"/>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c r="IB192" s="8"/>
      <c r="IC192" s="8"/>
      <c r="ID192" s="8"/>
      <c r="IE192" s="8"/>
      <c r="IF192" s="8"/>
      <c r="IG192" s="8"/>
    </row>
    <row r="193" spans="1:241" s="7" customFormat="1" x14ac:dyDescent="0.25">
      <c r="A193" s="4"/>
      <c r="B193" s="3"/>
      <c r="C193" s="5"/>
      <c r="D193" s="530"/>
      <c r="E193" s="531"/>
      <c r="F193" s="532"/>
      <c r="G193" s="532"/>
      <c r="H193" s="531"/>
      <c r="I193" s="5"/>
      <c r="J193" s="6"/>
      <c r="K193" s="6"/>
      <c r="Q193" s="421"/>
      <c r="R193" s="421"/>
      <c r="AA193" s="421"/>
      <c r="AC193" s="421"/>
      <c r="AS193" s="542"/>
      <c r="AW193" s="421"/>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c r="HX193" s="8"/>
      <c r="HY193" s="8"/>
      <c r="HZ193" s="8"/>
      <c r="IA193" s="8"/>
      <c r="IB193" s="8"/>
      <c r="IC193" s="8"/>
      <c r="ID193" s="8"/>
      <c r="IE193" s="8"/>
      <c r="IF193" s="8"/>
      <c r="IG193" s="8"/>
    </row>
    <row r="206" spans="1:241" s="7" customFormat="1" x14ac:dyDescent="0.25">
      <c r="A206" s="4"/>
      <c r="B206" s="3"/>
      <c r="C206" s="5"/>
      <c r="D206" s="3"/>
      <c r="E206" s="5"/>
      <c r="F206" s="51"/>
      <c r="G206" s="51"/>
      <c r="H206" s="5"/>
      <c r="I206" s="5"/>
      <c r="J206" s="6"/>
      <c r="K206" s="6"/>
      <c r="Q206" s="421"/>
      <c r="R206" s="421"/>
      <c r="AA206" s="421"/>
      <c r="AC206" s="421"/>
      <c r="AS206" s="542"/>
      <c r="AW206" s="421"/>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row>
  </sheetData>
  <sheetProtection selectLockedCells="1" selectUnlockedCells="1"/>
  <autoFilter ref="A2:IG170"/>
  <mergeCells count="193">
    <mergeCell ref="F144:F146"/>
    <mergeCell ref="G144:G146"/>
    <mergeCell ref="H144:H146"/>
    <mergeCell ref="I144:I146"/>
    <mergeCell ref="J144:J146"/>
    <mergeCell ref="K144:K146"/>
    <mergeCell ref="F162:F164"/>
    <mergeCell ref="G162:G164"/>
    <mergeCell ref="H162:H164"/>
    <mergeCell ref="I162:I164"/>
    <mergeCell ref="J162:J164"/>
    <mergeCell ref="K162:K164"/>
    <mergeCell ref="F138:F140"/>
    <mergeCell ref="G138:G140"/>
    <mergeCell ref="H138:H140"/>
    <mergeCell ref="I138:I140"/>
    <mergeCell ref="J138:J140"/>
    <mergeCell ref="K138:K140"/>
    <mergeCell ref="F141:F143"/>
    <mergeCell ref="G141:G143"/>
    <mergeCell ref="H141:H143"/>
    <mergeCell ref="I141:I143"/>
    <mergeCell ref="J141:J143"/>
    <mergeCell ref="K141:K143"/>
    <mergeCell ref="F96:F98"/>
    <mergeCell ref="G96:G98"/>
    <mergeCell ref="H96:H98"/>
    <mergeCell ref="I96:I98"/>
    <mergeCell ref="J96:J98"/>
    <mergeCell ref="K96:K98"/>
    <mergeCell ref="F112:F114"/>
    <mergeCell ref="G112:G114"/>
    <mergeCell ref="H112:H114"/>
    <mergeCell ref="I112:I114"/>
    <mergeCell ref="J112:J114"/>
    <mergeCell ref="K112:K114"/>
    <mergeCell ref="F99:F106"/>
    <mergeCell ref="G99:G106"/>
    <mergeCell ref="H99:H106"/>
    <mergeCell ref="I99:I106"/>
    <mergeCell ref="J99:J106"/>
    <mergeCell ref="K99:K106"/>
    <mergeCell ref="F90:F92"/>
    <mergeCell ref="G90:G92"/>
    <mergeCell ref="H90:H92"/>
    <mergeCell ref="I90:I92"/>
    <mergeCell ref="J90:J92"/>
    <mergeCell ref="K90:K92"/>
    <mergeCell ref="F93:F95"/>
    <mergeCell ref="G93:G95"/>
    <mergeCell ref="H93:H95"/>
    <mergeCell ref="I93:I95"/>
    <mergeCell ref="J93:J95"/>
    <mergeCell ref="K93:K95"/>
    <mergeCell ref="F87:F89"/>
    <mergeCell ref="G87:G89"/>
    <mergeCell ref="H87:H89"/>
    <mergeCell ref="I87:I89"/>
    <mergeCell ref="J87:J89"/>
    <mergeCell ref="K87:K89"/>
    <mergeCell ref="F81:F86"/>
    <mergeCell ref="G81:G86"/>
    <mergeCell ref="H81:H86"/>
    <mergeCell ref="I81:I86"/>
    <mergeCell ref="J81:J86"/>
    <mergeCell ref="K81:K86"/>
    <mergeCell ref="I19:I21"/>
    <mergeCell ref="J3:J5"/>
    <mergeCell ref="K3:K5"/>
    <mergeCell ref="F61:F63"/>
    <mergeCell ref="G61:G63"/>
    <mergeCell ref="H61:H63"/>
    <mergeCell ref="I61:I63"/>
    <mergeCell ref="J61:J63"/>
    <mergeCell ref="K61:K63"/>
    <mergeCell ref="J16:J18"/>
    <mergeCell ref="K16:K18"/>
    <mergeCell ref="J19:J21"/>
    <mergeCell ref="K19:K21"/>
    <mergeCell ref="K22:K25"/>
    <mergeCell ref="F26:F28"/>
    <mergeCell ref="G26:G28"/>
    <mergeCell ref="H26:H28"/>
    <mergeCell ref="I26:I28"/>
    <mergeCell ref="J26:J28"/>
    <mergeCell ref="K26:K28"/>
    <mergeCell ref="K29:K60"/>
    <mergeCell ref="J29:J60"/>
    <mergeCell ref="I29:I60"/>
    <mergeCell ref="H29:H60"/>
    <mergeCell ref="F165:F167"/>
    <mergeCell ref="G165:G167"/>
    <mergeCell ref="H165:H167"/>
    <mergeCell ref="I165:I167"/>
    <mergeCell ref="J165:J167"/>
    <mergeCell ref="K165:K167"/>
    <mergeCell ref="F147:F161"/>
    <mergeCell ref="G147:G161"/>
    <mergeCell ref="H147:H161"/>
    <mergeCell ref="I147:I161"/>
    <mergeCell ref="J147:J161"/>
    <mergeCell ref="K147:K161"/>
    <mergeCell ref="F122:F129"/>
    <mergeCell ref="G122:G129"/>
    <mergeCell ref="H122:H129"/>
    <mergeCell ref="I122:I129"/>
    <mergeCell ref="J122:J129"/>
    <mergeCell ref="K122:K129"/>
    <mergeCell ref="F130:F134"/>
    <mergeCell ref="G130:G134"/>
    <mergeCell ref="H130:H134"/>
    <mergeCell ref="I130:I134"/>
    <mergeCell ref="J130:J134"/>
    <mergeCell ref="K130:K134"/>
    <mergeCell ref="F135:F137"/>
    <mergeCell ref="G135:G137"/>
    <mergeCell ref="H135:H137"/>
    <mergeCell ref="I135:I137"/>
    <mergeCell ref="J135:J137"/>
    <mergeCell ref="K135:K137"/>
    <mergeCell ref="F107:F111"/>
    <mergeCell ref="G107:G111"/>
    <mergeCell ref="H107:H111"/>
    <mergeCell ref="I107:I111"/>
    <mergeCell ref="J107:J111"/>
    <mergeCell ref="K107:K111"/>
    <mergeCell ref="F118:F121"/>
    <mergeCell ref="G118:G121"/>
    <mergeCell ref="H118:H121"/>
    <mergeCell ref="I118:I121"/>
    <mergeCell ref="J118:J121"/>
    <mergeCell ref="K118:K121"/>
    <mergeCell ref="F115:F117"/>
    <mergeCell ref="G115:G117"/>
    <mergeCell ref="H115:H117"/>
    <mergeCell ref="I115:I117"/>
    <mergeCell ref="J115:J117"/>
    <mergeCell ref="K115:K117"/>
    <mergeCell ref="F76:F80"/>
    <mergeCell ref="G76:G80"/>
    <mergeCell ref="H76:H80"/>
    <mergeCell ref="I76:I80"/>
    <mergeCell ref="J76:J80"/>
    <mergeCell ref="K76:K80"/>
    <mergeCell ref="G29:G60"/>
    <mergeCell ref="F29:F60"/>
    <mergeCell ref="F64:F66"/>
    <mergeCell ref="G64:G66"/>
    <mergeCell ref="H64:H66"/>
    <mergeCell ref="I64:I66"/>
    <mergeCell ref="J64:J66"/>
    <mergeCell ref="K64:K66"/>
    <mergeCell ref="F67:F75"/>
    <mergeCell ref="G67:G75"/>
    <mergeCell ref="H67:H75"/>
    <mergeCell ref="I67:I75"/>
    <mergeCell ref="J67:J75"/>
    <mergeCell ref="K67:K75"/>
    <mergeCell ref="F22:F25"/>
    <mergeCell ref="G22:G25"/>
    <mergeCell ref="H22:H25"/>
    <mergeCell ref="I22:I25"/>
    <mergeCell ref="J22:J25"/>
    <mergeCell ref="H6:H11"/>
    <mergeCell ref="I6:I11"/>
    <mergeCell ref="J6:J11"/>
    <mergeCell ref="K6:K11"/>
    <mergeCell ref="F16:F18"/>
    <mergeCell ref="G16:G18"/>
    <mergeCell ref="H16:H18"/>
    <mergeCell ref="I16:I18"/>
    <mergeCell ref="K12:K15"/>
    <mergeCell ref="F6:F11"/>
    <mergeCell ref="G6:G11"/>
    <mergeCell ref="F12:F15"/>
    <mergeCell ref="G12:G15"/>
    <mergeCell ref="H12:H15"/>
    <mergeCell ref="I12:I15"/>
    <mergeCell ref="J12:J15"/>
    <mergeCell ref="F19:F21"/>
    <mergeCell ref="G19:G21"/>
    <mergeCell ref="H19:H21"/>
    <mergeCell ref="AY1:BN1"/>
    <mergeCell ref="L1:Z1"/>
    <mergeCell ref="AA1:AD1"/>
    <mergeCell ref="AE1:AT1"/>
    <mergeCell ref="A1:I1"/>
    <mergeCell ref="AU1:AX1"/>
    <mergeCell ref="F3:F5"/>
    <mergeCell ref="G3:G5"/>
    <mergeCell ref="H3:H5"/>
    <mergeCell ref="I3:I5"/>
    <mergeCell ref="J1:K1"/>
  </mergeCells>
  <pageMargins left="0.82677165354330717" right="0.59055118110236227" top="0.62992125984251968" bottom="0.23622047244094491" header="0.31496062992125984" footer="0.51181102362204722"/>
  <pageSetup paperSize="5" scale="55" firstPageNumber="0" orientation="landscape" r:id="rId1"/>
  <headerFooter alignWithMargins="0">
    <oddHeader>&amp;C&amp;"Calibri,Negrita"&amp;12FONDO DE DESARROLLO LOCAL SANTA FÉ</oddHeader>
  </headerFooter>
  <ignoredErrors>
    <ignoredError sqref="AX124 AX126 AX128 AX132 AX137 AX13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G158"/>
  <sheetViews>
    <sheetView topLeftCell="A73" workbookViewId="0">
      <selection activeCell="A2" sqref="A2"/>
    </sheetView>
  </sheetViews>
  <sheetFormatPr baseColWidth="10" defaultColWidth="10.85546875" defaultRowHeight="15" x14ac:dyDescent="0.25"/>
  <cols>
    <col min="1" max="1" width="53.85546875" style="86" customWidth="1"/>
    <col min="2" max="2" width="10.85546875" style="86"/>
    <col min="3" max="3" width="23.5703125" style="86" customWidth="1"/>
    <col min="4" max="4" width="28.28515625" style="86" customWidth="1"/>
    <col min="5" max="5" width="10.85546875" style="86"/>
    <col min="6" max="6" width="26" style="87" customWidth="1"/>
    <col min="7" max="7" width="16" style="86" customWidth="1"/>
    <col min="8" max="16384" width="10.85546875" style="86"/>
  </cols>
  <sheetData>
    <row r="2" spans="1:3" ht="15" customHeight="1" x14ac:dyDescent="0.25">
      <c r="A2" s="88" t="s">
        <v>156</v>
      </c>
      <c r="C2" s="88" t="s">
        <v>1111</v>
      </c>
    </row>
    <row r="3" spans="1:3" ht="15" customHeight="1" x14ac:dyDescent="0.25">
      <c r="A3" s="88" t="s">
        <v>493</v>
      </c>
      <c r="C3" s="88" t="s">
        <v>1125</v>
      </c>
    </row>
    <row r="4" spans="1:3" ht="15" customHeight="1" x14ac:dyDescent="0.25">
      <c r="A4" s="88" t="s">
        <v>1126</v>
      </c>
      <c r="C4" s="88" t="s">
        <v>1127</v>
      </c>
    </row>
    <row r="5" spans="1:3" ht="15" customHeight="1" x14ac:dyDescent="0.25">
      <c r="A5" s="88" t="s">
        <v>76</v>
      </c>
      <c r="C5" s="88" t="s">
        <v>1128</v>
      </c>
    </row>
    <row r="6" spans="1:3" ht="15" customHeight="1" x14ac:dyDescent="0.25">
      <c r="A6" s="88" t="s">
        <v>115</v>
      </c>
      <c r="C6" s="88" t="s">
        <v>1129</v>
      </c>
    </row>
    <row r="7" spans="1:3" ht="15" customHeight="1" x14ac:dyDescent="0.25">
      <c r="A7" s="88" t="s">
        <v>1130</v>
      </c>
      <c r="C7" s="88" t="s">
        <v>1131</v>
      </c>
    </row>
    <row r="8" spans="1:3" ht="15" customHeight="1" x14ac:dyDescent="0.25">
      <c r="A8" s="88" t="s">
        <v>198</v>
      </c>
      <c r="C8" s="88" t="s">
        <v>1132</v>
      </c>
    </row>
    <row r="9" spans="1:3" ht="15" customHeight="1" x14ac:dyDescent="0.25">
      <c r="A9" s="88" t="s">
        <v>174</v>
      </c>
      <c r="C9" s="88" t="s">
        <v>1133</v>
      </c>
    </row>
    <row r="10" spans="1:3" ht="15" customHeight="1" x14ac:dyDescent="0.25">
      <c r="A10" s="88" t="s">
        <v>63</v>
      </c>
      <c r="C10" s="89" t="s">
        <v>1121</v>
      </c>
    </row>
    <row r="11" spans="1:3" ht="15" customHeight="1" x14ac:dyDescent="0.25">
      <c r="A11" s="88" t="s">
        <v>48</v>
      </c>
      <c r="C11" s="88" t="s">
        <v>1134</v>
      </c>
    </row>
    <row r="12" spans="1:3" ht="15" customHeight="1" x14ac:dyDescent="0.25">
      <c r="A12" s="88" t="s">
        <v>1135</v>
      </c>
      <c r="C12" s="88" t="s">
        <v>1119</v>
      </c>
    </row>
    <row r="13" spans="1:3" ht="15" customHeight="1" x14ac:dyDescent="0.25">
      <c r="A13" s="88" t="s">
        <v>99</v>
      </c>
    </row>
    <row r="17" spans="1:1" ht="15" customHeight="1" x14ac:dyDescent="0.25">
      <c r="A17" s="88" t="s">
        <v>464</v>
      </c>
    </row>
    <row r="18" spans="1:1" ht="15" customHeight="1" x14ac:dyDescent="0.25">
      <c r="A18" s="88" t="s">
        <v>308</v>
      </c>
    </row>
    <row r="19" spans="1:1" ht="15" customHeight="1" x14ac:dyDescent="0.25">
      <c r="A19" s="90" t="s">
        <v>1136</v>
      </c>
    </row>
    <row r="20" spans="1:1" ht="15" customHeight="1" x14ac:dyDescent="0.25">
      <c r="A20" s="90" t="s">
        <v>1137</v>
      </c>
    </row>
    <row r="21" spans="1:1" ht="15" customHeight="1" x14ac:dyDescent="0.25">
      <c r="A21" s="91" t="s">
        <v>1138</v>
      </c>
    </row>
    <row r="22" spans="1:1" ht="15" customHeight="1" x14ac:dyDescent="0.25">
      <c r="A22" s="91" t="s">
        <v>361</v>
      </c>
    </row>
    <row r="23" spans="1:1" ht="15" customHeight="1" x14ac:dyDescent="0.25">
      <c r="A23" s="88" t="s">
        <v>329</v>
      </c>
    </row>
    <row r="24" spans="1:1" ht="15" customHeight="1" x14ac:dyDescent="0.25">
      <c r="A24" s="88" t="s">
        <v>650</v>
      </c>
    </row>
    <row r="25" spans="1:1" ht="15" customHeight="1" x14ac:dyDescent="0.25">
      <c r="A25" s="88" t="s">
        <v>336</v>
      </c>
    </row>
    <row r="26" spans="1:1" ht="15" customHeight="1" x14ac:dyDescent="0.25">
      <c r="A26" s="88" t="s">
        <v>448</v>
      </c>
    </row>
    <row r="27" spans="1:1" ht="15" customHeight="1" x14ac:dyDescent="0.25">
      <c r="A27" s="88"/>
    </row>
    <row r="28" spans="1:1" ht="15" customHeight="1" x14ac:dyDescent="0.25">
      <c r="A28" s="88"/>
    </row>
    <row r="29" spans="1:1" ht="15" customHeight="1" x14ac:dyDescent="0.25">
      <c r="A29" s="88"/>
    </row>
    <row r="31" spans="1:1" ht="15" customHeight="1" x14ac:dyDescent="0.25">
      <c r="A31" s="88" t="s">
        <v>325</v>
      </c>
    </row>
    <row r="32" spans="1:1" ht="15" customHeight="1" x14ac:dyDescent="0.25">
      <c r="A32" s="88" t="s">
        <v>400</v>
      </c>
    </row>
    <row r="33" spans="1:1" ht="15" customHeight="1" x14ac:dyDescent="0.25">
      <c r="A33" s="88" t="s">
        <v>1139</v>
      </c>
    </row>
    <row r="34" spans="1:1" ht="15" customHeight="1" x14ac:dyDescent="0.25">
      <c r="A34" s="91" t="s">
        <v>1140</v>
      </c>
    </row>
    <row r="35" spans="1:1" ht="15" customHeight="1" x14ac:dyDescent="0.25">
      <c r="A35" s="91" t="s">
        <v>1141</v>
      </c>
    </row>
    <row r="36" spans="1:1" ht="15" customHeight="1" x14ac:dyDescent="0.25">
      <c r="A36" s="91" t="s">
        <v>361</v>
      </c>
    </row>
    <row r="37" spans="1:1" ht="15" customHeight="1" x14ac:dyDescent="0.25">
      <c r="A37" s="88" t="s">
        <v>356</v>
      </c>
    </row>
    <row r="38" spans="1:1" ht="15" customHeight="1" x14ac:dyDescent="0.25">
      <c r="A38" s="88" t="s">
        <v>1142</v>
      </c>
    </row>
    <row r="39" spans="1:1" ht="15" customHeight="1" x14ac:dyDescent="0.25">
      <c r="A39" s="88" t="s">
        <v>320</v>
      </c>
    </row>
    <row r="40" spans="1:1" ht="15" customHeight="1" x14ac:dyDescent="0.25">
      <c r="A40" s="88" t="s">
        <v>1143</v>
      </c>
    </row>
    <row r="41" spans="1:1" ht="15" customHeight="1" x14ac:dyDescent="0.25">
      <c r="A41" s="88" t="s">
        <v>1015</v>
      </c>
    </row>
    <row r="42" spans="1:1" ht="15" customHeight="1" x14ac:dyDescent="0.25">
      <c r="A42" s="88" t="s">
        <v>641</v>
      </c>
    </row>
    <row r="43" spans="1:1" ht="15" customHeight="1" x14ac:dyDescent="0.25">
      <c r="A43" s="88" t="s">
        <v>1144</v>
      </c>
    </row>
    <row r="44" spans="1:1" ht="15" customHeight="1" x14ac:dyDescent="0.25">
      <c r="A44" s="88" t="s">
        <v>309</v>
      </c>
    </row>
    <row r="45" spans="1:1" ht="15" customHeight="1" x14ac:dyDescent="0.25">
      <c r="A45" s="86" t="s">
        <v>1145</v>
      </c>
    </row>
    <row r="46" spans="1:1" ht="15" customHeight="1" x14ac:dyDescent="0.25">
      <c r="A46" s="88"/>
    </row>
    <row r="47" spans="1:1" ht="15" customHeight="1" x14ac:dyDescent="0.25">
      <c r="A47" s="88"/>
    </row>
    <row r="48" spans="1:1" ht="15" customHeight="1" x14ac:dyDescent="0.25">
      <c r="A48" s="88"/>
    </row>
    <row r="50" spans="1:1" ht="15" customHeight="1" x14ac:dyDescent="0.25">
      <c r="A50" s="88" t="s">
        <v>1146</v>
      </c>
    </row>
    <row r="51" spans="1:1" ht="15" customHeight="1" x14ac:dyDescent="0.25">
      <c r="A51" s="88" t="s">
        <v>498</v>
      </c>
    </row>
    <row r="52" spans="1:1" ht="15" customHeight="1" x14ac:dyDescent="0.25">
      <c r="A52" s="88" t="s">
        <v>315</v>
      </c>
    </row>
    <row r="53" spans="1:1" ht="15" customHeight="1" x14ac:dyDescent="0.25">
      <c r="A53" s="88" t="s">
        <v>416</v>
      </c>
    </row>
    <row r="54" spans="1:1" ht="15" customHeight="1" x14ac:dyDescent="0.25">
      <c r="A54" s="88" t="s">
        <v>1147</v>
      </c>
    </row>
    <row r="55" spans="1:1" ht="15" customHeight="1" x14ac:dyDescent="0.25">
      <c r="A55" s="88" t="s">
        <v>1148</v>
      </c>
    </row>
    <row r="56" spans="1:1" ht="15" customHeight="1" x14ac:dyDescent="0.25">
      <c r="A56" s="88" t="s">
        <v>1149</v>
      </c>
    </row>
    <row r="57" spans="1:1" ht="15" customHeight="1" x14ac:dyDescent="0.25">
      <c r="A57" s="88" t="s">
        <v>1150</v>
      </c>
    </row>
    <row r="61" spans="1:1" ht="15" customHeight="1" x14ac:dyDescent="0.25">
      <c r="A61" s="92" t="s">
        <v>1151</v>
      </c>
    </row>
    <row r="62" spans="1:1" ht="15" customHeight="1" x14ac:dyDescent="0.25">
      <c r="A62" s="92" t="s">
        <v>1152</v>
      </c>
    </row>
    <row r="63" spans="1:1" ht="15" customHeight="1" x14ac:dyDescent="0.25">
      <c r="A63" s="92" t="s">
        <v>1153</v>
      </c>
    </row>
    <row r="64" spans="1:1" ht="15" customHeight="1" x14ac:dyDescent="0.25">
      <c r="A64" s="92" t="s">
        <v>1154</v>
      </c>
    </row>
    <row r="65" spans="1:7" ht="15" customHeight="1" x14ac:dyDescent="0.25">
      <c r="A65" s="92" t="s">
        <v>1155</v>
      </c>
    </row>
    <row r="66" spans="1:7" ht="15" customHeight="1" x14ac:dyDescent="0.25">
      <c r="A66" s="92" t="s">
        <v>1156</v>
      </c>
    </row>
    <row r="67" spans="1:7" ht="15" customHeight="1" x14ac:dyDescent="0.25">
      <c r="A67" s="92" t="s">
        <v>1157</v>
      </c>
    </row>
    <row r="68" spans="1:7" ht="15" customHeight="1" x14ac:dyDescent="0.25">
      <c r="A68" s="92" t="s">
        <v>1158</v>
      </c>
    </row>
    <row r="69" spans="1:7" ht="15" customHeight="1" x14ac:dyDescent="0.25">
      <c r="A69" s="92" t="s">
        <v>1159</v>
      </c>
    </row>
    <row r="70" spans="1:7" ht="15" customHeight="1" x14ac:dyDescent="0.25">
      <c r="A70" s="92" t="s">
        <v>1160</v>
      </c>
    </row>
    <row r="71" spans="1:7" ht="15" customHeight="1" x14ac:dyDescent="0.25">
      <c r="A71" s="92" t="s">
        <v>1161</v>
      </c>
    </row>
    <row r="72" spans="1:7" ht="15" customHeight="1" x14ac:dyDescent="0.25">
      <c r="A72" s="92" t="s">
        <v>1162</v>
      </c>
    </row>
    <row r="73" spans="1:7" ht="15" customHeight="1" x14ac:dyDescent="0.25">
      <c r="A73" s="92" t="s">
        <v>1163</v>
      </c>
    </row>
    <row r="74" spans="1:7" ht="15" customHeight="1" x14ac:dyDescent="0.25">
      <c r="A74" s="92" t="s">
        <v>1164</v>
      </c>
    </row>
    <row r="80" spans="1:7" ht="21" customHeight="1" x14ac:dyDescent="0.25">
      <c r="B80" s="93" t="s">
        <v>1165</v>
      </c>
      <c r="C80" s="93" t="s">
        <v>1166</v>
      </c>
      <c r="D80" s="94" t="s">
        <v>1167</v>
      </c>
      <c r="E80" s="94" t="s">
        <v>1168</v>
      </c>
      <c r="F80" s="94" t="s">
        <v>1169</v>
      </c>
      <c r="G80" s="94" t="s">
        <v>1170</v>
      </c>
    </row>
    <row r="81" spans="2:7" ht="25.5" customHeight="1" x14ac:dyDescent="0.25">
      <c r="B81" s="95" t="s">
        <v>1171</v>
      </c>
      <c r="C81" s="96" t="s">
        <v>1172</v>
      </c>
      <c r="D81" s="97" t="s">
        <v>52</v>
      </c>
      <c r="E81" s="98">
        <v>1</v>
      </c>
      <c r="F81" s="97" t="s">
        <v>56</v>
      </c>
      <c r="G81" s="99" t="s">
        <v>48</v>
      </c>
    </row>
    <row r="82" spans="2:7" ht="25.5" customHeight="1" x14ac:dyDescent="0.25">
      <c r="B82" s="95" t="s">
        <v>1171</v>
      </c>
      <c r="C82" s="96" t="s">
        <v>1172</v>
      </c>
      <c r="D82" s="97" t="s">
        <v>43</v>
      </c>
      <c r="E82" s="98">
        <v>2</v>
      </c>
      <c r="F82" s="97" t="s">
        <v>49</v>
      </c>
      <c r="G82" s="99" t="s">
        <v>48</v>
      </c>
    </row>
    <row r="83" spans="2:7" ht="25.5" customHeight="1" x14ac:dyDescent="0.25">
      <c r="B83" s="95" t="s">
        <v>1171</v>
      </c>
      <c r="C83" s="96" t="s">
        <v>1172</v>
      </c>
      <c r="D83" s="97" t="s">
        <v>1173</v>
      </c>
      <c r="E83" s="98">
        <v>3</v>
      </c>
      <c r="F83" s="97" t="s">
        <v>49</v>
      </c>
      <c r="G83" s="99" t="s">
        <v>48</v>
      </c>
    </row>
    <row r="84" spans="2:7" ht="38.25" customHeight="1" x14ac:dyDescent="0.25">
      <c r="B84" s="95" t="s">
        <v>1171</v>
      </c>
      <c r="C84" s="96" t="s">
        <v>1174</v>
      </c>
      <c r="D84" s="97" t="s">
        <v>59</v>
      </c>
      <c r="E84" s="98">
        <v>4</v>
      </c>
      <c r="F84" s="97" t="s">
        <v>64</v>
      </c>
      <c r="G84" s="100" t="s">
        <v>63</v>
      </c>
    </row>
    <row r="85" spans="2:7" ht="38.25" customHeight="1" x14ac:dyDescent="0.25">
      <c r="B85" s="95" t="s">
        <v>1171</v>
      </c>
      <c r="C85" s="96" t="s">
        <v>1174</v>
      </c>
      <c r="D85" s="97" t="s">
        <v>68</v>
      </c>
      <c r="E85" s="98">
        <v>5</v>
      </c>
      <c r="F85" s="97" t="s">
        <v>64</v>
      </c>
      <c r="G85" s="100" t="s">
        <v>63</v>
      </c>
    </row>
    <row r="86" spans="2:7" ht="38.25" customHeight="1" x14ac:dyDescent="0.25">
      <c r="B86" s="95" t="s">
        <v>1171</v>
      </c>
      <c r="C86" s="96" t="s">
        <v>1174</v>
      </c>
      <c r="D86" s="97" t="s">
        <v>1175</v>
      </c>
      <c r="E86" s="98">
        <v>6</v>
      </c>
      <c r="F86" s="97" t="s">
        <v>1176</v>
      </c>
      <c r="G86" s="100" t="s">
        <v>63</v>
      </c>
    </row>
    <row r="87" spans="2:7" ht="51" customHeight="1" x14ac:dyDescent="0.25">
      <c r="B87" s="95" t="s">
        <v>1171</v>
      </c>
      <c r="C87" s="96" t="s">
        <v>1177</v>
      </c>
      <c r="D87" s="97" t="s">
        <v>85</v>
      </c>
      <c r="E87" s="98">
        <v>7</v>
      </c>
      <c r="F87" s="97" t="s">
        <v>88</v>
      </c>
      <c r="G87" s="99" t="s">
        <v>76</v>
      </c>
    </row>
    <row r="88" spans="2:7" ht="51" customHeight="1" x14ac:dyDescent="0.25">
      <c r="B88" s="99" t="s">
        <v>1171</v>
      </c>
      <c r="C88" s="101" t="s">
        <v>1178</v>
      </c>
      <c r="D88" s="97" t="s">
        <v>1179</v>
      </c>
      <c r="E88" s="98">
        <v>8</v>
      </c>
      <c r="F88" s="97" t="s">
        <v>88</v>
      </c>
      <c r="G88" s="99" t="s">
        <v>76</v>
      </c>
    </row>
    <row r="89" spans="2:7" ht="51" customHeight="1" x14ac:dyDescent="0.25">
      <c r="B89" s="95" t="s">
        <v>1171</v>
      </c>
      <c r="C89" s="96" t="s">
        <v>1178</v>
      </c>
      <c r="D89" s="102" t="s">
        <v>79</v>
      </c>
      <c r="E89" s="98">
        <v>9</v>
      </c>
      <c r="F89" s="103" t="s">
        <v>83</v>
      </c>
      <c r="G89" s="100" t="s">
        <v>76</v>
      </c>
    </row>
    <row r="90" spans="2:7" ht="51" customHeight="1" x14ac:dyDescent="0.25">
      <c r="B90" s="99" t="s">
        <v>1171</v>
      </c>
      <c r="C90" s="101" t="s">
        <v>1178</v>
      </c>
      <c r="D90" s="97" t="s">
        <v>1180</v>
      </c>
      <c r="E90" s="98">
        <v>10</v>
      </c>
      <c r="F90" s="103" t="s">
        <v>83</v>
      </c>
      <c r="G90" s="100" t="s">
        <v>76</v>
      </c>
    </row>
    <row r="91" spans="2:7" ht="51" customHeight="1" x14ac:dyDescent="0.25">
      <c r="B91" s="99" t="s">
        <v>1171</v>
      </c>
      <c r="C91" s="101" t="s">
        <v>1178</v>
      </c>
      <c r="D91" s="97" t="s">
        <v>72</v>
      </c>
      <c r="E91" s="98">
        <v>11</v>
      </c>
      <c r="F91" s="97" t="s">
        <v>77</v>
      </c>
      <c r="G91" s="99" t="s">
        <v>76</v>
      </c>
    </row>
    <row r="92" spans="2:7" ht="51" customHeight="1" x14ac:dyDescent="0.25">
      <c r="B92" s="99" t="s">
        <v>1171</v>
      </c>
      <c r="C92" s="101" t="s">
        <v>1178</v>
      </c>
      <c r="D92" s="97" t="s">
        <v>1181</v>
      </c>
      <c r="E92" s="98">
        <v>12</v>
      </c>
      <c r="F92" s="97" t="s">
        <v>1182</v>
      </c>
      <c r="G92" s="99" t="s">
        <v>76</v>
      </c>
    </row>
    <row r="93" spans="2:7" ht="51" customHeight="1" x14ac:dyDescent="0.25">
      <c r="B93" s="99" t="s">
        <v>1171</v>
      </c>
      <c r="C93" s="101" t="s">
        <v>1178</v>
      </c>
      <c r="D93" s="97" t="s">
        <v>1183</v>
      </c>
      <c r="E93" s="98">
        <v>13</v>
      </c>
      <c r="F93" s="97" t="s">
        <v>1182</v>
      </c>
      <c r="G93" s="99" t="s">
        <v>76</v>
      </c>
    </row>
    <row r="94" spans="2:7" ht="38.25" customHeight="1" x14ac:dyDescent="0.25">
      <c r="B94" s="99" t="s">
        <v>1171</v>
      </c>
      <c r="C94" s="101" t="s">
        <v>1184</v>
      </c>
      <c r="D94" s="97" t="s">
        <v>95</v>
      </c>
      <c r="E94" s="98">
        <v>14</v>
      </c>
      <c r="F94" s="97" t="s">
        <v>100</v>
      </c>
      <c r="G94" s="99" t="s">
        <v>99</v>
      </c>
    </row>
    <row r="95" spans="2:7" ht="63.75" customHeight="1" x14ac:dyDescent="0.25">
      <c r="B95" s="99" t="s">
        <v>1171</v>
      </c>
      <c r="C95" s="101" t="s">
        <v>1185</v>
      </c>
      <c r="D95" s="97" t="s">
        <v>113</v>
      </c>
      <c r="E95" s="98">
        <v>15</v>
      </c>
      <c r="F95" s="97" t="s">
        <v>100</v>
      </c>
      <c r="G95" s="99" t="s">
        <v>115</v>
      </c>
    </row>
    <row r="96" spans="2:7" ht="63.75" customHeight="1" x14ac:dyDescent="0.25">
      <c r="B96" s="104" t="s">
        <v>1171</v>
      </c>
      <c r="C96" s="101" t="s">
        <v>1185</v>
      </c>
      <c r="D96" s="102" t="s">
        <v>117</v>
      </c>
      <c r="E96" s="98">
        <v>16</v>
      </c>
      <c r="F96" s="103" t="s">
        <v>108</v>
      </c>
      <c r="G96" s="99" t="s">
        <v>48</v>
      </c>
    </row>
    <row r="97" spans="2:7" ht="63.75" customHeight="1" x14ac:dyDescent="0.25">
      <c r="B97" s="99" t="s">
        <v>1171</v>
      </c>
      <c r="C97" s="101" t="s">
        <v>1185</v>
      </c>
      <c r="D97" s="97" t="s">
        <v>1186</v>
      </c>
      <c r="E97" s="98">
        <v>17</v>
      </c>
      <c r="F97" s="103" t="s">
        <v>108</v>
      </c>
      <c r="G97" s="99" t="s">
        <v>48</v>
      </c>
    </row>
    <row r="98" spans="2:7" ht="63.75" customHeight="1" x14ac:dyDescent="0.25">
      <c r="B98" s="99" t="s">
        <v>1171</v>
      </c>
      <c r="C98" s="101" t="s">
        <v>1185</v>
      </c>
      <c r="D98" s="97" t="s">
        <v>1187</v>
      </c>
      <c r="E98" s="98">
        <v>18</v>
      </c>
      <c r="F98" s="103" t="s">
        <v>108</v>
      </c>
      <c r="G98" s="99" t="s">
        <v>48</v>
      </c>
    </row>
    <row r="99" spans="2:7" ht="63.75" customHeight="1" x14ac:dyDescent="0.25">
      <c r="B99" s="99" t="s">
        <v>1171</v>
      </c>
      <c r="C99" s="101" t="s">
        <v>1185</v>
      </c>
      <c r="D99" s="97" t="s">
        <v>103</v>
      </c>
      <c r="E99" s="98">
        <v>19</v>
      </c>
      <c r="F99" s="103" t="s">
        <v>108</v>
      </c>
      <c r="G99" s="99" t="s">
        <v>48</v>
      </c>
    </row>
    <row r="100" spans="2:7" ht="38.25" customHeight="1" x14ac:dyDescent="0.25">
      <c r="B100" s="99" t="s">
        <v>1171</v>
      </c>
      <c r="C100" s="101" t="s">
        <v>1188</v>
      </c>
      <c r="D100" s="97" t="s">
        <v>1189</v>
      </c>
      <c r="E100" s="98">
        <v>20</v>
      </c>
      <c r="F100" s="97" t="s">
        <v>230</v>
      </c>
      <c r="G100" s="99" t="s">
        <v>115</v>
      </c>
    </row>
    <row r="101" spans="2:7" ht="38.25" customHeight="1" x14ac:dyDescent="0.25">
      <c r="B101" s="99" t="s">
        <v>1171</v>
      </c>
      <c r="C101" s="101" t="s">
        <v>1188</v>
      </c>
      <c r="D101" s="97" t="s">
        <v>1190</v>
      </c>
      <c r="E101" s="98">
        <v>21</v>
      </c>
      <c r="F101" s="97" t="s">
        <v>230</v>
      </c>
      <c r="G101" s="99" t="s">
        <v>115</v>
      </c>
    </row>
    <row r="102" spans="2:7" ht="38.25" customHeight="1" x14ac:dyDescent="0.25">
      <c r="B102" s="99" t="s">
        <v>1171</v>
      </c>
      <c r="C102" s="101" t="s">
        <v>1191</v>
      </c>
      <c r="D102" s="97" t="s">
        <v>1192</v>
      </c>
      <c r="E102" s="98">
        <v>22</v>
      </c>
      <c r="F102" s="97" t="s">
        <v>230</v>
      </c>
      <c r="G102" s="99" t="s">
        <v>115</v>
      </c>
    </row>
    <row r="103" spans="2:7" ht="25.5" customHeight="1" x14ac:dyDescent="0.25">
      <c r="B103" s="99" t="s">
        <v>1171</v>
      </c>
      <c r="C103" s="101" t="s">
        <v>1193</v>
      </c>
      <c r="D103" s="97" t="s">
        <v>129</v>
      </c>
      <c r="E103" s="98">
        <v>23</v>
      </c>
      <c r="F103" s="97" t="s">
        <v>133</v>
      </c>
      <c r="G103" s="99" t="s">
        <v>126</v>
      </c>
    </row>
    <row r="104" spans="2:7" ht="25.5" customHeight="1" x14ac:dyDescent="0.25">
      <c r="B104" s="99" t="s">
        <v>1171</v>
      </c>
      <c r="C104" s="101" t="s">
        <v>1193</v>
      </c>
      <c r="D104" s="97" t="s">
        <v>1194</v>
      </c>
      <c r="E104" s="98">
        <v>24</v>
      </c>
      <c r="F104" s="97" t="s">
        <v>133</v>
      </c>
      <c r="G104" s="99" t="s">
        <v>126</v>
      </c>
    </row>
    <row r="105" spans="2:7" ht="38.25" customHeight="1" x14ac:dyDescent="0.25">
      <c r="B105" s="99" t="s">
        <v>1171</v>
      </c>
      <c r="C105" s="101" t="s">
        <v>1193</v>
      </c>
      <c r="D105" s="97" t="s">
        <v>140</v>
      </c>
      <c r="E105" s="98">
        <v>25</v>
      </c>
      <c r="F105" s="103" t="s">
        <v>143</v>
      </c>
      <c r="G105" s="100" t="s">
        <v>126</v>
      </c>
    </row>
    <row r="106" spans="2:7" ht="25.5" customHeight="1" x14ac:dyDescent="0.25">
      <c r="B106" s="99" t="s">
        <v>1171</v>
      </c>
      <c r="C106" s="101" t="s">
        <v>1193</v>
      </c>
      <c r="D106" s="97" t="s">
        <v>1195</v>
      </c>
      <c r="E106" s="98">
        <v>26</v>
      </c>
      <c r="F106" s="103" t="s">
        <v>143</v>
      </c>
      <c r="G106" s="100" t="s">
        <v>126</v>
      </c>
    </row>
    <row r="107" spans="2:7" ht="25.5" customHeight="1" x14ac:dyDescent="0.25">
      <c r="B107" s="99" t="s">
        <v>1171</v>
      </c>
      <c r="C107" s="101" t="s">
        <v>1193</v>
      </c>
      <c r="D107" s="105" t="s">
        <v>145</v>
      </c>
      <c r="E107" s="98">
        <v>27</v>
      </c>
      <c r="F107" s="103" t="s">
        <v>127</v>
      </c>
      <c r="G107" s="100" t="s">
        <v>126</v>
      </c>
    </row>
    <row r="108" spans="2:7" ht="38.25" customHeight="1" x14ac:dyDescent="0.25">
      <c r="B108" s="99" t="s">
        <v>1171</v>
      </c>
      <c r="C108" s="101" t="s">
        <v>1193</v>
      </c>
      <c r="D108" s="105" t="s">
        <v>1196</v>
      </c>
      <c r="E108" s="98">
        <v>28</v>
      </c>
      <c r="F108" s="103" t="s">
        <v>1197</v>
      </c>
      <c r="G108" s="100" t="s">
        <v>126</v>
      </c>
    </row>
    <row r="109" spans="2:7" ht="25.5" customHeight="1" x14ac:dyDescent="0.25">
      <c r="B109" s="99" t="s">
        <v>1171</v>
      </c>
      <c r="C109" s="101" t="s">
        <v>1193</v>
      </c>
      <c r="D109" s="102" t="s">
        <v>121</v>
      </c>
      <c r="E109" s="98">
        <v>29</v>
      </c>
      <c r="F109" s="103" t="s">
        <v>127</v>
      </c>
      <c r="G109" s="100" t="s">
        <v>126</v>
      </c>
    </row>
    <row r="110" spans="2:7" ht="25.5" customHeight="1" x14ac:dyDescent="0.25">
      <c r="B110" s="99" t="s">
        <v>1171</v>
      </c>
      <c r="C110" s="101" t="s">
        <v>1193</v>
      </c>
      <c r="D110" s="97" t="s">
        <v>1198</v>
      </c>
      <c r="E110" s="98">
        <v>30</v>
      </c>
      <c r="F110" s="103" t="s">
        <v>138</v>
      </c>
      <c r="G110" s="100" t="s">
        <v>126</v>
      </c>
    </row>
    <row r="111" spans="2:7" ht="25.5" customHeight="1" x14ac:dyDescent="0.25">
      <c r="B111" s="99" t="s">
        <v>1171</v>
      </c>
      <c r="C111" s="101" t="s">
        <v>1193</v>
      </c>
      <c r="D111" s="97" t="s">
        <v>1199</v>
      </c>
      <c r="E111" s="98">
        <v>31</v>
      </c>
      <c r="F111" s="103" t="s">
        <v>138</v>
      </c>
      <c r="G111" s="100" t="s">
        <v>126</v>
      </c>
    </row>
    <row r="112" spans="2:7" ht="25.5" customHeight="1" x14ac:dyDescent="0.25">
      <c r="B112" s="99" t="s">
        <v>1171</v>
      </c>
      <c r="C112" s="101" t="s">
        <v>1193</v>
      </c>
      <c r="D112" s="97" t="s">
        <v>135</v>
      </c>
      <c r="E112" s="98">
        <v>32</v>
      </c>
      <c r="F112" s="103" t="s">
        <v>138</v>
      </c>
      <c r="G112" s="100" t="s">
        <v>126</v>
      </c>
    </row>
    <row r="113" spans="2:7" ht="25.5" customHeight="1" x14ac:dyDescent="0.25">
      <c r="B113" s="99" t="s">
        <v>1171</v>
      </c>
      <c r="C113" s="101" t="s">
        <v>1193</v>
      </c>
      <c r="D113" s="97" t="s">
        <v>1200</v>
      </c>
      <c r="E113" s="98">
        <v>33</v>
      </c>
      <c r="F113" s="103" t="s">
        <v>138</v>
      </c>
      <c r="G113" s="100" t="s">
        <v>126</v>
      </c>
    </row>
    <row r="114" spans="2:7" ht="25.5" customHeight="1" x14ac:dyDescent="0.25">
      <c r="B114" s="99" t="s">
        <v>1171</v>
      </c>
      <c r="C114" s="101" t="s">
        <v>1193</v>
      </c>
      <c r="D114" s="97" t="s">
        <v>1201</v>
      </c>
      <c r="E114" s="98">
        <v>34</v>
      </c>
      <c r="F114" s="103" t="s">
        <v>138</v>
      </c>
      <c r="G114" s="100" t="s">
        <v>126</v>
      </c>
    </row>
    <row r="115" spans="2:7" ht="25.5" customHeight="1" x14ac:dyDescent="0.25">
      <c r="B115" s="99" t="s">
        <v>1171</v>
      </c>
      <c r="C115" s="101" t="s">
        <v>1193</v>
      </c>
      <c r="D115" s="97" t="s">
        <v>1202</v>
      </c>
      <c r="E115" s="98">
        <v>35</v>
      </c>
      <c r="F115" s="103" t="s">
        <v>1203</v>
      </c>
      <c r="G115" s="100" t="s">
        <v>126</v>
      </c>
    </row>
    <row r="116" spans="2:7" ht="25.5" customHeight="1" x14ac:dyDescent="0.25">
      <c r="B116" s="106" t="s">
        <v>1171</v>
      </c>
      <c r="C116" s="101" t="s">
        <v>1193</v>
      </c>
      <c r="D116" s="97" t="s">
        <v>1204</v>
      </c>
      <c r="E116" s="98">
        <v>36</v>
      </c>
      <c r="F116" s="103" t="s">
        <v>1203</v>
      </c>
      <c r="G116" s="100" t="s">
        <v>126</v>
      </c>
    </row>
    <row r="117" spans="2:7" ht="25.5" customHeight="1" x14ac:dyDescent="0.25">
      <c r="B117" s="106" t="s">
        <v>1171</v>
      </c>
      <c r="C117" s="101" t="s">
        <v>1193</v>
      </c>
      <c r="D117" s="97" t="s">
        <v>1205</v>
      </c>
      <c r="E117" s="98">
        <v>37</v>
      </c>
      <c r="F117" s="103" t="s">
        <v>1203</v>
      </c>
      <c r="G117" s="100" t="s">
        <v>126</v>
      </c>
    </row>
    <row r="118" spans="2:7" ht="25.5" customHeight="1" x14ac:dyDescent="0.25">
      <c r="B118" s="99" t="s">
        <v>1171</v>
      </c>
      <c r="C118" s="101" t="s">
        <v>1206</v>
      </c>
      <c r="D118" s="97" t="s">
        <v>1207</v>
      </c>
      <c r="E118" s="98">
        <v>38</v>
      </c>
      <c r="F118" s="97" t="s">
        <v>1208</v>
      </c>
      <c r="G118" s="99" t="s">
        <v>198</v>
      </c>
    </row>
    <row r="119" spans="2:7" ht="38.25" customHeight="1" x14ac:dyDescent="0.25">
      <c r="B119" s="99" t="s">
        <v>1171</v>
      </c>
      <c r="C119" s="101" t="s">
        <v>1209</v>
      </c>
      <c r="D119" s="97" t="s">
        <v>1210</v>
      </c>
      <c r="E119" s="98">
        <v>39</v>
      </c>
      <c r="F119" s="103" t="s">
        <v>1211</v>
      </c>
      <c r="G119" s="99" t="s">
        <v>198</v>
      </c>
    </row>
    <row r="120" spans="2:7" ht="51" customHeight="1" x14ac:dyDescent="0.25">
      <c r="B120" s="107" t="s">
        <v>1212</v>
      </c>
      <c r="C120" s="108" t="s">
        <v>149</v>
      </c>
      <c r="D120" s="105" t="s">
        <v>1213</v>
      </c>
      <c r="E120" s="98">
        <v>40</v>
      </c>
      <c r="F120" s="103" t="s">
        <v>157</v>
      </c>
      <c r="G120" s="100" t="s">
        <v>156</v>
      </c>
    </row>
    <row r="121" spans="2:7" ht="51" customHeight="1" x14ac:dyDescent="0.25">
      <c r="B121" s="106" t="s">
        <v>1212</v>
      </c>
      <c r="C121" s="101" t="s">
        <v>1214</v>
      </c>
      <c r="D121" s="97" t="s">
        <v>165</v>
      </c>
      <c r="E121" s="98">
        <v>41</v>
      </c>
      <c r="F121" s="103" t="s">
        <v>157</v>
      </c>
      <c r="G121" s="100" t="s">
        <v>156</v>
      </c>
    </row>
    <row r="122" spans="2:7" ht="51" customHeight="1" x14ac:dyDescent="0.25">
      <c r="B122" s="106" t="s">
        <v>1212</v>
      </c>
      <c r="C122" s="101" t="s">
        <v>1214</v>
      </c>
      <c r="D122" s="97" t="s">
        <v>1215</v>
      </c>
      <c r="E122" s="98">
        <v>42</v>
      </c>
      <c r="F122" s="103" t="s">
        <v>157</v>
      </c>
      <c r="G122" s="100" t="s">
        <v>156</v>
      </c>
    </row>
    <row r="123" spans="2:7" ht="51" customHeight="1" x14ac:dyDescent="0.25">
      <c r="B123" s="106" t="s">
        <v>1212</v>
      </c>
      <c r="C123" s="101" t="s">
        <v>1214</v>
      </c>
      <c r="D123" s="97" t="s">
        <v>1216</v>
      </c>
      <c r="E123" s="98">
        <v>43</v>
      </c>
      <c r="F123" s="103" t="s">
        <v>157</v>
      </c>
      <c r="G123" s="100" t="s">
        <v>156</v>
      </c>
    </row>
    <row r="124" spans="2:7" ht="51" customHeight="1" x14ac:dyDescent="0.25">
      <c r="B124" s="106" t="s">
        <v>1212</v>
      </c>
      <c r="C124" s="101" t="s">
        <v>1214</v>
      </c>
      <c r="D124" s="97" t="s">
        <v>1217</v>
      </c>
      <c r="E124" s="98">
        <v>44</v>
      </c>
      <c r="F124" s="97" t="s">
        <v>1218</v>
      </c>
      <c r="G124" s="100" t="s">
        <v>156</v>
      </c>
    </row>
    <row r="125" spans="2:7" ht="51" customHeight="1" x14ac:dyDescent="0.25">
      <c r="B125" s="106" t="s">
        <v>1212</v>
      </c>
      <c r="C125" s="101" t="s">
        <v>1214</v>
      </c>
      <c r="D125" s="102" t="s">
        <v>151</v>
      </c>
      <c r="E125" s="98">
        <v>45</v>
      </c>
      <c r="F125" s="103" t="s">
        <v>157</v>
      </c>
      <c r="G125" s="100" t="s">
        <v>156</v>
      </c>
    </row>
    <row r="126" spans="2:7" ht="25.5" customHeight="1" x14ac:dyDescent="0.25">
      <c r="B126" s="99" t="s">
        <v>1212</v>
      </c>
      <c r="C126" s="101" t="s">
        <v>1219</v>
      </c>
      <c r="D126" s="102" t="s">
        <v>169</v>
      </c>
      <c r="E126" s="98">
        <v>46</v>
      </c>
      <c r="F126" s="103" t="s">
        <v>175</v>
      </c>
      <c r="G126" s="100" t="s">
        <v>174</v>
      </c>
    </row>
    <row r="127" spans="2:7" ht="25.5" customHeight="1" x14ac:dyDescent="0.25">
      <c r="B127" s="99" t="s">
        <v>1212</v>
      </c>
      <c r="C127" s="101" t="s">
        <v>1219</v>
      </c>
      <c r="D127" s="102" t="s">
        <v>1220</v>
      </c>
      <c r="E127" s="98">
        <v>47</v>
      </c>
      <c r="F127" s="103" t="s">
        <v>175</v>
      </c>
      <c r="G127" s="100" t="s">
        <v>174</v>
      </c>
    </row>
    <row r="128" spans="2:7" ht="15" customHeight="1" x14ac:dyDescent="0.25">
      <c r="B128" s="99" t="s">
        <v>1212</v>
      </c>
      <c r="C128" s="101" t="s">
        <v>1219</v>
      </c>
      <c r="D128" s="97" t="s">
        <v>1221</v>
      </c>
      <c r="E128" s="98">
        <v>48</v>
      </c>
      <c r="F128" s="103" t="s">
        <v>175</v>
      </c>
      <c r="G128" s="100" t="s">
        <v>174</v>
      </c>
    </row>
    <row r="129" spans="2:7" ht="15" customHeight="1" x14ac:dyDescent="0.25">
      <c r="B129" s="99" t="s">
        <v>1212</v>
      </c>
      <c r="C129" s="101" t="s">
        <v>1219</v>
      </c>
      <c r="D129" s="97" t="s">
        <v>1222</v>
      </c>
      <c r="E129" s="98">
        <v>49</v>
      </c>
      <c r="F129" s="103" t="s">
        <v>175</v>
      </c>
      <c r="G129" s="100" t="s">
        <v>174</v>
      </c>
    </row>
    <row r="130" spans="2:7" ht="15" customHeight="1" x14ac:dyDescent="0.25">
      <c r="B130" s="106" t="s">
        <v>1212</v>
      </c>
      <c r="C130" s="101" t="s">
        <v>1219</v>
      </c>
      <c r="D130" s="97" t="s">
        <v>1223</v>
      </c>
      <c r="E130" s="98">
        <v>50</v>
      </c>
      <c r="F130" s="103" t="s">
        <v>182</v>
      </c>
      <c r="G130" s="100" t="s">
        <v>174</v>
      </c>
    </row>
    <row r="131" spans="2:7" ht="15" customHeight="1" x14ac:dyDescent="0.25">
      <c r="B131" s="99" t="s">
        <v>1212</v>
      </c>
      <c r="C131" s="101" t="s">
        <v>1219</v>
      </c>
      <c r="D131" s="97" t="s">
        <v>179</v>
      </c>
      <c r="E131" s="98">
        <v>51</v>
      </c>
      <c r="F131" s="103" t="s">
        <v>182</v>
      </c>
      <c r="G131" s="100" t="s">
        <v>174</v>
      </c>
    </row>
    <row r="132" spans="2:7" ht="25.5" customHeight="1" x14ac:dyDescent="0.25">
      <c r="B132" s="99" t="s">
        <v>1212</v>
      </c>
      <c r="C132" s="101" t="s">
        <v>1219</v>
      </c>
      <c r="D132" s="97" t="s">
        <v>1224</v>
      </c>
      <c r="E132" s="98">
        <v>52</v>
      </c>
      <c r="F132" s="103" t="s">
        <v>182</v>
      </c>
      <c r="G132" s="100" t="s">
        <v>174</v>
      </c>
    </row>
    <row r="133" spans="2:7" ht="25.5" customHeight="1" x14ac:dyDescent="0.25">
      <c r="B133" s="99" t="s">
        <v>1212</v>
      </c>
      <c r="C133" s="101" t="s">
        <v>1219</v>
      </c>
      <c r="D133" s="97" t="s">
        <v>1225</v>
      </c>
      <c r="E133" s="98">
        <v>53</v>
      </c>
      <c r="F133" s="103" t="s">
        <v>182</v>
      </c>
      <c r="G133" s="100" t="s">
        <v>174</v>
      </c>
    </row>
    <row r="134" spans="2:7" ht="25.5" customHeight="1" x14ac:dyDescent="0.25">
      <c r="B134" s="99" t="s">
        <v>1212</v>
      </c>
      <c r="C134" s="101" t="s">
        <v>1226</v>
      </c>
      <c r="D134" s="97" t="s">
        <v>1227</v>
      </c>
      <c r="E134" s="98">
        <v>54</v>
      </c>
      <c r="F134" s="103" t="s">
        <v>188</v>
      </c>
      <c r="G134" s="100" t="s">
        <v>156</v>
      </c>
    </row>
    <row r="135" spans="2:7" ht="25.5" customHeight="1" x14ac:dyDescent="0.25">
      <c r="B135" s="99" t="s">
        <v>1212</v>
      </c>
      <c r="C135" s="101" t="s">
        <v>1226</v>
      </c>
      <c r="D135" s="102" t="s">
        <v>185</v>
      </c>
      <c r="E135" s="98">
        <v>55</v>
      </c>
      <c r="F135" s="103" t="s">
        <v>188</v>
      </c>
      <c r="G135" s="100" t="s">
        <v>156</v>
      </c>
    </row>
    <row r="136" spans="2:7" ht="25.5" customHeight="1" x14ac:dyDescent="0.25">
      <c r="B136" s="99" t="s">
        <v>1212</v>
      </c>
      <c r="C136" s="101" t="s">
        <v>1226</v>
      </c>
      <c r="D136" s="97" t="s">
        <v>190</v>
      </c>
      <c r="E136" s="98">
        <v>56</v>
      </c>
      <c r="F136" s="103" t="s">
        <v>188</v>
      </c>
      <c r="G136" s="100" t="s">
        <v>156</v>
      </c>
    </row>
    <row r="137" spans="2:7" ht="38.25" customHeight="1" x14ac:dyDescent="0.25">
      <c r="B137" s="99" t="s">
        <v>1212</v>
      </c>
      <c r="C137" s="101" t="s">
        <v>1228</v>
      </c>
      <c r="D137" s="97" t="s">
        <v>195</v>
      </c>
      <c r="E137" s="98">
        <v>57</v>
      </c>
      <c r="F137" s="97" t="s">
        <v>199</v>
      </c>
      <c r="G137" s="100" t="s">
        <v>198</v>
      </c>
    </row>
    <row r="138" spans="2:7" ht="38.25" customHeight="1" x14ac:dyDescent="0.25">
      <c r="B138" s="99" t="s">
        <v>1212</v>
      </c>
      <c r="C138" s="101" t="s">
        <v>1228</v>
      </c>
      <c r="D138" s="97" t="s">
        <v>1229</v>
      </c>
      <c r="E138" s="98">
        <v>58</v>
      </c>
      <c r="F138" s="97" t="s">
        <v>199</v>
      </c>
      <c r="G138" s="100" t="s">
        <v>198</v>
      </c>
    </row>
    <row r="139" spans="2:7" ht="38.25" customHeight="1" x14ac:dyDescent="0.25">
      <c r="B139" s="99" t="s">
        <v>1212</v>
      </c>
      <c r="C139" s="101" t="s">
        <v>1230</v>
      </c>
      <c r="D139" s="97" t="s">
        <v>1231</v>
      </c>
      <c r="E139" s="98">
        <v>59</v>
      </c>
      <c r="F139" s="97" t="s">
        <v>1232</v>
      </c>
      <c r="G139" s="100" t="s">
        <v>156</v>
      </c>
    </row>
    <row r="140" spans="2:7" ht="38.25" customHeight="1" x14ac:dyDescent="0.25">
      <c r="B140" s="99" t="s">
        <v>1212</v>
      </c>
      <c r="C140" s="101" t="s">
        <v>1230</v>
      </c>
      <c r="D140" s="97" t="s">
        <v>1233</v>
      </c>
      <c r="E140" s="98">
        <v>60</v>
      </c>
      <c r="F140" s="97" t="s">
        <v>157</v>
      </c>
      <c r="G140" s="100" t="s">
        <v>156</v>
      </c>
    </row>
    <row r="141" spans="2:7" ht="25.5" customHeight="1" x14ac:dyDescent="0.25">
      <c r="B141" s="99" t="s">
        <v>1234</v>
      </c>
      <c r="C141" s="101" t="s">
        <v>1235</v>
      </c>
      <c r="D141" s="102" t="s">
        <v>207</v>
      </c>
      <c r="E141" s="98">
        <v>61</v>
      </c>
      <c r="F141" s="103" t="s">
        <v>100</v>
      </c>
      <c r="G141" s="99" t="s">
        <v>115</v>
      </c>
    </row>
    <row r="142" spans="2:7" ht="25.5" customHeight="1" x14ac:dyDescent="0.25">
      <c r="B142" s="99" t="s">
        <v>1234</v>
      </c>
      <c r="C142" s="101" t="s">
        <v>1235</v>
      </c>
      <c r="D142" s="97" t="s">
        <v>1236</v>
      </c>
      <c r="E142" s="98">
        <v>62</v>
      </c>
      <c r="F142" s="103" t="s">
        <v>100</v>
      </c>
      <c r="G142" s="99" t="s">
        <v>48</v>
      </c>
    </row>
    <row r="143" spans="2:7" ht="25.5" customHeight="1" x14ac:dyDescent="0.25">
      <c r="B143" s="99" t="s">
        <v>1234</v>
      </c>
      <c r="C143" s="101" t="s">
        <v>1235</v>
      </c>
      <c r="D143" s="97" t="s">
        <v>216</v>
      </c>
      <c r="E143" s="98">
        <v>63</v>
      </c>
      <c r="F143" s="103" t="s">
        <v>100</v>
      </c>
      <c r="G143" s="99" t="s">
        <v>115</v>
      </c>
    </row>
    <row r="144" spans="2:7" ht="25.5" customHeight="1" x14ac:dyDescent="0.25">
      <c r="B144" s="99" t="s">
        <v>1234</v>
      </c>
      <c r="C144" s="101" t="s">
        <v>1235</v>
      </c>
      <c r="D144" s="97" t="s">
        <v>1237</v>
      </c>
      <c r="E144" s="98">
        <v>64</v>
      </c>
      <c r="F144" s="103" t="s">
        <v>100</v>
      </c>
      <c r="G144" s="99" t="s">
        <v>115</v>
      </c>
    </row>
    <row r="145" spans="2:7" ht="25.5" customHeight="1" x14ac:dyDescent="0.25">
      <c r="B145" s="99" t="s">
        <v>1234</v>
      </c>
      <c r="C145" s="101" t="s">
        <v>1235</v>
      </c>
      <c r="D145" s="97" t="s">
        <v>211</v>
      </c>
      <c r="E145" s="98">
        <v>65</v>
      </c>
      <c r="F145" s="103" t="s">
        <v>100</v>
      </c>
      <c r="G145" s="99" t="s">
        <v>115</v>
      </c>
    </row>
    <row r="146" spans="2:7" ht="25.5" customHeight="1" x14ac:dyDescent="0.25">
      <c r="B146" s="99" t="s">
        <v>1234</v>
      </c>
      <c r="C146" s="101" t="s">
        <v>1235</v>
      </c>
      <c r="D146" s="97" t="s">
        <v>1238</v>
      </c>
      <c r="E146" s="98">
        <v>66</v>
      </c>
      <c r="F146" s="103" t="s">
        <v>100</v>
      </c>
      <c r="G146" s="99" t="s">
        <v>115</v>
      </c>
    </row>
    <row r="147" spans="2:7" ht="38.25" customHeight="1" x14ac:dyDescent="0.25">
      <c r="B147" s="99" t="s">
        <v>1234</v>
      </c>
      <c r="C147" s="101" t="s">
        <v>1239</v>
      </c>
      <c r="D147" s="97" t="s">
        <v>1240</v>
      </c>
      <c r="E147" s="98">
        <v>67</v>
      </c>
      <c r="F147" s="103" t="s">
        <v>100</v>
      </c>
      <c r="G147" s="100" t="s">
        <v>63</v>
      </c>
    </row>
    <row r="148" spans="2:7" ht="63.75" customHeight="1" x14ac:dyDescent="0.25">
      <c r="B148" s="99" t="s">
        <v>1234</v>
      </c>
      <c r="C148" s="101" t="s">
        <v>1241</v>
      </c>
      <c r="D148" s="97" t="s">
        <v>1242</v>
      </c>
      <c r="E148" s="98">
        <v>68</v>
      </c>
      <c r="F148" s="103" t="s">
        <v>230</v>
      </c>
      <c r="G148" s="99" t="s">
        <v>115</v>
      </c>
    </row>
    <row r="149" spans="2:7" ht="63.75" customHeight="1" x14ac:dyDescent="0.25">
      <c r="B149" s="99" t="s">
        <v>1234</v>
      </c>
      <c r="C149" s="101" t="s">
        <v>1241</v>
      </c>
      <c r="D149" s="102" t="s">
        <v>227</v>
      </c>
      <c r="E149" s="98">
        <v>69</v>
      </c>
      <c r="F149" s="103" t="s">
        <v>230</v>
      </c>
      <c r="G149" s="99" t="s">
        <v>115</v>
      </c>
    </row>
    <row r="150" spans="2:7" ht="25.5" customHeight="1" x14ac:dyDescent="0.25">
      <c r="B150" s="99" t="s">
        <v>1234</v>
      </c>
      <c r="C150" s="101" t="s">
        <v>1243</v>
      </c>
      <c r="D150" s="102" t="s">
        <v>1244</v>
      </c>
      <c r="E150" s="98">
        <v>70</v>
      </c>
      <c r="F150" s="103" t="s">
        <v>230</v>
      </c>
      <c r="G150" s="99" t="s">
        <v>115</v>
      </c>
    </row>
    <row r="151" spans="2:7" ht="38.25" customHeight="1" x14ac:dyDescent="0.25">
      <c r="B151" s="99" t="s">
        <v>1234</v>
      </c>
      <c r="C151" s="101" t="s">
        <v>219</v>
      </c>
      <c r="D151" s="109" t="s">
        <v>221</v>
      </c>
      <c r="E151" s="98">
        <v>71</v>
      </c>
      <c r="F151" s="103" t="s">
        <v>224</v>
      </c>
      <c r="G151" s="99" t="s">
        <v>115</v>
      </c>
    </row>
    <row r="152" spans="2:7" ht="38.25" customHeight="1" x14ac:dyDescent="0.25">
      <c r="B152" s="99" t="s">
        <v>1234</v>
      </c>
      <c r="C152" s="101" t="s">
        <v>219</v>
      </c>
      <c r="D152" s="109" t="s">
        <v>1245</v>
      </c>
      <c r="E152" s="98">
        <v>72</v>
      </c>
      <c r="F152" s="103" t="s">
        <v>224</v>
      </c>
      <c r="G152" s="99" t="s">
        <v>115</v>
      </c>
    </row>
    <row r="153" spans="2:7" ht="38.25" customHeight="1" x14ac:dyDescent="0.25">
      <c r="B153" s="99" t="s">
        <v>1234</v>
      </c>
      <c r="C153" s="101" t="s">
        <v>1243</v>
      </c>
      <c r="D153" s="97" t="s">
        <v>1246</v>
      </c>
      <c r="E153" s="98">
        <v>73</v>
      </c>
      <c r="F153" s="97" t="s">
        <v>64</v>
      </c>
      <c r="G153" s="100" t="s">
        <v>63</v>
      </c>
    </row>
    <row r="154" spans="2:7" ht="63.75" customHeight="1" x14ac:dyDescent="0.25">
      <c r="B154" s="99" t="s">
        <v>1234</v>
      </c>
      <c r="C154" s="110" t="s">
        <v>240</v>
      </c>
      <c r="D154" s="111" t="s">
        <v>1247</v>
      </c>
      <c r="E154" s="98">
        <v>74</v>
      </c>
      <c r="F154" s="103" t="s">
        <v>1248</v>
      </c>
      <c r="G154" s="99" t="s">
        <v>115</v>
      </c>
    </row>
    <row r="155" spans="2:7" ht="38.25" customHeight="1" x14ac:dyDescent="0.25">
      <c r="B155" s="99" t="s">
        <v>1234</v>
      </c>
      <c r="C155" s="110" t="s">
        <v>240</v>
      </c>
      <c r="D155" s="111" t="s">
        <v>248</v>
      </c>
      <c r="E155" s="98">
        <v>75</v>
      </c>
      <c r="F155" s="103" t="s">
        <v>246</v>
      </c>
      <c r="G155" s="99" t="s">
        <v>115</v>
      </c>
    </row>
    <row r="156" spans="2:7" ht="38.25" customHeight="1" x14ac:dyDescent="0.25">
      <c r="B156" s="99" t="s">
        <v>1234</v>
      </c>
      <c r="C156" s="110" t="s">
        <v>240</v>
      </c>
      <c r="D156" s="111" t="s">
        <v>242</v>
      </c>
      <c r="E156" s="98">
        <v>76</v>
      </c>
      <c r="F156" s="103" t="s">
        <v>246</v>
      </c>
      <c r="G156" s="99" t="s">
        <v>115</v>
      </c>
    </row>
    <row r="157" spans="2:7" ht="51" customHeight="1" x14ac:dyDescent="0.25">
      <c r="B157" s="104" t="s">
        <v>1234</v>
      </c>
      <c r="C157" s="110" t="s">
        <v>240</v>
      </c>
      <c r="D157" s="97" t="s">
        <v>1249</v>
      </c>
      <c r="E157" s="98">
        <v>77</v>
      </c>
      <c r="F157" s="103" t="s">
        <v>1248</v>
      </c>
      <c r="G157" s="99" t="s">
        <v>115</v>
      </c>
    </row>
    <row r="158" spans="2:7" ht="15" customHeight="1" x14ac:dyDescent="0.25">
      <c r="B158" s="112"/>
      <c r="C158" s="112"/>
      <c r="D158" s="113" t="s">
        <v>91</v>
      </c>
      <c r="E158" s="112" t="s">
        <v>90</v>
      </c>
      <c r="F158" s="112" t="s">
        <v>90</v>
      </c>
      <c r="G158" s="112" t="s">
        <v>90</v>
      </c>
    </row>
  </sheetData>
  <sheetProtection selectLockedCells="1" selectUnlockedCells="1"/>
  <dataValidations count="1">
    <dataValidation type="list" operator="equal" allowBlank="1" showErrorMessage="1" sqref="B120:C120">
      <formula1>NA()</formula1>
      <formula2>0</formula2>
    </dataValidation>
  </dataValidations>
  <pageMargins left="0.7" right="0.7" top="0.75" bottom="0.7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86"/>
  <sheetViews>
    <sheetView zoomScale="115" zoomScaleNormal="115" workbookViewId="0">
      <pane ySplit="2" topLeftCell="A3" activePane="bottomLeft" state="frozen"/>
      <selection pane="bottomLeft" activeCell="X138" sqref="X138"/>
    </sheetView>
  </sheetViews>
  <sheetFormatPr baseColWidth="10" defaultColWidth="7.140625" defaultRowHeight="13.5" x14ac:dyDescent="0.25"/>
  <cols>
    <col min="1" max="1" width="10.5703125" style="4" customWidth="1"/>
    <col min="2" max="2" width="21.28515625" style="3" customWidth="1"/>
    <col min="3" max="3" width="10.5703125" style="5" customWidth="1"/>
    <col min="4" max="4" width="21.28515625" style="3" customWidth="1"/>
    <col min="5" max="5" width="10.5703125" style="5" customWidth="1"/>
    <col min="6" max="8" width="10.5703125" style="51" customWidth="1"/>
    <col min="9" max="9" width="21.28515625" style="51" customWidth="1"/>
    <col min="10" max="11" width="21.28515625" style="6" customWidth="1"/>
    <col min="12" max="18" width="14.5703125" style="7" customWidth="1"/>
    <col min="19" max="19" width="13.85546875" style="7" customWidth="1"/>
    <col min="20" max="20" width="14.5703125" style="7" customWidth="1"/>
    <col min="21" max="21" width="16.5703125" style="7" customWidth="1"/>
    <col min="22" max="26" width="14.5703125" style="7" customWidth="1"/>
    <col min="27" max="27" width="13.5703125" style="421" customWidth="1"/>
    <col min="28" max="28" width="14.5703125" style="7" customWidth="1"/>
    <col min="29" max="29" width="12.85546875" style="421" customWidth="1"/>
    <col min="30" max="30" width="17.5703125" style="7" customWidth="1"/>
    <col min="31" max="31" width="14.5703125" style="7" customWidth="1"/>
    <col min="32" max="32" width="15.7109375" style="7" customWidth="1"/>
    <col min="33" max="44" width="14.5703125" style="7" customWidth="1"/>
    <col min="45" max="45" width="14.5703125" style="529" customWidth="1"/>
    <col min="46" max="46" width="14.5703125" style="7" customWidth="1"/>
    <col min="47" max="139" width="7.140625" style="7"/>
    <col min="140" max="16384" width="7.140625" style="8"/>
  </cols>
  <sheetData>
    <row r="1" spans="1:46" s="18" customFormat="1" x14ac:dyDescent="0.25">
      <c r="A1" s="648"/>
      <c r="B1" s="648"/>
      <c r="C1" s="648"/>
      <c r="D1" s="648"/>
      <c r="E1" s="648"/>
      <c r="F1" s="648"/>
      <c r="G1" s="648"/>
      <c r="H1" s="648"/>
      <c r="I1" s="648"/>
      <c r="J1" s="648"/>
      <c r="K1" s="648"/>
      <c r="L1" s="639"/>
      <c r="M1" s="640"/>
      <c r="N1" s="640"/>
      <c r="O1" s="640"/>
      <c r="P1" s="640"/>
      <c r="Q1" s="640"/>
      <c r="R1" s="640"/>
      <c r="S1" s="640"/>
      <c r="T1" s="640"/>
      <c r="U1" s="640"/>
      <c r="V1" s="640"/>
      <c r="W1" s="640"/>
      <c r="X1" s="640"/>
      <c r="Y1" s="640"/>
      <c r="Z1" s="641"/>
      <c r="AA1" s="642" t="s">
        <v>1691</v>
      </c>
      <c r="AB1" s="643"/>
      <c r="AC1" s="643"/>
      <c r="AD1" s="644"/>
      <c r="AE1" s="645" t="s">
        <v>1692</v>
      </c>
      <c r="AF1" s="646"/>
      <c r="AG1" s="646"/>
      <c r="AH1" s="646"/>
      <c r="AI1" s="646"/>
      <c r="AJ1" s="646"/>
      <c r="AK1" s="646"/>
      <c r="AL1" s="646"/>
      <c r="AM1" s="646"/>
      <c r="AN1" s="646"/>
      <c r="AO1" s="646"/>
      <c r="AP1" s="646"/>
      <c r="AQ1" s="646"/>
      <c r="AR1" s="646"/>
      <c r="AS1" s="646"/>
      <c r="AT1" s="647"/>
    </row>
    <row r="2" spans="1:46" s="18" customFormat="1" ht="54" x14ac:dyDescent="0.25">
      <c r="A2" s="508" t="s">
        <v>14</v>
      </c>
      <c r="B2" s="508" t="s">
        <v>15</v>
      </c>
      <c r="C2" s="509" t="s">
        <v>18</v>
      </c>
      <c r="D2" s="509" t="s">
        <v>19</v>
      </c>
      <c r="E2" s="509" t="s">
        <v>20</v>
      </c>
      <c r="F2" s="509" t="s">
        <v>21</v>
      </c>
      <c r="G2" s="510" t="s">
        <v>22</v>
      </c>
      <c r="H2" s="509" t="s">
        <v>23</v>
      </c>
      <c r="I2" s="509" t="s">
        <v>24</v>
      </c>
      <c r="J2" s="512" t="s">
        <v>264</v>
      </c>
      <c r="K2" s="513" t="s">
        <v>265</v>
      </c>
      <c r="L2" s="514" t="s">
        <v>266</v>
      </c>
      <c r="M2" s="527" t="s">
        <v>775</v>
      </c>
      <c r="N2" s="514" t="s">
        <v>267</v>
      </c>
      <c r="O2" s="514" t="s">
        <v>268</v>
      </c>
      <c r="P2" s="514" t="s">
        <v>269</v>
      </c>
      <c r="Q2" s="515" t="s">
        <v>270</v>
      </c>
      <c r="R2" s="514" t="s">
        <v>271</v>
      </c>
      <c r="S2" s="514" t="s">
        <v>272</v>
      </c>
      <c r="T2" s="514" t="s">
        <v>273</v>
      </c>
      <c r="U2" s="514" t="s">
        <v>274</v>
      </c>
      <c r="V2" s="514" t="s">
        <v>275</v>
      </c>
      <c r="W2" s="514" t="s">
        <v>276</v>
      </c>
      <c r="X2" s="514" t="s">
        <v>277</v>
      </c>
      <c r="Y2" s="514" t="s">
        <v>278</v>
      </c>
      <c r="Z2" s="514" t="s">
        <v>279</v>
      </c>
      <c r="AA2" s="516" t="s">
        <v>1693</v>
      </c>
      <c r="AB2" s="517" t="s">
        <v>281</v>
      </c>
      <c r="AC2" s="518" t="s">
        <v>1694</v>
      </c>
      <c r="AD2" s="518" t="s">
        <v>1695</v>
      </c>
      <c r="AE2" s="519" t="s">
        <v>284</v>
      </c>
      <c r="AF2" s="520" t="s">
        <v>285</v>
      </c>
      <c r="AG2" s="519" t="s">
        <v>286</v>
      </c>
      <c r="AH2" s="520" t="s">
        <v>287</v>
      </c>
      <c r="AI2" s="519" t="s">
        <v>288</v>
      </c>
      <c r="AJ2" s="520" t="s">
        <v>289</v>
      </c>
      <c r="AK2" s="519" t="s">
        <v>290</v>
      </c>
      <c r="AL2" s="520" t="s">
        <v>291</v>
      </c>
      <c r="AM2" s="519" t="s">
        <v>292</v>
      </c>
      <c r="AN2" s="520" t="s">
        <v>293</v>
      </c>
      <c r="AO2" s="519" t="s">
        <v>294</v>
      </c>
      <c r="AP2" s="520" t="s">
        <v>295</v>
      </c>
      <c r="AQ2" s="520" t="s">
        <v>1696</v>
      </c>
      <c r="AR2" s="520" t="s">
        <v>297</v>
      </c>
      <c r="AS2" s="520" t="s">
        <v>298</v>
      </c>
      <c r="AT2" s="521" t="s">
        <v>299</v>
      </c>
    </row>
    <row r="3" spans="1:46" s="25" customFormat="1" x14ac:dyDescent="0.25">
      <c r="A3" s="490">
        <v>102</v>
      </c>
      <c r="B3" s="63" t="s">
        <v>42</v>
      </c>
      <c r="C3" s="490">
        <v>1147</v>
      </c>
      <c r="D3" s="63" t="s">
        <v>44</v>
      </c>
      <c r="E3" s="490">
        <v>2</v>
      </c>
      <c r="F3" s="559" t="s">
        <v>45</v>
      </c>
      <c r="G3" s="559">
        <v>30</v>
      </c>
      <c r="H3" s="559" t="s">
        <v>46</v>
      </c>
      <c r="I3" s="559" t="s">
        <v>47</v>
      </c>
      <c r="J3" s="659"/>
      <c r="K3" s="660"/>
      <c r="L3" s="237"/>
      <c r="N3" s="237"/>
      <c r="P3" s="237"/>
      <c r="Q3" s="405"/>
      <c r="R3" s="351"/>
      <c r="S3" s="351"/>
      <c r="T3" s="237"/>
      <c r="U3" s="237"/>
      <c r="V3" s="351"/>
      <c r="W3" s="351"/>
      <c r="X3" s="351"/>
      <c r="Y3" s="351"/>
      <c r="Z3" s="237"/>
      <c r="AA3" s="277"/>
      <c r="AB3" s="233"/>
      <c r="AC3" s="277"/>
      <c r="AD3" s="534"/>
      <c r="AE3" s="535"/>
      <c r="AF3" s="535"/>
      <c r="AG3" s="535"/>
      <c r="AH3" s="535"/>
      <c r="AI3" s="535"/>
      <c r="AJ3" s="535"/>
      <c r="AK3" s="535"/>
      <c r="AL3" s="535"/>
      <c r="AM3" s="535"/>
      <c r="AN3" s="535"/>
      <c r="AO3" s="535"/>
      <c r="AP3" s="535"/>
      <c r="AQ3" s="535">
        <f t="shared" ref="AQ3" si="0">SUM(AE3:AP3)</f>
        <v>0</v>
      </c>
      <c r="AR3" s="535">
        <f t="shared" ref="AR3" si="1">+AD3-AQ3</f>
        <v>0</v>
      </c>
      <c r="AS3" s="544"/>
      <c r="AT3" s="277">
        <f>COUNT(AE3:AP3)</f>
        <v>0</v>
      </c>
    </row>
    <row r="4" spans="1:46" s="25" customFormat="1" x14ac:dyDescent="0.25">
      <c r="A4" s="490">
        <v>102</v>
      </c>
      <c r="B4" s="63" t="s">
        <v>42</v>
      </c>
      <c r="C4" s="490">
        <v>1147</v>
      </c>
      <c r="D4" s="63" t="s">
        <v>44</v>
      </c>
      <c r="E4" s="490">
        <v>2</v>
      </c>
      <c r="F4" s="559"/>
      <c r="G4" s="559"/>
      <c r="H4" s="559"/>
      <c r="I4" s="559"/>
      <c r="J4" s="659"/>
      <c r="K4" s="660"/>
      <c r="L4" s="237"/>
      <c r="M4" s="237"/>
      <c r="N4" s="237"/>
      <c r="O4" s="237"/>
      <c r="P4" s="237"/>
      <c r="Q4" s="237"/>
      <c r="R4" s="237"/>
      <c r="S4" s="237"/>
      <c r="T4" s="237"/>
      <c r="U4" s="237"/>
      <c r="V4" s="237"/>
      <c r="W4" s="237"/>
      <c r="X4" s="237"/>
      <c r="Y4" s="237"/>
      <c r="Z4" s="237"/>
      <c r="AA4" s="277"/>
      <c r="AB4" s="233"/>
      <c r="AC4" s="277"/>
      <c r="AD4" s="391"/>
      <c r="AE4" s="535"/>
      <c r="AF4" s="535"/>
      <c r="AG4" s="535"/>
      <c r="AH4" s="535"/>
      <c r="AI4" s="535"/>
      <c r="AJ4" s="535"/>
      <c r="AK4" s="535"/>
      <c r="AL4" s="535"/>
      <c r="AM4" s="535"/>
      <c r="AN4" s="535"/>
      <c r="AO4" s="535"/>
      <c r="AP4" s="535"/>
      <c r="AQ4" s="535">
        <f t="shared" ref="AQ4:AQ67" si="2">SUM(AE4:AP4)</f>
        <v>0</v>
      </c>
      <c r="AR4" s="535">
        <f t="shared" ref="AR4:AR67" si="3">+AD4-AQ4</f>
        <v>0</v>
      </c>
      <c r="AS4" s="544"/>
      <c r="AT4" s="277">
        <f t="shared" ref="AT4:AT67" si="4">COUNT(AE4:AP4)</f>
        <v>0</v>
      </c>
    </row>
    <row r="5" spans="1:46" s="25" customFormat="1" x14ac:dyDescent="0.25">
      <c r="A5" s="490">
        <v>102</v>
      </c>
      <c r="B5" s="63" t="s">
        <v>42</v>
      </c>
      <c r="C5" s="490">
        <v>1147</v>
      </c>
      <c r="D5" s="63" t="s">
        <v>44</v>
      </c>
      <c r="E5" s="490">
        <v>2</v>
      </c>
      <c r="F5" s="559"/>
      <c r="G5" s="559"/>
      <c r="H5" s="559"/>
      <c r="I5" s="559"/>
      <c r="J5" s="659"/>
      <c r="K5" s="660"/>
      <c r="L5" s="237"/>
      <c r="M5" s="237"/>
      <c r="N5" s="237"/>
      <c r="O5" s="237"/>
      <c r="P5" s="237"/>
      <c r="Q5" s="237"/>
      <c r="R5" s="237"/>
      <c r="S5" s="237"/>
      <c r="T5" s="237"/>
      <c r="U5" s="237"/>
      <c r="V5" s="237"/>
      <c r="W5" s="237"/>
      <c r="X5" s="237"/>
      <c r="Y5" s="237"/>
      <c r="Z5" s="237"/>
      <c r="AA5" s="277"/>
      <c r="AB5" s="233"/>
      <c r="AC5" s="277"/>
      <c r="AD5" s="391"/>
      <c r="AE5" s="535"/>
      <c r="AF5" s="535"/>
      <c r="AG5" s="535"/>
      <c r="AH5" s="535"/>
      <c r="AI5" s="535"/>
      <c r="AJ5" s="535"/>
      <c r="AK5" s="535"/>
      <c r="AL5" s="535"/>
      <c r="AM5" s="535"/>
      <c r="AN5" s="535"/>
      <c r="AO5" s="535"/>
      <c r="AP5" s="535"/>
      <c r="AQ5" s="535">
        <f t="shared" si="2"/>
        <v>0</v>
      </c>
      <c r="AR5" s="535">
        <f t="shared" si="3"/>
        <v>0</v>
      </c>
      <c r="AS5" s="544"/>
      <c r="AT5" s="277">
        <f t="shared" si="4"/>
        <v>0</v>
      </c>
    </row>
    <row r="6" spans="1:46" s="25" customFormat="1" x14ac:dyDescent="0.25">
      <c r="A6" s="491">
        <v>103</v>
      </c>
      <c r="B6" s="65" t="s">
        <v>51</v>
      </c>
      <c r="C6" s="491">
        <v>1147</v>
      </c>
      <c r="D6" s="65" t="s">
        <v>44</v>
      </c>
      <c r="E6" s="491">
        <v>1</v>
      </c>
      <c r="F6" s="584" t="s">
        <v>53</v>
      </c>
      <c r="G6" s="584">
        <v>2000</v>
      </c>
      <c r="H6" s="584" t="s">
        <v>54</v>
      </c>
      <c r="I6" s="584" t="s">
        <v>55</v>
      </c>
      <c r="J6" s="619"/>
      <c r="K6" s="621"/>
      <c r="L6" s="237"/>
      <c r="M6" s="237"/>
      <c r="N6" s="237"/>
      <c r="O6" s="237"/>
      <c r="P6" s="237"/>
      <c r="Q6" s="237"/>
      <c r="R6" s="237"/>
      <c r="S6" s="237"/>
      <c r="T6" s="237"/>
      <c r="U6" s="237"/>
      <c r="V6" s="237"/>
      <c r="W6" s="237"/>
      <c r="X6" s="237"/>
      <c r="Y6" s="237"/>
      <c r="Z6" s="237"/>
      <c r="AA6" s="277"/>
      <c r="AB6" s="233"/>
      <c r="AC6" s="277"/>
      <c r="AD6" s="391"/>
      <c r="AE6" s="535"/>
      <c r="AF6" s="535"/>
      <c r="AG6" s="535"/>
      <c r="AH6" s="535"/>
      <c r="AI6" s="535"/>
      <c r="AJ6" s="535"/>
      <c r="AK6" s="535"/>
      <c r="AL6" s="535"/>
      <c r="AM6" s="535"/>
      <c r="AN6" s="535"/>
      <c r="AO6" s="535"/>
      <c r="AP6" s="535"/>
      <c r="AQ6" s="535">
        <f t="shared" si="2"/>
        <v>0</v>
      </c>
      <c r="AR6" s="535">
        <f t="shared" si="3"/>
        <v>0</v>
      </c>
      <c r="AS6" s="544"/>
      <c r="AT6" s="277">
        <f t="shared" si="4"/>
        <v>0</v>
      </c>
    </row>
    <row r="7" spans="1:46" s="25" customFormat="1" x14ac:dyDescent="0.25">
      <c r="A7" s="491">
        <v>103</v>
      </c>
      <c r="B7" s="65" t="s">
        <v>51</v>
      </c>
      <c r="C7" s="491">
        <v>1147</v>
      </c>
      <c r="D7" s="65" t="s">
        <v>44</v>
      </c>
      <c r="E7" s="491">
        <v>1</v>
      </c>
      <c r="F7" s="584"/>
      <c r="G7" s="584"/>
      <c r="H7" s="584"/>
      <c r="I7" s="584"/>
      <c r="J7" s="619"/>
      <c r="K7" s="621"/>
      <c r="L7" s="237"/>
      <c r="M7" s="237"/>
      <c r="N7" s="237"/>
      <c r="O7" s="237"/>
      <c r="P7" s="237"/>
      <c r="Q7" s="237"/>
      <c r="R7" s="237"/>
      <c r="S7" s="237"/>
      <c r="T7" s="237"/>
      <c r="U7" s="237"/>
      <c r="V7" s="237"/>
      <c r="W7" s="237"/>
      <c r="X7" s="237"/>
      <c r="Y7" s="237"/>
      <c r="Z7" s="237"/>
      <c r="AA7" s="277"/>
      <c r="AB7" s="233"/>
      <c r="AC7" s="277"/>
      <c r="AD7" s="391"/>
      <c r="AE7" s="535"/>
      <c r="AF7" s="535"/>
      <c r="AG7" s="535"/>
      <c r="AH7" s="535"/>
      <c r="AI7" s="535"/>
      <c r="AJ7" s="535"/>
      <c r="AK7" s="535"/>
      <c r="AL7" s="535"/>
      <c r="AM7" s="535"/>
      <c r="AN7" s="535"/>
      <c r="AO7" s="535"/>
      <c r="AP7" s="535"/>
      <c r="AQ7" s="535">
        <f t="shared" si="2"/>
        <v>0</v>
      </c>
      <c r="AR7" s="535">
        <f t="shared" si="3"/>
        <v>0</v>
      </c>
      <c r="AS7" s="544"/>
      <c r="AT7" s="277">
        <f t="shared" si="4"/>
        <v>0</v>
      </c>
    </row>
    <row r="8" spans="1:46" s="25" customFormat="1" x14ac:dyDescent="0.25">
      <c r="A8" s="491">
        <v>103</v>
      </c>
      <c r="B8" s="65" t="s">
        <v>51</v>
      </c>
      <c r="C8" s="491">
        <v>1147</v>
      </c>
      <c r="D8" s="65" t="s">
        <v>44</v>
      </c>
      <c r="E8" s="491">
        <v>1</v>
      </c>
      <c r="F8" s="584"/>
      <c r="G8" s="584"/>
      <c r="H8" s="584"/>
      <c r="I8" s="584"/>
      <c r="J8" s="619"/>
      <c r="K8" s="621"/>
      <c r="L8" s="237"/>
      <c r="M8" s="237"/>
      <c r="N8" s="237"/>
      <c r="O8" s="237"/>
      <c r="P8" s="237"/>
      <c r="Q8" s="237"/>
      <c r="R8" s="237"/>
      <c r="S8" s="237"/>
      <c r="T8" s="237"/>
      <c r="U8" s="237"/>
      <c r="V8" s="237"/>
      <c r="W8" s="237"/>
      <c r="X8" s="237"/>
      <c r="Y8" s="237"/>
      <c r="Z8" s="237"/>
      <c r="AA8" s="392"/>
      <c r="AB8" s="233"/>
      <c r="AC8" s="392"/>
      <c r="AD8" s="391"/>
      <c r="AE8" s="535"/>
      <c r="AF8" s="535"/>
      <c r="AG8" s="535"/>
      <c r="AH8" s="535"/>
      <c r="AI8" s="535"/>
      <c r="AJ8" s="535"/>
      <c r="AK8" s="535"/>
      <c r="AL8" s="535"/>
      <c r="AM8" s="535"/>
      <c r="AN8" s="535"/>
      <c r="AO8" s="535"/>
      <c r="AP8" s="535"/>
      <c r="AQ8" s="535">
        <f t="shared" si="2"/>
        <v>0</v>
      </c>
      <c r="AR8" s="535">
        <f t="shared" si="3"/>
        <v>0</v>
      </c>
      <c r="AS8" s="544"/>
      <c r="AT8" s="277">
        <f t="shared" si="4"/>
        <v>0</v>
      </c>
    </row>
    <row r="9" spans="1:46" s="33" customFormat="1" x14ac:dyDescent="0.25">
      <c r="A9" s="493">
        <v>104</v>
      </c>
      <c r="B9" s="67" t="s">
        <v>58</v>
      </c>
      <c r="C9" s="493">
        <v>1149</v>
      </c>
      <c r="D9" s="67" t="s">
        <v>60</v>
      </c>
      <c r="E9" s="493">
        <v>1</v>
      </c>
      <c r="F9" s="569" t="s">
        <v>53</v>
      </c>
      <c r="G9" s="569">
        <v>12000</v>
      </c>
      <c r="H9" s="569" t="s">
        <v>61</v>
      </c>
      <c r="I9" s="569" t="s">
        <v>62</v>
      </c>
      <c r="J9" s="668"/>
      <c r="K9" s="669"/>
      <c r="L9" s="408" t="s">
        <v>1896</v>
      </c>
      <c r="M9" s="164" t="s">
        <v>1119</v>
      </c>
      <c r="N9" s="164" t="s">
        <v>63</v>
      </c>
      <c r="O9" s="237" t="s">
        <v>793</v>
      </c>
      <c r="P9" s="398" t="s">
        <v>1744</v>
      </c>
      <c r="Q9" s="467">
        <v>42734</v>
      </c>
      <c r="R9" s="432"/>
      <c r="S9" s="237" t="s">
        <v>867</v>
      </c>
      <c r="T9" s="398" t="s">
        <v>1749</v>
      </c>
      <c r="U9" s="237" t="s">
        <v>1287</v>
      </c>
      <c r="V9" s="398" t="s">
        <v>1746</v>
      </c>
      <c r="W9" s="237" t="s">
        <v>1747</v>
      </c>
      <c r="X9" s="259">
        <v>4990</v>
      </c>
      <c r="Y9" s="237" t="s">
        <v>870</v>
      </c>
      <c r="Z9" s="237"/>
      <c r="AA9" s="396">
        <v>488</v>
      </c>
      <c r="AB9" s="407">
        <v>42730</v>
      </c>
      <c r="AC9" s="396">
        <v>737</v>
      </c>
      <c r="AD9" s="534">
        <v>222923260</v>
      </c>
      <c r="AE9" s="535"/>
      <c r="AF9" s="535"/>
      <c r="AG9" s="535"/>
      <c r="AH9" s="535"/>
      <c r="AI9" s="535"/>
      <c r="AJ9" s="535"/>
      <c r="AK9" s="535"/>
      <c r="AL9" s="535"/>
      <c r="AM9" s="535"/>
      <c r="AN9" s="535"/>
      <c r="AO9" s="535"/>
      <c r="AP9" s="535"/>
      <c r="AQ9" s="535">
        <f t="shared" si="2"/>
        <v>0</v>
      </c>
      <c r="AR9" s="535">
        <f t="shared" si="3"/>
        <v>222923260</v>
      </c>
      <c r="AS9" s="544">
        <f t="shared" ref="AS9:AS65" si="5">+AQ9/AD9</f>
        <v>0</v>
      </c>
      <c r="AT9" s="277">
        <f t="shared" si="4"/>
        <v>0</v>
      </c>
    </row>
    <row r="10" spans="1:46" s="33" customFormat="1" x14ac:dyDescent="0.25">
      <c r="A10" s="493">
        <v>104</v>
      </c>
      <c r="B10" s="67" t="s">
        <v>58</v>
      </c>
      <c r="C10" s="493">
        <v>1149</v>
      </c>
      <c r="D10" s="67" t="s">
        <v>60</v>
      </c>
      <c r="E10" s="493">
        <v>1</v>
      </c>
      <c r="F10" s="570"/>
      <c r="G10" s="570"/>
      <c r="H10" s="570"/>
      <c r="I10" s="570"/>
      <c r="J10" s="617"/>
      <c r="K10" s="618"/>
      <c r="L10" s="408"/>
      <c r="M10" s="237"/>
      <c r="N10" s="237"/>
      <c r="O10" s="237"/>
      <c r="P10" s="398"/>
      <c r="Q10" s="405"/>
      <c r="R10" s="402"/>
      <c r="S10" s="237"/>
      <c r="T10" s="398"/>
      <c r="U10" s="237"/>
      <c r="V10" s="398"/>
      <c r="W10" s="237"/>
      <c r="X10" s="399"/>
      <c r="Y10" s="237"/>
      <c r="Z10" s="237"/>
      <c r="AA10" s="396"/>
      <c r="AB10" s="407"/>
      <c r="AC10" s="396"/>
      <c r="AD10" s="534"/>
      <c r="AE10" s="535"/>
      <c r="AF10" s="535"/>
      <c r="AG10" s="535"/>
      <c r="AH10" s="535"/>
      <c r="AI10" s="535"/>
      <c r="AJ10" s="535"/>
      <c r="AK10" s="535"/>
      <c r="AL10" s="535"/>
      <c r="AM10" s="534"/>
      <c r="AN10" s="534"/>
      <c r="AO10" s="535"/>
      <c r="AP10" s="535"/>
      <c r="AQ10" s="535">
        <f t="shared" si="2"/>
        <v>0</v>
      </c>
      <c r="AR10" s="535">
        <f t="shared" si="3"/>
        <v>0</v>
      </c>
      <c r="AS10" s="544"/>
      <c r="AT10" s="277">
        <f t="shared" si="4"/>
        <v>0</v>
      </c>
    </row>
    <row r="11" spans="1:46" s="33" customFormat="1" x14ac:dyDescent="0.25">
      <c r="A11" s="493">
        <v>104</v>
      </c>
      <c r="B11" s="67" t="s">
        <v>58</v>
      </c>
      <c r="C11" s="493">
        <v>1149</v>
      </c>
      <c r="D11" s="67" t="s">
        <v>60</v>
      </c>
      <c r="E11" s="493">
        <v>1</v>
      </c>
      <c r="F11" s="570"/>
      <c r="G11" s="570"/>
      <c r="H11" s="570"/>
      <c r="I11" s="570"/>
      <c r="J11" s="617"/>
      <c r="K11" s="618"/>
      <c r="L11" s="408"/>
      <c r="M11" s="237"/>
      <c r="N11" s="237"/>
      <c r="O11" s="237"/>
      <c r="P11" s="398"/>
      <c r="Q11" s="405"/>
      <c r="R11" s="402"/>
      <c r="S11" s="237"/>
      <c r="T11" s="398"/>
      <c r="U11" s="237"/>
      <c r="V11" s="398"/>
      <c r="W11" s="237"/>
      <c r="X11" s="399"/>
      <c r="Y11" s="237"/>
      <c r="Z11" s="237"/>
      <c r="AA11" s="396"/>
      <c r="AB11" s="407"/>
      <c r="AC11" s="396"/>
      <c r="AD11" s="534"/>
      <c r="AE11" s="535"/>
      <c r="AF11" s="535"/>
      <c r="AG11" s="535"/>
      <c r="AH11" s="535"/>
      <c r="AI11" s="535"/>
      <c r="AJ11" s="535"/>
      <c r="AK11" s="535"/>
      <c r="AL11" s="535"/>
      <c r="AM11" s="535"/>
      <c r="AN11" s="535"/>
      <c r="AO11" s="535"/>
      <c r="AP11" s="535"/>
      <c r="AQ11" s="535">
        <f t="shared" si="2"/>
        <v>0</v>
      </c>
      <c r="AR11" s="535">
        <f t="shared" si="3"/>
        <v>0</v>
      </c>
      <c r="AS11" s="544"/>
      <c r="AT11" s="277">
        <f t="shared" si="4"/>
        <v>0</v>
      </c>
    </row>
    <row r="12" spans="1:46" s="25" customFormat="1" x14ac:dyDescent="0.25">
      <c r="A12" s="490">
        <v>105</v>
      </c>
      <c r="B12" s="63" t="s">
        <v>65</v>
      </c>
      <c r="C12" s="490">
        <v>1149</v>
      </c>
      <c r="D12" s="63" t="s">
        <v>60</v>
      </c>
      <c r="E12" s="490">
        <v>2</v>
      </c>
      <c r="F12" s="559" t="s">
        <v>53</v>
      </c>
      <c r="G12" s="559">
        <v>1200</v>
      </c>
      <c r="H12" s="559" t="s">
        <v>61</v>
      </c>
      <c r="I12" s="559" t="s">
        <v>66</v>
      </c>
      <c r="J12" s="659"/>
      <c r="K12" s="660"/>
      <c r="L12" s="164" t="s">
        <v>804</v>
      </c>
      <c r="M12" s="164" t="s">
        <v>1119</v>
      </c>
      <c r="N12" s="164" t="s">
        <v>63</v>
      </c>
      <c r="O12" s="166" t="s">
        <v>801</v>
      </c>
      <c r="P12" s="164" t="s">
        <v>320</v>
      </c>
      <c r="Q12" s="180">
        <v>41880</v>
      </c>
      <c r="R12" s="402">
        <v>41883</v>
      </c>
      <c r="S12" s="237" t="s">
        <v>802</v>
      </c>
      <c r="T12" s="398" t="s">
        <v>1707</v>
      </c>
      <c r="U12" s="237" t="s">
        <v>1287</v>
      </c>
      <c r="V12" s="398" t="s">
        <v>1708</v>
      </c>
      <c r="W12" s="237" t="s">
        <v>803</v>
      </c>
      <c r="X12" s="237" t="s">
        <v>90</v>
      </c>
      <c r="Y12" s="237" t="s">
        <v>884</v>
      </c>
      <c r="Z12" s="237"/>
      <c r="AA12" s="396">
        <v>313</v>
      </c>
      <c r="AB12" s="456">
        <v>42517</v>
      </c>
      <c r="AC12" s="396">
        <v>413</v>
      </c>
      <c r="AD12" s="534">
        <v>6000000</v>
      </c>
      <c r="AE12" s="535"/>
      <c r="AF12" s="535"/>
      <c r="AG12" s="535"/>
      <c r="AH12" s="535"/>
      <c r="AI12" s="535"/>
      <c r="AJ12" s="535"/>
      <c r="AK12" s="535"/>
      <c r="AL12" s="535"/>
      <c r="AM12" s="535"/>
      <c r="AN12" s="535"/>
      <c r="AO12" s="535">
        <v>2250000</v>
      </c>
      <c r="AP12" s="535"/>
      <c r="AQ12" s="535">
        <f t="shared" si="2"/>
        <v>2250000</v>
      </c>
      <c r="AR12" s="535">
        <f t="shared" si="3"/>
        <v>3750000</v>
      </c>
      <c r="AS12" s="544">
        <f t="shared" si="5"/>
        <v>0.375</v>
      </c>
      <c r="AT12" s="277">
        <f t="shared" si="4"/>
        <v>1</v>
      </c>
    </row>
    <row r="13" spans="1:46" s="25" customFormat="1" x14ac:dyDescent="0.25">
      <c r="A13" s="490">
        <v>105</v>
      </c>
      <c r="B13" s="63" t="s">
        <v>65</v>
      </c>
      <c r="C13" s="490">
        <v>1149</v>
      </c>
      <c r="D13" s="63" t="s">
        <v>60</v>
      </c>
      <c r="E13" s="490">
        <v>2</v>
      </c>
      <c r="F13" s="559"/>
      <c r="G13" s="559"/>
      <c r="H13" s="559"/>
      <c r="I13" s="559"/>
      <c r="J13" s="659"/>
      <c r="K13" s="660"/>
      <c r="L13" s="408" t="s">
        <v>1896</v>
      </c>
      <c r="M13" s="237" t="s">
        <v>1119</v>
      </c>
      <c r="N13" s="237" t="s">
        <v>63</v>
      </c>
      <c r="O13" s="237" t="s">
        <v>793</v>
      </c>
      <c r="P13" s="398" t="s">
        <v>1744</v>
      </c>
      <c r="Q13" s="405">
        <v>42734</v>
      </c>
      <c r="R13" s="402"/>
      <c r="S13" s="237" t="s">
        <v>867</v>
      </c>
      <c r="T13" s="398" t="s">
        <v>1749</v>
      </c>
      <c r="U13" s="237" t="s">
        <v>1287</v>
      </c>
      <c r="V13" s="398" t="s">
        <v>1746</v>
      </c>
      <c r="W13" s="237" t="s">
        <v>1747</v>
      </c>
      <c r="X13" s="237">
        <v>4990</v>
      </c>
      <c r="Y13" s="237" t="s">
        <v>870</v>
      </c>
      <c r="Z13" s="237"/>
      <c r="AA13" s="396">
        <v>488</v>
      </c>
      <c r="AB13" s="407">
        <v>42730</v>
      </c>
      <c r="AC13" s="396">
        <v>737</v>
      </c>
      <c r="AD13" s="534">
        <v>107750000</v>
      </c>
      <c r="AE13" s="535"/>
      <c r="AF13" s="535"/>
      <c r="AG13" s="535"/>
      <c r="AH13" s="535"/>
      <c r="AI13" s="535"/>
      <c r="AJ13" s="535"/>
      <c r="AK13" s="535"/>
      <c r="AL13" s="535"/>
      <c r="AM13" s="535"/>
      <c r="AN13" s="535"/>
      <c r="AO13" s="535"/>
      <c r="AP13" s="535"/>
      <c r="AQ13" s="535">
        <f t="shared" si="2"/>
        <v>0</v>
      </c>
      <c r="AR13" s="535">
        <f t="shared" si="3"/>
        <v>107750000</v>
      </c>
      <c r="AS13" s="544">
        <f t="shared" si="5"/>
        <v>0</v>
      </c>
      <c r="AT13" s="277">
        <f t="shared" si="4"/>
        <v>0</v>
      </c>
    </row>
    <row r="14" spans="1:46" s="25" customFormat="1" x14ac:dyDescent="0.25">
      <c r="A14" s="490">
        <v>105</v>
      </c>
      <c r="B14" s="63" t="s">
        <v>65</v>
      </c>
      <c r="C14" s="490">
        <v>1149</v>
      </c>
      <c r="D14" s="63" t="s">
        <v>60</v>
      </c>
      <c r="E14" s="490">
        <v>2</v>
      </c>
      <c r="F14" s="559"/>
      <c r="G14" s="559"/>
      <c r="H14" s="559"/>
      <c r="I14" s="559"/>
      <c r="J14" s="659"/>
      <c r="K14" s="660"/>
      <c r="L14" s="408"/>
      <c r="M14" s="237"/>
      <c r="N14" s="237"/>
      <c r="O14" s="237"/>
      <c r="P14" s="398"/>
      <c r="Q14" s="405"/>
      <c r="R14" s="402"/>
      <c r="S14" s="237"/>
      <c r="T14" s="398"/>
      <c r="U14" s="237"/>
      <c r="V14" s="398"/>
      <c r="W14" s="237"/>
      <c r="X14" s="237"/>
      <c r="Y14" s="237"/>
      <c r="Z14" s="237"/>
      <c r="AA14" s="396"/>
      <c r="AB14" s="407"/>
      <c r="AC14" s="396"/>
      <c r="AD14" s="534"/>
      <c r="AE14" s="535"/>
      <c r="AF14" s="535"/>
      <c r="AG14" s="535"/>
      <c r="AH14" s="535"/>
      <c r="AI14" s="535"/>
      <c r="AJ14" s="535"/>
      <c r="AK14" s="535"/>
      <c r="AL14" s="535"/>
      <c r="AM14" s="535"/>
      <c r="AN14" s="535"/>
      <c r="AO14" s="535"/>
      <c r="AP14" s="535"/>
      <c r="AQ14" s="535">
        <f t="shared" si="2"/>
        <v>0</v>
      </c>
      <c r="AR14" s="535">
        <f t="shared" si="3"/>
        <v>0</v>
      </c>
      <c r="AS14" s="544"/>
      <c r="AT14" s="277">
        <f t="shared" si="4"/>
        <v>0</v>
      </c>
    </row>
    <row r="15" spans="1:46" s="25" customFormat="1" x14ac:dyDescent="0.25">
      <c r="A15" s="490">
        <v>106</v>
      </c>
      <c r="B15" s="63" t="s">
        <v>67</v>
      </c>
      <c r="C15" s="490">
        <v>1149</v>
      </c>
      <c r="D15" s="63" t="s">
        <v>60</v>
      </c>
      <c r="E15" s="490">
        <v>3</v>
      </c>
      <c r="F15" s="559" t="s">
        <v>53</v>
      </c>
      <c r="G15" s="559">
        <v>320</v>
      </c>
      <c r="H15" s="559" t="s">
        <v>61</v>
      </c>
      <c r="I15" s="559" t="s">
        <v>69</v>
      </c>
      <c r="J15" s="659"/>
      <c r="K15" s="660"/>
      <c r="L15" s="398" t="s">
        <v>1748</v>
      </c>
      <c r="M15" s="164" t="s">
        <v>1119</v>
      </c>
      <c r="N15" s="164" t="s">
        <v>63</v>
      </c>
      <c r="O15" s="237" t="s">
        <v>793</v>
      </c>
      <c r="P15" s="398" t="s">
        <v>1744</v>
      </c>
      <c r="Q15" s="467">
        <v>42734</v>
      </c>
      <c r="R15" s="432"/>
      <c r="S15" s="237" t="s">
        <v>867</v>
      </c>
      <c r="T15" s="398" t="s">
        <v>1745</v>
      </c>
      <c r="U15" s="237" t="s">
        <v>1287</v>
      </c>
      <c r="V15" s="398" t="s">
        <v>1746</v>
      </c>
      <c r="W15" s="237" t="s">
        <v>1747</v>
      </c>
      <c r="X15" s="259">
        <v>80</v>
      </c>
      <c r="Y15" s="237" t="s">
        <v>1669</v>
      </c>
      <c r="Z15" s="237"/>
      <c r="AA15" s="396">
        <v>364</v>
      </c>
      <c r="AB15" s="233">
        <v>42654</v>
      </c>
      <c r="AC15" s="396">
        <v>736</v>
      </c>
      <c r="AD15" s="534">
        <v>184000000</v>
      </c>
      <c r="AE15" s="535"/>
      <c r="AF15" s="535"/>
      <c r="AG15" s="535"/>
      <c r="AH15" s="535"/>
      <c r="AI15" s="535"/>
      <c r="AJ15" s="535"/>
      <c r="AK15" s="535"/>
      <c r="AL15" s="535"/>
      <c r="AM15" s="535"/>
      <c r="AN15" s="535"/>
      <c r="AO15" s="535"/>
      <c r="AP15" s="535"/>
      <c r="AQ15" s="535">
        <f t="shared" si="2"/>
        <v>0</v>
      </c>
      <c r="AR15" s="535">
        <f t="shared" si="3"/>
        <v>184000000</v>
      </c>
      <c r="AS15" s="544">
        <f t="shared" si="5"/>
        <v>0</v>
      </c>
      <c r="AT15" s="277">
        <f t="shared" si="4"/>
        <v>0</v>
      </c>
    </row>
    <row r="16" spans="1:46" s="25" customFormat="1" x14ac:dyDescent="0.25">
      <c r="A16" s="490">
        <v>106</v>
      </c>
      <c r="B16" s="63" t="s">
        <v>67</v>
      </c>
      <c r="C16" s="490">
        <v>1149</v>
      </c>
      <c r="D16" s="63" t="s">
        <v>60</v>
      </c>
      <c r="E16" s="490">
        <v>3</v>
      </c>
      <c r="F16" s="559"/>
      <c r="G16" s="559"/>
      <c r="H16" s="559"/>
      <c r="I16" s="559"/>
      <c r="J16" s="659"/>
      <c r="K16" s="660"/>
      <c r="L16" s="398"/>
      <c r="M16" s="237"/>
      <c r="N16" s="237"/>
      <c r="O16" s="237"/>
      <c r="P16" s="398"/>
      <c r="Q16" s="405"/>
      <c r="R16" s="402"/>
      <c r="S16" s="237"/>
      <c r="T16" s="398"/>
      <c r="U16" s="237"/>
      <c r="V16" s="398"/>
      <c r="W16" s="237"/>
      <c r="X16" s="237"/>
      <c r="Y16" s="237"/>
      <c r="Z16" s="237"/>
      <c r="AA16" s="396"/>
      <c r="AB16" s="407"/>
      <c r="AC16" s="396"/>
      <c r="AD16" s="534"/>
      <c r="AE16" s="535"/>
      <c r="AF16" s="535"/>
      <c r="AG16" s="535"/>
      <c r="AH16" s="535"/>
      <c r="AI16" s="535"/>
      <c r="AJ16" s="535"/>
      <c r="AK16" s="535"/>
      <c r="AL16" s="535"/>
      <c r="AM16" s="535"/>
      <c r="AN16" s="535"/>
      <c r="AO16" s="535"/>
      <c r="AP16" s="535"/>
      <c r="AQ16" s="535">
        <f t="shared" si="2"/>
        <v>0</v>
      </c>
      <c r="AR16" s="535">
        <f t="shared" si="3"/>
        <v>0</v>
      </c>
      <c r="AS16" s="544"/>
      <c r="AT16" s="277">
        <f t="shared" si="4"/>
        <v>0</v>
      </c>
    </row>
    <row r="17" spans="1:46" s="25" customFormat="1" x14ac:dyDescent="0.25">
      <c r="A17" s="490">
        <v>106</v>
      </c>
      <c r="B17" s="63" t="s">
        <v>67</v>
      </c>
      <c r="C17" s="490">
        <v>1149</v>
      </c>
      <c r="D17" s="63" t="s">
        <v>60</v>
      </c>
      <c r="E17" s="490">
        <v>3</v>
      </c>
      <c r="F17" s="559"/>
      <c r="G17" s="559"/>
      <c r="H17" s="559"/>
      <c r="I17" s="559"/>
      <c r="J17" s="659"/>
      <c r="K17" s="660"/>
      <c r="L17" s="237"/>
      <c r="M17" s="237"/>
      <c r="N17" s="237"/>
      <c r="O17" s="237"/>
      <c r="P17" s="237"/>
      <c r="Q17" s="237"/>
      <c r="R17" s="237"/>
      <c r="S17" s="237"/>
      <c r="T17" s="237"/>
      <c r="U17" s="237"/>
      <c r="V17" s="237"/>
      <c r="W17" s="237"/>
      <c r="X17" s="237"/>
      <c r="Y17" s="237"/>
      <c r="Z17" s="237"/>
      <c r="AA17" s="392"/>
      <c r="AB17" s="233"/>
      <c r="AC17" s="392"/>
      <c r="AD17" s="391"/>
      <c r="AE17" s="535"/>
      <c r="AF17" s="535"/>
      <c r="AG17" s="535"/>
      <c r="AH17" s="535"/>
      <c r="AI17" s="535"/>
      <c r="AJ17" s="535"/>
      <c r="AK17" s="535"/>
      <c r="AL17" s="535"/>
      <c r="AM17" s="535"/>
      <c r="AN17" s="535"/>
      <c r="AO17" s="535"/>
      <c r="AP17" s="535"/>
      <c r="AQ17" s="535">
        <f t="shared" si="2"/>
        <v>0</v>
      </c>
      <c r="AR17" s="535">
        <f t="shared" si="3"/>
        <v>0</v>
      </c>
      <c r="AS17" s="544"/>
      <c r="AT17" s="277">
        <f t="shared" si="4"/>
        <v>0</v>
      </c>
    </row>
    <row r="18" spans="1:46" s="25" customFormat="1" x14ac:dyDescent="0.25">
      <c r="A18" s="490">
        <v>107</v>
      </c>
      <c r="B18" s="63" t="s">
        <v>71</v>
      </c>
      <c r="C18" s="490">
        <v>1150</v>
      </c>
      <c r="D18" s="63" t="s">
        <v>73</v>
      </c>
      <c r="E18" s="490">
        <v>1</v>
      </c>
      <c r="F18" s="584" t="s">
        <v>53</v>
      </c>
      <c r="G18" s="584">
        <v>400</v>
      </c>
      <c r="H18" s="584" t="s">
        <v>74</v>
      </c>
      <c r="I18" s="584" t="s">
        <v>75</v>
      </c>
      <c r="J18" s="619"/>
      <c r="K18" s="621"/>
      <c r="L18" s="398" t="s">
        <v>1750</v>
      </c>
      <c r="M18" s="351" t="s">
        <v>1611</v>
      </c>
      <c r="N18" s="237" t="s">
        <v>1718</v>
      </c>
      <c r="O18" s="192" t="s">
        <v>1751</v>
      </c>
      <c r="P18" s="398" t="s">
        <v>1719</v>
      </c>
      <c r="Q18" s="432">
        <v>42713</v>
      </c>
      <c r="R18" s="401">
        <v>42723</v>
      </c>
      <c r="S18" s="192" t="s">
        <v>783</v>
      </c>
      <c r="T18" s="398" t="s">
        <v>1752</v>
      </c>
      <c r="U18" s="192" t="s">
        <v>1287</v>
      </c>
      <c r="V18" s="398" t="s">
        <v>1753</v>
      </c>
      <c r="W18" s="433" t="s">
        <v>1754</v>
      </c>
      <c r="X18" s="451">
        <v>100</v>
      </c>
      <c r="Y18" s="192" t="s">
        <v>884</v>
      </c>
      <c r="Z18" s="237" t="s">
        <v>1755</v>
      </c>
      <c r="AA18" s="396">
        <v>375</v>
      </c>
      <c r="AB18" s="456">
        <v>42667</v>
      </c>
      <c r="AC18" s="396">
        <v>622</v>
      </c>
      <c r="AD18" s="534">
        <v>172454389</v>
      </c>
      <c r="AE18" s="535"/>
      <c r="AF18" s="535"/>
      <c r="AG18" s="535"/>
      <c r="AH18" s="535"/>
      <c r="AI18" s="535"/>
      <c r="AJ18" s="535"/>
      <c r="AK18" s="535"/>
      <c r="AL18" s="535"/>
      <c r="AM18" s="535"/>
      <c r="AN18" s="535"/>
      <c r="AO18" s="535"/>
      <c r="AP18" s="535"/>
      <c r="AQ18" s="535">
        <f t="shared" si="2"/>
        <v>0</v>
      </c>
      <c r="AR18" s="535">
        <f t="shared" si="3"/>
        <v>172454389</v>
      </c>
      <c r="AS18" s="544">
        <f t="shared" si="5"/>
        <v>0</v>
      </c>
      <c r="AT18" s="277">
        <f t="shared" si="4"/>
        <v>0</v>
      </c>
    </row>
    <row r="19" spans="1:46" s="25" customFormat="1" x14ac:dyDescent="0.25">
      <c r="A19" s="490">
        <v>107</v>
      </c>
      <c r="B19" s="63" t="s">
        <v>71</v>
      </c>
      <c r="C19" s="490">
        <v>1150</v>
      </c>
      <c r="D19" s="63" t="s">
        <v>73</v>
      </c>
      <c r="E19" s="490">
        <v>1</v>
      </c>
      <c r="F19" s="585"/>
      <c r="G19" s="585"/>
      <c r="H19" s="585"/>
      <c r="I19" s="585"/>
      <c r="J19" s="620"/>
      <c r="K19" s="622"/>
      <c r="L19" s="237"/>
      <c r="M19" s="237"/>
      <c r="N19" s="237"/>
      <c r="O19" s="237"/>
      <c r="P19" s="237"/>
      <c r="Q19" s="237"/>
      <c r="R19" s="237"/>
      <c r="S19" s="237"/>
      <c r="T19" s="237"/>
      <c r="U19" s="237"/>
      <c r="V19" s="237"/>
      <c r="W19" s="237"/>
      <c r="X19" s="237"/>
      <c r="Y19" s="237"/>
      <c r="Z19" s="237"/>
      <c r="AA19" s="392"/>
      <c r="AB19" s="233"/>
      <c r="AC19" s="392"/>
      <c r="AD19" s="391"/>
      <c r="AE19" s="535"/>
      <c r="AF19" s="535"/>
      <c r="AG19" s="535"/>
      <c r="AH19" s="535"/>
      <c r="AI19" s="535"/>
      <c r="AJ19" s="535"/>
      <c r="AK19" s="535"/>
      <c r="AL19" s="535"/>
      <c r="AM19" s="535"/>
      <c r="AN19" s="535"/>
      <c r="AO19" s="535"/>
      <c r="AP19" s="535"/>
      <c r="AQ19" s="535">
        <f t="shared" si="2"/>
        <v>0</v>
      </c>
      <c r="AR19" s="535">
        <f t="shared" si="3"/>
        <v>0</v>
      </c>
      <c r="AS19" s="544"/>
      <c r="AT19" s="277">
        <f t="shared" si="4"/>
        <v>0</v>
      </c>
    </row>
    <row r="20" spans="1:46" s="25" customFormat="1" x14ac:dyDescent="0.25">
      <c r="A20" s="490">
        <v>107</v>
      </c>
      <c r="B20" s="63" t="s">
        <v>71</v>
      </c>
      <c r="C20" s="490">
        <v>1150</v>
      </c>
      <c r="D20" s="63" t="s">
        <v>73</v>
      </c>
      <c r="E20" s="490">
        <v>1</v>
      </c>
      <c r="F20" s="585"/>
      <c r="G20" s="585"/>
      <c r="H20" s="585"/>
      <c r="I20" s="585"/>
      <c r="J20" s="620"/>
      <c r="K20" s="622"/>
      <c r="L20" s="237"/>
      <c r="M20" s="237"/>
      <c r="N20" s="237"/>
      <c r="O20" s="237"/>
      <c r="P20" s="237"/>
      <c r="Q20" s="237"/>
      <c r="R20" s="237"/>
      <c r="S20" s="237"/>
      <c r="T20" s="237"/>
      <c r="U20" s="237"/>
      <c r="V20" s="237"/>
      <c r="W20" s="237"/>
      <c r="X20" s="237"/>
      <c r="Y20" s="237"/>
      <c r="Z20" s="237"/>
      <c r="AA20" s="392"/>
      <c r="AB20" s="233"/>
      <c r="AC20" s="392"/>
      <c r="AD20" s="391"/>
      <c r="AE20" s="535"/>
      <c r="AF20" s="535"/>
      <c r="AG20" s="535"/>
      <c r="AH20" s="535"/>
      <c r="AI20" s="535"/>
      <c r="AJ20" s="535"/>
      <c r="AK20" s="535"/>
      <c r="AL20" s="535"/>
      <c r="AM20" s="535"/>
      <c r="AN20" s="535"/>
      <c r="AO20" s="535"/>
      <c r="AP20" s="535"/>
      <c r="AQ20" s="535">
        <f t="shared" si="2"/>
        <v>0</v>
      </c>
      <c r="AR20" s="535">
        <f t="shared" si="3"/>
        <v>0</v>
      </c>
      <c r="AS20" s="544"/>
      <c r="AT20" s="277">
        <f t="shared" si="4"/>
        <v>0</v>
      </c>
    </row>
    <row r="21" spans="1:46" s="25" customFormat="1" x14ac:dyDescent="0.25">
      <c r="A21" s="491">
        <v>108</v>
      </c>
      <c r="B21" s="65" t="s">
        <v>78</v>
      </c>
      <c r="C21" s="491">
        <v>1150</v>
      </c>
      <c r="D21" s="65" t="s">
        <v>73</v>
      </c>
      <c r="E21" s="491">
        <v>2</v>
      </c>
      <c r="F21" s="559" t="s">
        <v>80</v>
      </c>
      <c r="G21" s="559">
        <v>1000</v>
      </c>
      <c r="H21" s="559" t="s">
        <v>81</v>
      </c>
      <c r="I21" s="559" t="s">
        <v>82</v>
      </c>
      <c r="J21" s="659"/>
      <c r="K21" s="621"/>
      <c r="L21" s="398"/>
      <c r="M21" s="237"/>
      <c r="N21" s="237"/>
      <c r="O21" s="237"/>
      <c r="P21" s="398"/>
      <c r="Q21" s="402"/>
      <c r="R21" s="405"/>
      <c r="S21" s="351"/>
      <c r="T21" s="398"/>
      <c r="U21" s="237"/>
      <c r="V21" s="398"/>
      <c r="W21" s="237"/>
      <c r="X21" s="237"/>
      <c r="Y21" s="237"/>
      <c r="Z21" s="237"/>
      <c r="AA21" s="396"/>
      <c r="AB21" s="407"/>
      <c r="AC21" s="396"/>
      <c r="AD21" s="534"/>
      <c r="AE21" s="535"/>
      <c r="AF21" s="535"/>
      <c r="AG21" s="535"/>
      <c r="AH21" s="535"/>
      <c r="AI21" s="535"/>
      <c r="AJ21" s="535"/>
      <c r="AK21" s="535"/>
      <c r="AL21" s="535"/>
      <c r="AM21" s="535"/>
      <c r="AN21" s="535"/>
      <c r="AO21" s="535"/>
      <c r="AP21" s="535"/>
      <c r="AQ21" s="535">
        <f t="shared" si="2"/>
        <v>0</v>
      </c>
      <c r="AR21" s="535">
        <f t="shared" si="3"/>
        <v>0</v>
      </c>
      <c r="AS21" s="544"/>
      <c r="AT21" s="277">
        <f t="shared" si="4"/>
        <v>0</v>
      </c>
    </row>
    <row r="22" spans="1:46" s="25" customFormat="1" x14ac:dyDescent="0.25">
      <c r="A22" s="491">
        <v>108</v>
      </c>
      <c r="B22" s="65" t="s">
        <v>78</v>
      </c>
      <c r="C22" s="491">
        <v>1150</v>
      </c>
      <c r="D22" s="65" t="s">
        <v>73</v>
      </c>
      <c r="E22" s="491">
        <v>2</v>
      </c>
      <c r="F22" s="559"/>
      <c r="G22" s="559"/>
      <c r="H22" s="559"/>
      <c r="I22" s="559"/>
      <c r="J22" s="659"/>
      <c r="K22" s="622"/>
      <c r="L22" s="398"/>
      <c r="M22" s="237"/>
      <c r="N22" s="237"/>
      <c r="O22" s="237"/>
      <c r="P22" s="398"/>
      <c r="Q22" s="402"/>
      <c r="R22" s="405"/>
      <c r="S22" s="351"/>
      <c r="T22" s="398"/>
      <c r="U22" s="237"/>
      <c r="V22" s="410"/>
      <c r="W22" s="351"/>
      <c r="X22" s="399"/>
      <c r="Y22" s="237"/>
      <c r="Z22" s="237"/>
      <c r="AA22" s="396"/>
      <c r="AB22" s="407"/>
      <c r="AC22" s="396"/>
      <c r="AD22" s="534"/>
      <c r="AE22" s="535"/>
      <c r="AF22" s="535"/>
      <c r="AG22" s="535"/>
      <c r="AH22" s="535"/>
      <c r="AI22" s="535"/>
      <c r="AJ22" s="535"/>
      <c r="AK22" s="535"/>
      <c r="AL22" s="535"/>
      <c r="AM22" s="535"/>
      <c r="AN22" s="535"/>
      <c r="AO22" s="535"/>
      <c r="AP22" s="535"/>
      <c r="AQ22" s="535">
        <f t="shared" si="2"/>
        <v>0</v>
      </c>
      <c r="AR22" s="535">
        <f t="shared" si="3"/>
        <v>0</v>
      </c>
      <c r="AS22" s="544"/>
      <c r="AT22" s="277">
        <f t="shared" si="4"/>
        <v>0</v>
      </c>
    </row>
    <row r="23" spans="1:46" s="25" customFormat="1" x14ac:dyDescent="0.25">
      <c r="A23" s="491">
        <v>108</v>
      </c>
      <c r="B23" s="65" t="s">
        <v>78</v>
      </c>
      <c r="C23" s="491">
        <v>1150</v>
      </c>
      <c r="D23" s="65" t="s">
        <v>73</v>
      </c>
      <c r="E23" s="491">
        <v>2</v>
      </c>
      <c r="F23" s="559"/>
      <c r="G23" s="559"/>
      <c r="H23" s="559"/>
      <c r="I23" s="559"/>
      <c r="J23" s="659"/>
      <c r="K23" s="622"/>
      <c r="L23" s="237"/>
      <c r="M23" s="237"/>
      <c r="N23" s="237"/>
      <c r="O23" s="351"/>
      <c r="P23" s="395"/>
      <c r="Q23" s="405"/>
      <c r="R23" s="405"/>
      <c r="S23" s="351"/>
      <c r="T23" s="351"/>
      <c r="U23" s="237"/>
      <c r="V23" s="398"/>
      <c r="W23" s="237"/>
      <c r="X23" s="237"/>
      <c r="Y23" s="237"/>
      <c r="Z23" s="237"/>
      <c r="AA23" s="392"/>
      <c r="AB23" s="407"/>
      <c r="AC23" s="392"/>
      <c r="AD23" s="391"/>
      <c r="AE23" s="535"/>
      <c r="AF23" s="535"/>
      <c r="AG23" s="535"/>
      <c r="AH23" s="535"/>
      <c r="AI23" s="535"/>
      <c r="AJ23" s="535"/>
      <c r="AK23" s="535"/>
      <c r="AL23" s="535"/>
      <c r="AM23" s="535"/>
      <c r="AN23" s="535"/>
      <c r="AO23" s="535"/>
      <c r="AP23" s="535"/>
      <c r="AQ23" s="535">
        <f t="shared" si="2"/>
        <v>0</v>
      </c>
      <c r="AR23" s="535">
        <f t="shared" si="3"/>
        <v>0</v>
      </c>
      <c r="AS23" s="544"/>
      <c r="AT23" s="277">
        <f t="shared" si="4"/>
        <v>0</v>
      </c>
    </row>
    <row r="24" spans="1:46" s="25" customFormat="1" x14ac:dyDescent="0.25">
      <c r="A24" s="490">
        <v>109</v>
      </c>
      <c r="B24" s="63" t="s">
        <v>84</v>
      </c>
      <c r="C24" s="490">
        <v>1150</v>
      </c>
      <c r="D24" s="63" t="s">
        <v>73</v>
      </c>
      <c r="E24" s="490">
        <v>3</v>
      </c>
      <c r="F24" s="559" t="s">
        <v>45</v>
      </c>
      <c r="G24" s="559">
        <v>8</v>
      </c>
      <c r="H24" s="559" t="s">
        <v>86</v>
      </c>
      <c r="I24" s="559" t="s">
        <v>87</v>
      </c>
      <c r="J24" s="659"/>
      <c r="K24" s="660"/>
      <c r="L24" s="237"/>
      <c r="M24" s="237"/>
      <c r="N24" s="237"/>
      <c r="O24" s="237"/>
      <c r="P24" s="237"/>
      <c r="Q24" s="237"/>
      <c r="R24" s="237"/>
      <c r="S24" s="237"/>
      <c r="T24" s="237"/>
      <c r="U24" s="237"/>
      <c r="V24" s="237"/>
      <c r="W24" s="237"/>
      <c r="X24" s="237"/>
      <c r="Y24" s="237"/>
      <c r="Z24" s="237"/>
      <c r="AA24" s="277"/>
      <c r="AB24" s="407"/>
      <c r="AC24" s="277"/>
      <c r="AD24" s="391"/>
      <c r="AE24" s="535"/>
      <c r="AF24" s="535"/>
      <c r="AG24" s="535"/>
      <c r="AH24" s="535"/>
      <c r="AI24" s="535"/>
      <c r="AJ24" s="535"/>
      <c r="AK24" s="535"/>
      <c r="AL24" s="535"/>
      <c r="AM24" s="535"/>
      <c r="AN24" s="535"/>
      <c r="AO24" s="535"/>
      <c r="AP24" s="535"/>
      <c r="AQ24" s="535">
        <f t="shared" si="2"/>
        <v>0</v>
      </c>
      <c r="AR24" s="535">
        <f t="shared" si="3"/>
        <v>0</v>
      </c>
      <c r="AS24" s="544"/>
      <c r="AT24" s="277">
        <f t="shared" si="4"/>
        <v>0</v>
      </c>
    </row>
    <row r="25" spans="1:46" s="25" customFormat="1" x14ac:dyDescent="0.25">
      <c r="A25" s="490">
        <v>109</v>
      </c>
      <c r="B25" s="63" t="s">
        <v>84</v>
      </c>
      <c r="C25" s="490">
        <v>1150</v>
      </c>
      <c r="D25" s="63" t="s">
        <v>73</v>
      </c>
      <c r="E25" s="490">
        <v>3</v>
      </c>
      <c r="F25" s="559"/>
      <c r="G25" s="559"/>
      <c r="H25" s="559"/>
      <c r="I25" s="559"/>
      <c r="J25" s="659"/>
      <c r="K25" s="660"/>
      <c r="L25" s="237"/>
      <c r="M25" s="237"/>
      <c r="N25" s="237"/>
      <c r="O25" s="237"/>
      <c r="P25" s="237"/>
      <c r="Q25" s="237"/>
      <c r="R25" s="237"/>
      <c r="S25" s="237"/>
      <c r="T25" s="237"/>
      <c r="U25" s="237"/>
      <c r="V25" s="237"/>
      <c r="W25" s="237"/>
      <c r="X25" s="237"/>
      <c r="Y25" s="237"/>
      <c r="Z25" s="237"/>
      <c r="AA25" s="277"/>
      <c r="AB25" s="407"/>
      <c r="AC25" s="277"/>
      <c r="AD25" s="391"/>
      <c r="AE25" s="535"/>
      <c r="AF25" s="535"/>
      <c r="AG25" s="535"/>
      <c r="AH25" s="535"/>
      <c r="AI25" s="535"/>
      <c r="AJ25" s="535"/>
      <c r="AK25" s="535"/>
      <c r="AL25" s="535"/>
      <c r="AM25" s="535"/>
      <c r="AN25" s="535"/>
      <c r="AO25" s="535"/>
      <c r="AP25" s="535"/>
      <c r="AQ25" s="535">
        <f t="shared" si="2"/>
        <v>0</v>
      </c>
      <c r="AR25" s="535">
        <f t="shared" si="3"/>
        <v>0</v>
      </c>
      <c r="AS25" s="544"/>
      <c r="AT25" s="277">
        <f t="shared" si="4"/>
        <v>0</v>
      </c>
    </row>
    <row r="26" spans="1:46" s="25" customFormat="1" x14ac:dyDescent="0.25">
      <c r="A26" s="490">
        <v>109</v>
      </c>
      <c r="B26" s="63" t="s">
        <v>84</v>
      </c>
      <c r="C26" s="490">
        <v>1150</v>
      </c>
      <c r="D26" s="63" t="s">
        <v>73</v>
      </c>
      <c r="E26" s="490">
        <v>3</v>
      </c>
      <c r="F26" s="559"/>
      <c r="G26" s="559"/>
      <c r="H26" s="559"/>
      <c r="I26" s="559"/>
      <c r="J26" s="659"/>
      <c r="K26" s="660"/>
      <c r="L26" s="237"/>
      <c r="M26" s="237"/>
      <c r="N26" s="237"/>
      <c r="O26" s="237"/>
      <c r="P26" s="237"/>
      <c r="Q26" s="237"/>
      <c r="R26" s="237"/>
      <c r="S26" s="237"/>
      <c r="T26" s="237"/>
      <c r="U26" s="237"/>
      <c r="V26" s="237"/>
      <c r="W26" s="237"/>
      <c r="X26" s="237"/>
      <c r="Y26" s="237"/>
      <c r="Z26" s="237"/>
      <c r="AA26" s="277"/>
      <c r="AB26" s="407"/>
      <c r="AC26" s="277"/>
      <c r="AD26" s="391"/>
      <c r="AE26" s="535"/>
      <c r="AF26" s="535"/>
      <c r="AG26" s="535"/>
      <c r="AH26" s="535"/>
      <c r="AI26" s="535"/>
      <c r="AJ26" s="535"/>
      <c r="AK26" s="535"/>
      <c r="AL26" s="535"/>
      <c r="AM26" s="535"/>
      <c r="AN26" s="535"/>
      <c r="AO26" s="535"/>
      <c r="AP26" s="535"/>
      <c r="AQ26" s="535">
        <f t="shared" si="2"/>
        <v>0</v>
      </c>
      <c r="AR26" s="535">
        <f t="shared" si="3"/>
        <v>0</v>
      </c>
      <c r="AS26" s="544"/>
      <c r="AT26" s="277">
        <f t="shared" si="4"/>
        <v>0</v>
      </c>
    </row>
    <row r="27" spans="1:46" s="25" customFormat="1" x14ac:dyDescent="0.25">
      <c r="A27" s="490">
        <v>110</v>
      </c>
      <c r="B27" s="63" t="s">
        <v>89</v>
      </c>
      <c r="C27" s="490">
        <v>1150</v>
      </c>
      <c r="D27" s="63" t="s">
        <v>73</v>
      </c>
      <c r="E27" s="490">
        <v>4</v>
      </c>
      <c r="F27" s="559" t="s">
        <v>53</v>
      </c>
      <c r="G27" s="559">
        <v>3000</v>
      </c>
      <c r="H27" s="559" t="s">
        <v>61</v>
      </c>
      <c r="I27" s="559" t="s">
        <v>92</v>
      </c>
      <c r="J27" s="659"/>
      <c r="K27" s="660"/>
      <c r="L27" s="398" t="s">
        <v>1717</v>
      </c>
      <c r="M27" s="351" t="s">
        <v>1611</v>
      </c>
      <c r="N27" s="237" t="s">
        <v>1718</v>
      </c>
      <c r="O27" s="237" t="s">
        <v>1314</v>
      </c>
      <c r="P27" s="398" t="s">
        <v>1719</v>
      </c>
      <c r="Q27" s="402">
        <v>42636</v>
      </c>
      <c r="R27" s="402">
        <v>42636</v>
      </c>
      <c r="S27" s="351" t="s">
        <v>512</v>
      </c>
      <c r="T27" s="398" t="s">
        <v>1720</v>
      </c>
      <c r="U27" s="237" t="s">
        <v>1721</v>
      </c>
      <c r="V27" s="237" t="s">
        <v>1722</v>
      </c>
      <c r="W27" s="237">
        <v>9008386651</v>
      </c>
      <c r="X27" s="399">
        <v>620</v>
      </c>
      <c r="Y27" s="237" t="s">
        <v>884</v>
      </c>
      <c r="Z27" s="237" t="s">
        <v>1756</v>
      </c>
      <c r="AA27" s="396">
        <v>347</v>
      </c>
      <c r="AB27" s="396" t="s">
        <v>1723</v>
      </c>
      <c r="AC27" s="396">
        <v>544</v>
      </c>
      <c r="AD27" s="545">
        <v>12365880</v>
      </c>
      <c r="AE27" s="535"/>
      <c r="AF27" s="535"/>
      <c r="AG27" s="535"/>
      <c r="AH27" s="535"/>
      <c r="AI27" s="535"/>
      <c r="AJ27" s="535"/>
      <c r="AK27" s="535"/>
      <c r="AL27" s="535"/>
      <c r="AM27" s="535"/>
      <c r="AN27" s="535"/>
      <c r="AO27" s="535"/>
      <c r="AP27" s="535">
        <v>12365880</v>
      </c>
      <c r="AQ27" s="535">
        <f t="shared" si="2"/>
        <v>12365880</v>
      </c>
      <c r="AR27" s="535">
        <f t="shared" si="3"/>
        <v>0</v>
      </c>
      <c r="AS27" s="544">
        <f t="shared" si="5"/>
        <v>1</v>
      </c>
      <c r="AT27" s="277">
        <f t="shared" si="4"/>
        <v>1</v>
      </c>
    </row>
    <row r="28" spans="1:46" s="25" customFormat="1" x14ac:dyDescent="0.25">
      <c r="A28" s="490">
        <v>110</v>
      </c>
      <c r="B28" s="63" t="s">
        <v>89</v>
      </c>
      <c r="C28" s="490">
        <v>1150</v>
      </c>
      <c r="D28" s="63" t="s">
        <v>73</v>
      </c>
      <c r="E28" s="490">
        <v>4</v>
      </c>
      <c r="F28" s="559"/>
      <c r="G28" s="559"/>
      <c r="H28" s="559"/>
      <c r="I28" s="559"/>
      <c r="J28" s="659"/>
      <c r="K28" s="660"/>
      <c r="L28" s="398"/>
      <c r="M28" s="237"/>
      <c r="N28" s="237"/>
      <c r="O28" s="237"/>
      <c r="P28" s="398"/>
      <c r="Q28" s="402"/>
      <c r="R28" s="405"/>
      <c r="S28" s="351"/>
      <c r="T28" s="398"/>
      <c r="U28" s="237"/>
      <c r="V28" s="398"/>
      <c r="W28" s="237"/>
      <c r="X28" s="406"/>
      <c r="Y28" s="237"/>
      <c r="Z28" s="237"/>
      <c r="AA28" s="396"/>
      <c r="AB28" s="407"/>
      <c r="AC28" s="396"/>
      <c r="AD28" s="534"/>
      <c r="AE28" s="535"/>
      <c r="AF28" s="535"/>
      <c r="AG28" s="535"/>
      <c r="AH28" s="535"/>
      <c r="AI28" s="535"/>
      <c r="AJ28" s="535"/>
      <c r="AK28" s="535"/>
      <c r="AL28" s="535"/>
      <c r="AM28" s="535"/>
      <c r="AN28" s="535"/>
      <c r="AO28" s="535"/>
      <c r="AP28" s="535"/>
      <c r="AQ28" s="535">
        <f t="shared" si="2"/>
        <v>0</v>
      </c>
      <c r="AR28" s="535">
        <f t="shared" si="3"/>
        <v>0</v>
      </c>
      <c r="AS28" s="544"/>
      <c r="AT28" s="277">
        <f t="shared" si="4"/>
        <v>0</v>
      </c>
    </row>
    <row r="29" spans="1:46" s="25" customFormat="1" x14ac:dyDescent="0.25">
      <c r="A29" s="490">
        <v>110</v>
      </c>
      <c r="B29" s="63" t="s">
        <v>89</v>
      </c>
      <c r="C29" s="490">
        <v>1150</v>
      </c>
      <c r="D29" s="63" t="s">
        <v>73</v>
      </c>
      <c r="E29" s="490">
        <v>4</v>
      </c>
      <c r="F29" s="559"/>
      <c r="G29" s="559"/>
      <c r="H29" s="559"/>
      <c r="I29" s="559"/>
      <c r="J29" s="659"/>
      <c r="K29" s="660"/>
      <c r="L29" s="398"/>
      <c r="M29" s="237"/>
      <c r="N29" s="237"/>
      <c r="O29" s="237"/>
      <c r="P29" s="398"/>
      <c r="Q29" s="402"/>
      <c r="R29" s="405"/>
      <c r="S29" s="351"/>
      <c r="T29" s="398"/>
      <c r="U29" s="237"/>
      <c r="V29" s="398"/>
      <c r="W29" s="237"/>
      <c r="X29" s="399"/>
      <c r="Y29" s="237"/>
      <c r="Z29" s="237"/>
      <c r="AA29" s="395"/>
      <c r="AB29" s="407"/>
      <c r="AC29" s="395"/>
      <c r="AD29" s="534"/>
      <c r="AE29" s="535"/>
      <c r="AF29" s="535"/>
      <c r="AG29" s="535"/>
      <c r="AH29" s="535"/>
      <c r="AI29" s="535"/>
      <c r="AJ29" s="535"/>
      <c r="AK29" s="535"/>
      <c r="AL29" s="535"/>
      <c r="AM29" s="535"/>
      <c r="AN29" s="535"/>
      <c r="AO29" s="535"/>
      <c r="AP29" s="535"/>
      <c r="AQ29" s="535">
        <f t="shared" si="2"/>
        <v>0</v>
      </c>
      <c r="AR29" s="535">
        <f t="shared" si="3"/>
        <v>0</v>
      </c>
      <c r="AS29" s="544"/>
      <c r="AT29" s="277">
        <f t="shared" si="4"/>
        <v>0</v>
      </c>
    </row>
    <row r="30" spans="1:46" s="25" customFormat="1" x14ac:dyDescent="0.25">
      <c r="A30" s="490">
        <v>111</v>
      </c>
      <c r="B30" s="63" t="s">
        <v>94</v>
      </c>
      <c r="C30" s="490">
        <v>1164</v>
      </c>
      <c r="D30" s="63" t="s">
        <v>96</v>
      </c>
      <c r="E30" s="490">
        <v>1</v>
      </c>
      <c r="F30" s="559" t="s">
        <v>53</v>
      </c>
      <c r="G30" s="559">
        <v>200</v>
      </c>
      <c r="H30" s="559" t="s">
        <v>97</v>
      </c>
      <c r="I30" s="559" t="s">
        <v>98</v>
      </c>
      <c r="J30" s="659"/>
      <c r="K30" s="660"/>
      <c r="L30" s="237" t="s">
        <v>1757</v>
      </c>
      <c r="M30" s="237" t="s">
        <v>1611</v>
      </c>
      <c r="N30" s="237" t="s">
        <v>1758</v>
      </c>
      <c r="O30" s="237" t="s">
        <v>1759</v>
      </c>
      <c r="P30" s="237" t="s">
        <v>1641</v>
      </c>
      <c r="Q30" s="405">
        <v>42705</v>
      </c>
      <c r="R30" s="405">
        <v>42723</v>
      </c>
      <c r="S30" s="237" t="s">
        <v>512</v>
      </c>
      <c r="T30" s="237" t="s">
        <v>1760</v>
      </c>
      <c r="U30" s="237" t="s">
        <v>1287</v>
      </c>
      <c r="V30" s="237" t="s">
        <v>1761</v>
      </c>
      <c r="W30" s="237" t="s">
        <v>1762</v>
      </c>
      <c r="X30" s="237">
        <v>250</v>
      </c>
      <c r="Y30" s="237" t="s">
        <v>884</v>
      </c>
      <c r="Z30" s="237" t="s">
        <v>1756</v>
      </c>
      <c r="AA30" s="277">
        <v>366</v>
      </c>
      <c r="AB30" s="233">
        <v>42655</v>
      </c>
      <c r="AC30" s="277">
        <v>618</v>
      </c>
      <c r="AD30" s="391">
        <v>27960668</v>
      </c>
      <c r="AE30" s="535"/>
      <c r="AF30" s="535"/>
      <c r="AG30" s="535"/>
      <c r="AH30" s="535"/>
      <c r="AI30" s="535"/>
      <c r="AJ30" s="535"/>
      <c r="AK30" s="535"/>
      <c r="AL30" s="535"/>
      <c r="AM30" s="535"/>
      <c r="AN30" s="535"/>
      <c r="AO30" s="535"/>
      <c r="AP30" s="535"/>
      <c r="AQ30" s="535">
        <f t="shared" si="2"/>
        <v>0</v>
      </c>
      <c r="AR30" s="535">
        <f t="shared" si="3"/>
        <v>27960668</v>
      </c>
      <c r="AS30" s="544">
        <f t="shared" si="5"/>
        <v>0</v>
      </c>
      <c r="AT30" s="277">
        <f t="shared" si="4"/>
        <v>0</v>
      </c>
    </row>
    <row r="31" spans="1:46" s="25" customFormat="1" x14ac:dyDescent="0.25">
      <c r="A31" s="490">
        <v>111</v>
      </c>
      <c r="B31" s="63" t="s">
        <v>94</v>
      </c>
      <c r="C31" s="490">
        <v>1164</v>
      </c>
      <c r="D31" s="63" t="s">
        <v>96</v>
      </c>
      <c r="E31" s="490">
        <v>1</v>
      </c>
      <c r="F31" s="559"/>
      <c r="G31" s="559"/>
      <c r="H31" s="559"/>
      <c r="I31" s="559"/>
      <c r="J31" s="659"/>
      <c r="K31" s="660"/>
      <c r="L31" s="237"/>
      <c r="M31" s="237"/>
      <c r="N31" s="237"/>
      <c r="O31" s="237"/>
      <c r="P31" s="237"/>
      <c r="Q31" s="237"/>
      <c r="R31" s="237"/>
      <c r="S31" s="237"/>
      <c r="T31" s="237"/>
      <c r="U31" s="237"/>
      <c r="V31" s="237"/>
      <c r="W31" s="237"/>
      <c r="X31" s="237"/>
      <c r="Y31" s="237"/>
      <c r="Z31" s="237"/>
      <c r="AA31" s="277"/>
      <c r="AB31" s="233"/>
      <c r="AC31" s="277"/>
      <c r="AD31" s="391"/>
      <c r="AE31" s="535"/>
      <c r="AF31" s="535"/>
      <c r="AG31" s="535"/>
      <c r="AH31" s="535"/>
      <c r="AI31" s="535"/>
      <c r="AJ31" s="535"/>
      <c r="AK31" s="535"/>
      <c r="AL31" s="535"/>
      <c r="AM31" s="535"/>
      <c r="AN31" s="535"/>
      <c r="AO31" s="535"/>
      <c r="AP31" s="535"/>
      <c r="AQ31" s="535">
        <f t="shared" si="2"/>
        <v>0</v>
      </c>
      <c r="AR31" s="535">
        <f t="shared" si="3"/>
        <v>0</v>
      </c>
      <c r="AS31" s="544"/>
      <c r="AT31" s="277">
        <f t="shared" si="4"/>
        <v>0</v>
      </c>
    </row>
    <row r="32" spans="1:46" s="25" customFormat="1" x14ac:dyDescent="0.25">
      <c r="A32" s="490">
        <v>111</v>
      </c>
      <c r="B32" s="63" t="s">
        <v>94</v>
      </c>
      <c r="C32" s="490">
        <v>1164</v>
      </c>
      <c r="D32" s="63" t="s">
        <v>96</v>
      </c>
      <c r="E32" s="490">
        <v>1</v>
      </c>
      <c r="F32" s="559"/>
      <c r="G32" s="559"/>
      <c r="H32" s="559"/>
      <c r="I32" s="559"/>
      <c r="J32" s="659"/>
      <c r="K32" s="660"/>
      <c r="L32" s="237"/>
      <c r="M32" s="237"/>
      <c r="N32" s="237"/>
      <c r="O32" s="237"/>
      <c r="P32" s="237"/>
      <c r="Q32" s="237"/>
      <c r="R32" s="237"/>
      <c r="S32" s="237"/>
      <c r="T32" s="237"/>
      <c r="U32" s="237"/>
      <c r="V32" s="237"/>
      <c r="W32" s="237"/>
      <c r="X32" s="237"/>
      <c r="Y32" s="237"/>
      <c r="Z32" s="237"/>
      <c r="AA32" s="392"/>
      <c r="AB32" s="233"/>
      <c r="AC32" s="392"/>
      <c r="AD32" s="391"/>
      <c r="AE32" s="535"/>
      <c r="AF32" s="535"/>
      <c r="AG32" s="535"/>
      <c r="AH32" s="535"/>
      <c r="AI32" s="535"/>
      <c r="AJ32" s="535"/>
      <c r="AK32" s="535"/>
      <c r="AL32" s="535"/>
      <c r="AM32" s="535"/>
      <c r="AN32" s="535"/>
      <c r="AO32" s="535"/>
      <c r="AP32" s="535"/>
      <c r="AQ32" s="535">
        <f t="shared" si="2"/>
        <v>0</v>
      </c>
      <c r="AR32" s="535">
        <f t="shared" si="3"/>
        <v>0</v>
      </c>
      <c r="AS32" s="544"/>
      <c r="AT32" s="277">
        <f t="shared" si="4"/>
        <v>0</v>
      </c>
    </row>
    <row r="33" spans="1:46" s="25" customFormat="1" x14ac:dyDescent="0.25">
      <c r="A33" s="491">
        <v>112</v>
      </c>
      <c r="B33" s="65" t="s">
        <v>102</v>
      </c>
      <c r="C33" s="491">
        <v>1157</v>
      </c>
      <c r="D33" s="65" t="s">
        <v>104</v>
      </c>
      <c r="E33" s="491">
        <v>1</v>
      </c>
      <c r="F33" s="584" t="s">
        <v>105</v>
      </c>
      <c r="G33" s="584">
        <v>900</v>
      </c>
      <c r="H33" s="584" t="s">
        <v>106</v>
      </c>
      <c r="I33" s="584" t="s">
        <v>107</v>
      </c>
      <c r="J33" s="619"/>
      <c r="K33" s="586"/>
      <c r="L33" s="398" t="s">
        <v>1697</v>
      </c>
      <c r="M33" s="237" t="s">
        <v>1127</v>
      </c>
      <c r="N33" s="402" t="s">
        <v>48</v>
      </c>
      <c r="O33" s="191" t="s">
        <v>1700</v>
      </c>
      <c r="P33" s="398" t="s">
        <v>1108</v>
      </c>
      <c r="Q33" s="402">
        <v>42396</v>
      </c>
      <c r="R33" s="264">
        <v>42370</v>
      </c>
      <c r="S33" s="191" t="s">
        <v>802</v>
      </c>
      <c r="T33" s="397">
        <v>4002</v>
      </c>
      <c r="U33" s="191" t="s">
        <v>798</v>
      </c>
      <c r="V33" s="397" t="s">
        <v>419</v>
      </c>
      <c r="W33" s="399" t="s">
        <v>420</v>
      </c>
      <c r="X33" s="259">
        <v>2500</v>
      </c>
      <c r="Y33" s="191" t="s">
        <v>884</v>
      </c>
      <c r="Z33" s="237"/>
      <c r="AA33" s="398">
        <v>239</v>
      </c>
      <c r="AB33" s="405">
        <v>42396</v>
      </c>
      <c r="AC33" s="398">
        <v>222</v>
      </c>
      <c r="AD33" s="534">
        <v>1113840000</v>
      </c>
      <c r="AE33" s="535"/>
      <c r="AF33" s="535"/>
      <c r="AG33" s="535"/>
      <c r="AH33" s="535"/>
      <c r="AI33" s="535"/>
      <c r="AJ33" s="535"/>
      <c r="AK33" s="535"/>
      <c r="AL33" s="535"/>
      <c r="AM33" s="535"/>
      <c r="AN33" s="535"/>
      <c r="AO33" s="535"/>
      <c r="AP33" s="535">
        <v>242640000</v>
      </c>
      <c r="AQ33" s="535">
        <f t="shared" si="2"/>
        <v>242640000</v>
      </c>
      <c r="AR33" s="535">
        <f t="shared" si="3"/>
        <v>871200000</v>
      </c>
      <c r="AS33" s="544">
        <f t="shared" si="5"/>
        <v>0.2178409825468649</v>
      </c>
      <c r="AT33" s="277">
        <f t="shared" si="4"/>
        <v>1</v>
      </c>
    </row>
    <row r="34" spans="1:46" s="25" customFormat="1" x14ac:dyDescent="0.25">
      <c r="A34" s="491">
        <v>112</v>
      </c>
      <c r="B34" s="65" t="s">
        <v>102</v>
      </c>
      <c r="C34" s="491">
        <v>1157</v>
      </c>
      <c r="D34" s="65" t="s">
        <v>104</v>
      </c>
      <c r="E34" s="491">
        <v>1</v>
      </c>
      <c r="F34" s="585"/>
      <c r="G34" s="585"/>
      <c r="H34" s="585"/>
      <c r="I34" s="585"/>
      <c r="J34" s="620"/>
      <c r="K34" s="587"/>
      <c r="L34" s="398" t="s">
        <v>1701</v>
      </c>
      <c r="M34" s="402" t="s">
        <v>1127</v>
      </c>
      <c r="N34" s="402" t="s">
        <v>48</v>
      </c>
      <c r="O34" s="402" t="s">
        <v>793</v>
      </c>
      <c r="P34" s="402" t="s">
        <v>1461</v>
      </c>
      <c r="Q34" s="402">
        <v>42179</v>
      </c>
      <c r="R34" s="432">
        <v>42432</v>
      </c>
      <c r="S34" s="402" t="s">
        <v>1054</v>
      </c>
      <c r="T34" s="398">
        <v>80</v>
      </c>
      <c r="U34" s="402" t="s">
        <v>798</v>
      </c>
      <c r="V34" s="402" t="s">
        <v>1495</v>
      </c>
      <c r="W34" s="237">
        <v>1024524906</v>
      </c>
      <c r="X34" s="402" t="s">
        <v>90</v>
      </c>
      <c r="Y34" s="402" t="s">
        <v>1316</v>
      </c>
      <c r="Z34" s="237"/>
      <c r="AA34" s="398">
        <v>257</v>
      </c>
      <c r="AB34" s="416">
        <v>42433</v>
      </c>
      <c r="AC34" s="398">
        <v>291</v>
      </c>
      <c r="AD34" s="534">
        <v>12000000</v>
      </c>
      <c r="AE34" s="535"/>
      <c r="AF34" s="535"/>
      <c r="AG34" s="535">
        <v>600000</v>
      </c>
      <c r="AH34" s="535"/>
      <c r="AI34" s="535">
        <v>3000000</v>
      </c>
      <c r="AJ34" s="535">
        <v>3000000</v>
      </c>
      <c r="AK34" s="535"/>
      <c r="AL34" s="535"/>
      <c r="AM34" s="535"/>
      <c r="AN34" s="535">
        <v>2900000</v>
      </c>
      <c r="AO34" s="535"/>
      <c r="AP34" s="535">
        <v>2500000</v>
      </c>
      <c r="AQ34" s="535">
        <f t="shared" si="2"/>
        <v>12000000</v>
      </c>
      <c r="AR34" s="535">
        <f t="shared" si="3"/>
        <v>0</v>
      </c>
      <c r="AS34" s="544">
        <f t="shared" si="5"/>
        <v>1</v>
      </c>
      <c r="AT34" s="277">
        <f t="shared" si="4"/>
        <v>5</v>
      </c>
    </row>
    <row r="35" spans="1:46" s="25" customFormat="1" x14ac:dyDescent="0.25">
      <c r="A35" s="491">
        <v>112</v>
      </c>
      <c r="B35" s="65" t="s">
        <v>102</v>
      </c>
      <c r="C35" s="491">
        <v>1157</v>
      </c>
      <c r="D35" s="65" t="s">
        <v>104</v>
      </c>
      <c r="E35" s="491">
        <v>1</v>
      </c>
      <c r="F35" s="585"/>
      <c r="G35" s="585"/>
      <c r="H35" s="585"/>
      <c r="I35" s="585"/>
      <c r="J35" s="620"/>
      <c r="K35" s="587"/>
      <c r="L35" s="398" t="s">
        <v>1702</v>
      </c>
      <c r="M35" s="402" t="s">
        <v>1127</v>
      </c>
      <c r="N35" s="402" t="s">
        <v>48</v>
      </c>
      <c r="O35" s="402" t="s">
        <v>793</v>
      </c>
      <c r="P35" s="402" t="s">
        <v>1120</v>
      </c>
      <c r="Q35" s="402">
        <v>42179</v>
      </c>
      <c r="R35" s="402">
        <v>42439</v>
      </c>
      <c r="S35" s="402" t="s">
        <v>1054</v>
      </c>
      <c r="T35" s="398">
        <v>89</v>
      </c>
      <c r="U35" s="402" t="s">
        <v>798</v>
      </c>
      <c r="V35" s="402" t="s">
        <v>1477</v>
      </c>
      <c r="W35" s="237">
        <v>55238978</v>
      </c>
      <c r="X35" s="402" t="s">
        <v>90</v>
      </c>
      <c r="Y35" s="402" t="s">
        <v>1316</v>
      </c>
      <c r="Z35" s="351"/>
      <c r="AA35" s="546">
        <v>267</v>
      </c>
      <c r="AB35" s="416">
        <v>42439</v>
      </c>
      <c r="AC35" s="398">
        <v>317</v>
      </c>
      <c r="AD35" s="534">
        <v>12000000</v>
      </c>
      <c r="AE35" s="535"/>
      <c r="AF35" s="535"/>
      <c r="AG35" s="535">
        <v>200000</v>
      </c>
      <c r="AH35" s="535"/>
      <c r="AI35" s="535">
        <v>3000000</v>
      </c>
      <c r="AJ35" s="535">
        <v>3000000</v>
      </c>
      <c r="AK35" s="535">
        <v>3000000</v>
      </c>
      <c r="AL35" s="535"/>
      <c r="AM35" s="535"/>
      <c r="AN35" s="535">
        <v>2800000</v>
      </c>
      <c r="AO35" s="535"/>
      <c r="AP35" s="535"/>
      <c r="AQ35" s="535">
        <f t="shared" si="2"/>
        <v>12000000</v>
      </c>
      <c r="AR35" s="535">
        <f t="shared" si="3"/>
        <v>0</v>
      </c>
      <c r="AS35" s="544">
        <f t="shared" si="5"/>
        <v>1</v>
      </c>
      <c r="AT35" s="277">
        <f t="shared" si="4"/>
        <v>5</v>
      </c>
    </row>
    <row r="36" spans="1:46" s="25" customFormat="1" x14ac:dyDescent="0.25">
      <c r="A36" s="491">
        <v>112</v>
      </c>
      <c r="B36" s="65" t="s">
        <v>102</v>
      </c>
      <c r="C36" s="491">
        <v>1157</v>
      </c>
      <c r="D36" s="65" t="s">
        <v>104</v>
      </c>
      <c r="E36" s="491">
        <v>1</v>
      </c>
      <c r="F36" s="585"/>
      <c r="G36" s="585"/>
      <c r="H36" s="585"/>
      <c r="I36" s="585"/>
      <c r="J36" s="620"/>
      <c r="K36" s="587"/>
      <c r="L36" s="398" t="s">
        <v>1724</v>
      </c>
      <c r="M36" s="402" t="s">
        <v>1127</v>
      </c>
      <c r="N36" s="402" t="s">
        <v>48</v>
      </c>
      <c r="O36" s="402" t="s">
        <v>793</v>
      </c>
      <c r="P36" s="402" t="s">
        <v>1120</v>
      </c>
      <c r="Q36" s="402">
        <v>42621</v>
      </c>
      <c r="R36" s="402">
        <v>42643</v>
      </c>
      <c r="S36" s="402" t="s">
        <v>1725</v>
      </c>
      <c r="T36" s="398">
        <v>862016</v>
      </c>
      <c r="U36" s="402" t="s">
        <v>798</v>
      </c>
      <c r="V36" s="402" t="s">
        <v>1726</v>
      </c>
      <c r="W36" s="237">
        <v>79781116</v>
      </c>
      <c r="X36" s="402" t="s">
        <v>90</v>
      </c>
      <c r="Y36" s="402" t="s">
        <v>1316</v>
      </c>
      <c r="Z36" s="237"/>
      <c r="AA36" s="547">
        <v>341</v>
      </c>
      <c r="AB36" s="416">
        <v>42620</v>
      </c>
      <c r="AC36" s="398">
        <v>535</v>
      </c>
      <c r="AD36" s="534">
        <v>15333333</v>
      </c>
      <c r="AE36" s="535"/>
      <c r="AF36" s="535"/>
      <c r="AG36" s="535"/>
      <c r="AH36" s="535"/>
      <c r="AI36" s="535"/>
      <c r="AJ36" s="535"/>
      <c r="AK36" s="535"/>
      <c r="AL36" s="535"/>
      <c r="AM36" s="535"/>
      <c r="AN36" s="535"/>
      <c r="AO36" s="535">
        <v>1466667</v>
      </c>
      <c r="AP36" s="535">
        <f>4000000+4000000</f>
        <v>8000000</v>
      </c>
      <c r="AQ36" s="535">
        <f t="shared" si="2"/>
        <v>9466667</v>
      </c>
      <c r="AR36" s="535">
        <f t="shared" si="3"/>
        <v>5866666</v>
      </c>
      <c r="AS36" s="544">
        <f t="shared" si="5"/>
        <v>0.61739133950850733</v>
      </c>
      <c r="AT36" s="277">
        <f t="shared" si="4"/>
        <v>2</v>
      </c>
    </row>
    <row r="37" spans="1:46" s="25" customFormat="1" x14ac:dyDescent="0.25">
      <c r="A37" s="491">
        <v>112</v>
      </c>
      <c r="B37" s="65" t="s">
        <v>102</v>
      </c>
      <c r="C37" s="491">
        <v>1157</v>
      </c>
      <c r="D37" s="65" t="s">
        <v>104</v>
      </c>
      <c r="E37" s="491">
        <v>1</v>
      </c>
      <c r="F37" s="585"/>
      <c r="G37" s="585"/>
      <c r="H37" s="585"/>
      <c r="I37" s="585"/>
      <c r="J37" s="620"/>
      <c r="K37" s="587"/>
      <c r="L37" s="398" t="s">
        <v>1727</v>
      </c>
      <c r="M37" s="402" t="s">
        <v>1127</v>
      </c>
      <c r="N37" s="402" t="s">
        <v>48</v>
      </c>
      <c r="O37" s="402" t="s">
        <v>793</v>
      </c>
      <c r="P37" s="402" t="s">
        <v>1120</v>
      </c>
      <c r="Q37" s="402">
        <v>42622</v>
      </c>
      <c r="R37" s="402">
        <v>42626</v>
      </c>
      <c r="S37" s="402" t="s">
        <v>1725</v>
      </c>
      <c r="T37" s="398">
        <v>832016</v>
      </c>
      <c r="U37" s="402" t="s">
        <v>798</v>
      </c>
      <c r="V37" s="402" t="s">
        <v>1728</v>
      </c>
      <c r="W37" s="237">
        <v>79318704</v>
      </c>
      <c r="X37" s="402" t="s">
        <v>90</v>
      </c>
      <c r="Y37" s="402" t="s">
        <v>1316</v>
      </c>
      <c r="Z37" s="237"/>
      <c r="AA37" s="547">
        <v>343</v>
      </c>
      <c r="AB37" s="416">
        <v>42621</v>
      </c>
      <c r="AC37" s="398">
        <v>537</v>
      </c>
      <c r="AD37" s="534">
        <v>13420500</v>
      </c>
      <c r="AE37" s="535"/>
      <c r="AF37" s="535"/>
      <c r="AG37" s="535"/>
      <c r="AH37" s="535"/>
      <c r="AI37" s="535"/>
      <c r="AJ37" s="535"/>
      <c r="AK37" s="535"/>
      <c r="AL37" s="535"/>
      <c r="AM37" s="535"/>
      <c r="AN37" s="535"/>
      <c r="AO37" s="535">
        <v>3267600</v>
      </c>
      <c r="AP37" s="535">
        <f>3267600+3501000</f>
        <v>6768600</v>
      </c>
      <c r="AQ37" s="535">
        <f t="shared" si="2"/>
        <v>10036200</v>
      </c>
      <c r="AR37" s="535">
        <f t="shared" si="3"/>
        <v>3384300</v>
      </c>
      <c r="AS37" s="544">
        <f t="shared" si="5"/>
        <v>0.74782608695652175</v>
      </c>
      <c r="AT37" s="277">
        <f t="shared" si="4"/>
        <v>2</v>
      </c>
    </row>
    <row r="38" spans="1:46" s="25" customFormat="1" x14ac:dyDescent="0.25">
      <c r="A38" s="491">
        <v>112</v>
      </c>
      <c r="B38" s="65" t="s">
        <v>102</v>
      </c>
      <c r="C38" s="491">
        <v>1157</v>
      </c>
      <c r="D38" s="65" t="s">
        <v>104</v>
      </c>
      <c r="E38" s="491">
        <v>1</v>
      </c>
      <c r="F38" s="585"/>
      <c r="G38" s="585"/>
      <c r="H38" s="585"/>
      <c r="I38" s="585"/>
      <c r="J38" s="620"/>
      <c r="K38" s="587"/>
      <c r="L38" s="398" t="s">
        <v>1730</v>
      </c>
      <c r="M38" s="402" t="s">
        <v>1127</v>
      </c>
      <c r="N38" s="402" t="s">
        <v>48</v>
      </c>
      <c r="O38" s="402" t="s">
        <v>793</v>
      </c>
      <c r="P38" s="402" t="s">
        <v>1120</v>
      </c>
      <c r="Q38" s="402">
        <v>42626</v>
      </c>
      <c r="R38" s="402">
        <v>42626</v>
      </c>
      <c r="S38" s="402" t="s">
        <v>1731</v>
      </c>
      <c r="T38" s="398">
        <v>852016</v>
      </c>
      <c r="U38" s="402" t="s">
        <v>798</v>
      </c>
      <c r="V38" s="395" t="s">
        <v>1729</v>
      </c>
      <c r="W38" s="237">
        <v>1023951493</v>
      </c>
      <c r="X38" s="402" t="s">
        <v>90</v>
      </c>
      <c r="Y38" s="402" t="s">
        <v>1316</v>
      </c>
      <c r="Z38" s="237"/>
      <c r="AA38" s="547">
        <v>346</v>
      </c>
      <c r="AB38" s="416">
        <v>42625</v>
      </c>
      <c r="AC38" s="398">
        <v>538</v>
      </c>
      <c r="AD38" s="534">
        <v>9170333</v>
      </c>
      <c r="AE38" s="535"/>
      <c r="AF38" s="535"/>
      <c r="AG38" s="535"/>
      <c r="AH38" s="535"/>
      <c r="AI38" s="535"/>
      <c r="AJ38" s="535"/>
      <c r="AK38" s="535"/>
      <c r="AL38" s="535"/>
      <c r="AM38" s="535"/>
      <c r="AN38" s="535"/>
      <c r="AO38" s="535"/>
      <c r="AP38" s="535">
        <f>4835267+2501000</f>
        <v>7336267</v>
      </c>
      <c r="AQ38" s="535">
        <f t="shared" si="2"/>
        <v>7336267</v>
      </c>
      <c r="AR38" s="535">
        <f t="shared" si="3"/>
        <v>1834066</v>
      </c>
      <c r="AS38" s="544">
        <f t="shared" si="5"/>
        <v>0.80000006542837643</v>
      </c>
      <c r="AT38" s="277">
        <f t="shared" si="4"/>
        <v>1</v>
      </c>
    </row>
    <row r="39" spans="1:46" s="25" customFormat="1" x14ac:dyDescent="0.25">
      <c r="A39" s="491">
        <v>112</v>
      </c>
      <c r="B39" s="65" t="s">
        <v>102</v>
      </c>
      <c r="C39" s="491">
        <v>1157</v>
      </c>
      <c r="D39" s="65" t="s">
        <v>104</v>
      </c>
      <c r="E39" s="491">
        <v>1</v>
      </c>
      <c r="F39" s="585"/>
      <c r="G39" s="585"/>
      <c r="H39" s="585"/>
      <c r="I39" s="585"/>
      <c r="J39" s="620"/>
      <c r="K39" s="587"/>
      <c r="L39" s="398" t="s">
        <v>1733</v>
      </c>
      <c r="M39" s="402" t="s">
        <v>1127</v>
      </c>
      <c r="N39" s="402" t="s">
        <v>48</v>
      </c>
      <c r="O39" s="402" t="s">
        <v>793</v>
      </c>
      <c r="P39" s="402" t="s">
        <v>1120</v>
      </c>
      <c r="Q39" s="402">
        <v>42641</v>
      </c>
      <c r="R39" s="402">
        <v>42641</v>
      </c>
      <c r="S39" s="402" t="s">
        <v>1734</v>
      </c>
      <c r="T39" s="398">
        <v>902016</v>
      </c>
      <c r="U39" s="402" t="s">
        <v>798</v>
      </c>
      <c r="V39" s="395" t="s">
        <v>1732</v>
      </c>
      <c r="W39" s="237"/>
      <c r="X39" s="402" t="s">
        <v>90</v>
      </c>
      <c r="Y39" s="402" t="s">
        <v>1316</v>
      </c>
      <c r="Z39" s="237"/>
      <c r="AA39" s="547">
        <v>353</v>
      </c>
      <c r="AB39" s="416">
        <v>42641</v>
      </c>
      <c r="AC39" s="398">
        <v>547</v>
      </c>
      <c r="AD39" s="534">
        <v>10969800</v>
      </c>
      <c r="AE39" s="535"/>
      <c r="AF39" s="535"/>
      <c r="AG39" s="535"/>
      <c r="AH39" s="535"/>
      <c r="AI39" s="535"/>
      <c r="AJ39" s="535"/>
      <c r="AK39" s="535"/>
      <c r="AL39" s="535"/>
      <c r="AM39" s="535"/>
      <c r="AN39" s="535"/>
      <c r="AO39" s="535">
        <v>1517100</v>
      </c>
      <c r="AP39" s="535">
        <f>3501000+3501000</f>
        <v>7002000</v>
      </c>
      <c r="AQ39" s="535">
        <f t="shared" si="2"/>
        <v>8519100</v>
      </c>
      <c r="AR39" s="535">
        <f t="shared" si="3"/>
        <v>2450700</v>
      </c>
      <c r="AS39" s="544">
        <f t="shared" si="5"/>
        <v>0.77659574468085102</v>
      </c>
      <c r="AT39" s="277">
        <f t="shared" si="4"/>
        <v>2</v>
      </c>
    </row>
    <row r="40" spans="1:46" s="25" customFormat="1" x14ac:dyDescent="0.25">
      <c r="A40" s="491">
        <v>112</v>
      </c>
      <c r="B40" s="65" t="s">
        <v>102</v>
      </c>
      <c r="C40" s="491">
        <v>1157</v>
      </c>
      <c r="D40" s="65" t="s">
        <v>104</v>
      </c>
      <c r="E40" s="491">
        <v>1</v>
      </c>
      <c r="F40" s="585"/>
      <c r="G40" s="585"/>
      <c r="H40" s="585"/>
      <c r="I40" s="585"/>
      <c r="J40" s="620"/>
      <c r="K40" s="587"/>
      <c r="L40" s="397" t="s">
        <v>1740</v>
      </c>
      <c r="M40" s="402" t="s">
        <v>1127</v>
      </c>
      <c r="N40" s="402" t="s">
        <v>48</v>
      </c>
      <c r="O40" s="402" t="s">
        <v>793</v>
      </c>
      <c r="P40" s="402" t="s">
        <v>1120</v>
      </c>
      <c r="Q40" s="402">
        <v>42678</v>
      </c>
      <c r="R40" s="402">
        <v>42678</v>
      </c>
      <c r="S40" s="402" t="s">
        <v>1741</v>
      </c>
      <c r="T40" s="398">
        <v>922016</v>
      </c>
      <c r="U40" s="402" t="s">
        <v>798</v>
      </c>
      <c r="V40" s="395" t="s">
        <v>1742</v>
      </c>
      <c r="W40" s="237">
        <v>1030530840</v>
      </c>
      <c r="X40" s="402" t="s">
        <v>90</v>
      </c>
      <c r="Y40" s="402" t="s">
        <v>1316</v>
      </c>
      <c r="Z40" s="237"/>
      <c r="AA40" s="547">
        <v>383</v>
      </c>
      <c r="AB40" s="416">
        <v>42372</v>
      </c>
      <c r="AC40" s="469">
        <v>584</v>
      </c>
      <c r="AD40" s="548">
        <v>6768600</v>
      </c>
      <c r="AE40" s="535"/>
      <c r="AF40" s="535"/>
      <c r="AG40" s="535"/>
      <c r="AH40" s="535"/>
      <c r="AI40" s="535"/>
      <c r="AJ40" s="535"/>
      <c r="AK40" s="535"/>
      <c r="AL40" s="535"/>
      <c r="AM40" s="535"/>
      <c r="AN40" s="535"/>
      <c r="AO40" s="535"/>
      <c r="AP40" s="535">
        <v>4317900</v>
      </c>
      <c r="AQ40" s="535">
        <f t="shared" si="2"/>
        <v>4317900</v>
      </c>
      <c r="AR40" s="535">
        <f t="shared" si="3"/>
        <v>2450700</v>
      </c>
      <c r="AS40" s="544">
        <f t="shared" si="5"/>
        <v>0.63793103448275867</v>
      </c>
      <c r="AT40" s="277">
        <f t="shared" si="4"/>
        <v>1</v>
      </c>
    </row>
    <row r="41" spans="1:46" s="25" customFormat="1" x14ac:dyDescent="0.25">
      <c r="A41" s="491">
        <v>112</v>
      </c>
      <c r="B41" s="65" t="s">
        <v>102</v>
      </c>
      <c r="C41" s="491">
        <v>1157</v>
      </c>
      <c r="D41" s="65" t="s">
        <v>104</v>
      </c>
      <c r="E41" s="491">
        <v>1</v>
      </c>
      <c r="F41" s="585"/>
      <c r="G41" s="585"/>
      <c r="H41" s="585"/>
      <c r="I41" s="585"/>
      <c r="J41" s="620"/>
      <c r="K41" s="587"/>
      <c r="L41" s="397" t="s">
        <v>1763</v>
      </c>
      <c r="M41" s="402" t="s">
        <v>1127</v>
      </c>
      <c r="N41" s="402" t="s">
        <v>48</v>
      </c>
      <c r="O41" s="402" t="s">
        <v>793</v>
      </c>
      <c r="P41" s="402" t="s">
        <v>1120</v>
      </c>
      <c r="Q41" s="448">
        <v>42720</v>
      </c>
      <c r="R41" s="448">
        <v>42720</v>
      </c>
      <c r="S41" s="407" t="s">
        <v>724</v>
      </c>
      <c r="T41" s="237">
        <v>40022011</v>
      </c>
      <c r="U41" s="402" t="s">
        <v>798</v>
      </c>
      <c r="V41" s="398" t="s">
        <v>419</v>
      </c>
      <c r="W41" s="399" t="s">
        <v>420</v>
      </c>
      <c r="X41" s="402" t="s">
        <v>90</v>
      </c>
      <c r="Y41" s="402" t="s">
        <v>1316</v>
      </c>
      <c r="Z41" s="237"/>
      <c r="AA41" s="434">
        <v>415</v>
      </c>
      <c r="AB41" s="416">
        <v>42714</v>
      </c>
      <c r="AC41" s="469">
        <v>630</v>
      </c>
      <c r="AD41" s="548">
        <v>34400000</v>
      </c>
      <c r="AE41" s="535"/>
      <c r="AF41" s="535"/>
      <c r="AG41" s="535"/>
      <c r="AH41" s="535"/>
      <c r="AI41" s="535"/>
      <c r="AJ41" s="535"/>
      <c r="AK41" s="535"/>
      <c r="AL41" s="535"/>
      <c r="AM41" s="535"/>
      <c r="AN41" s="535"/>
      <c r="AO41" s="535"/>
      <c r="AP41" s="535"/>
      <c r="AQ41" s="535">
        <f t="shared" si="2"/>
        <v>0</v>
      </c>
      <c r="AR41" s="535">
        <f t="shared" si="3"/>
        <v>34400000</v>
      </c>
      <c r="AS41" s="544">
        <f t="shared" si="5"/>
        <v>0</v>
      </c>
      <c r="AT41" s="277">
        <f t="shared" si="4"/>
        <v>0</v>
      </c>
    </row>
    <row r="42" spans="1:46" s="25" customFormat="1" x14ac:dyDescent="0.25">
      <c r="A42" s="491">
        <v>112</v>
      </c>
      <c r="B42" s="65" t="s">
        <v>102</v>
      </c>
      <c r="C42" s="491">
        <v>1157</v>
      </c>
      <c r="D42" s="65" t="s">
        <v>104</v>
      </c>
      <c r="E42" s="491">
        <v>1</v>
      </c>
      <c r="F42" s="585"/>
      <c r="G42" s="585"/>
      <c r="H42" s="585"/>
      <c r="I42" s="585"/>
      <c r="J42" s="620"/>
      <c r="K42" s="587"/>
      <c r="L42" s="397" t="s">
        <v>1763</v>
      </c>
      <c r="M42" s="402" t="s">
        <v>1127</v>
      </c>
      <c r="N42" s="402" t="s">
        <v>48</v>
      </c>
      <c r="O42" s="402" t="s">
        <v>793</v>
      </c>
      <c r="P42" s="402" t="s">
        <v>1120</v>
      </c>
      <c r="Q42" s="448">
        <v>42720</v>
      </c>
      <c r="R42" s="448">
        <v>42720</v>
      </c>
      <c r="S42" s="407" t="s">
        <v>867</v>
      </c>
      <c r="T42" s="237">
        <v>40022011</v>
      </c>
      <c r="U42" s="402" t="s">
        <v>798</v>
      </c>
      <c r="V42" s="398" t="s">
        <v>419</v>
      </c>
      <c r="W42" s="399" t="s">
        <v>420</v>
      </c>
      <c r="X42" s="402" t="s">
        <v>90</v>
      </c>
      <c r="Y42" s="402" t="s">
        <v>1316</v>
      </c>
      <c r="Z42" s="237"/>
      <c r="AA42" s="434">
        <v>416</v>
      </c>
      <c r="AB42" s="416">
        <v>42714</v>
      </c>
      <c r="AC42" s="469">
        <v>630</v>
      </c>
      <c r="AD42" s="548">
        <v>2172097434</v>
      </c>
      <c r="AE42" s="535"/>
      <c r="AF42" s="535"/>
      <c r="AG42" s="535"/>
      <c r="AH42" s="535"/>
      <c r="AI42" s="535"/>
      <c r="AJ42" s="535"/>
      <c r="AK42" s="535"/>
      <c r="AL42" s="535"/>
      <c r="AM42" s="535"/>
      <c r="AN42" s="535"/>
      <c r="AO42" s="535"/>
      <c r="AP42" s="535"/>
      <c r="AQ42" s="535">
        <f t="shared" si="2"/>
        <v>0</v>
      </c>
      <c r="AR42" s="535">
        <f t="shared" si="3"/>
        <v>2172097434</v>
      </c>
      <c r="AS42" s="544">
        <f t="shared" si="5"/>
        <v>0</v>
      </c>
      <c r="AT42" s="277">
        <f t="shared" si="4"/>
        <v>0</v>
      </c>
    </row>
    <row r="43" spans="1:46" s="25" customFormat="1" x14ac:dyDescent="0.25">
      <c r="A43" s="491">
        <v>113</v>
      </c>
      <c r="B43" s="65" t="s">
        <v>110</v>
      </c>
      <c r="C43" s="491">
        <v>1157</v>
      </c>
      <c r="D43" s="65" t="s">
        <v>104</v>
      </c>
      <c r="E43" s="491">
        <v>2</v>
      </c>
      <c r="F43" s="584" t="s">
        <v>53</v>
      </c>
      <c r="G43" s="584">
        <v>220</v>
      </c>
      <c r="H43" s="584" t="s">
        <v>61</v>
      </c>
      <c r="I43" s="584" t="s">
        <v>111</v>
      </c>
      <c r="J43" s="619"/>
      <c r="K43" s="621"/>
      <c r="L43" s="237"/>
      <c r="M43" s="237"/>
      <c r="N43" s="237"/>
      <c r="O43" s="237"/>
      <c r="P43" s="237"/>
      <c r="Q43" s="237"/>
      <c r="R43" s="237"/>
      <c r="S43" s="237"/>
      <c r="T43" s="237"/>
      <c r="U43" s="237"/>
      <c r="V43" s="237"/>
      <c r="W43" s="237"/>
      <c r="X43" s="237"/>
      <c r="Y43" s="237"/>
      <c r="Z43" s="237"/>
      <c r="AA43" s="392"/>
      <c r="AB43" s="416"/>
      <c r="AC43" s="404"/>
      <c r="AD43" s="391"/>
      <c r="AE43" s="535"/>
      <c r="AF43" s="535"/>
      <c r="AG43" s="535"/>
      <c r="AH43" s="535"/>
      <c r="AI43" s="535"/>
      <c r="AJ43" s="535"/>
      <c r="AK43" s="535"/>
      <c r="AL43" s="535"/>
      <c r="AM43" s="535"/>
      <c r="AN43" s="535"/>
      <c r="AO43" s="535"/>
      <c r="AP43" s="535"/>
      <c r="AQ43" s="535">
        <f t="shared" si="2"/>
        <v>0</v>
      </c>
      <c r="AR43" s="535">
        <f t="shared" si="3"/>
        <v>0</v>
      </c>
      <c r="AS43" s="544"/>
      <c r="AT43" s="277">
        <f t="shared" si="4"/>
        <v>0</v>
      </c>
    </row>
    <row r="44" spans="1:46" s="25" customFormat="1" x14ac:dyDescent="0.25">
      <c r="A44" s="491">
        <v>113</v>
      </c>
      <c r="B44" s="65" t="s">
        <v>110</v>
      </c>
      <c r="C44" s="491">
        <v>1157</v>
      </c>
      <c r="D44" s="65" t="s">
        <v>104</v>
      </c>
      <c r="E44" s="491">
        <v>2</v>
      </c>
      <c r="F44" s="585"/>
      <c r="G44" s="585"/>
      <c r="H44" s="585"/>
      <c r="I44" s="585"/>
      <c r="J44" s="620"/>
      <c r="K44" s="622"/>
      <c r="L44" s="237"/>
      <c r="M44" s="237"/>
      <c r="N44" s="237"/>
      <c r="O44" s="237"/>
      <c r="P44" s="237"/>
      <c r="Q44" s="237"/>
      <c r="R44" s="237"/>
      <c r="S44" s="237"/>
      <c r="T44" s="237"/>
      <c r="U44" s="237"/>
      <c r="V44" s="237"/>
      <c r="W44" s="237"/>
      <c r="X44" s="237"/>
      <c r="Y44" s="237"/>
      <c r="Z44" s="237"/>
      <c r="AA44" s="392"/>
      <c r="AB44" s="416"/>
      <c r="AC44" s="392"/>
      <c r="AD44" s="391"/>
      <c r="AE44" s="535"/>
      <c r="AF44" s="535"/>
      <c r="AG44" s="535"/>
      <c r="AH44" s="535"/>
      <c r="AI44" s="535"/>
      <c r="AJ44" s="535"/>
      <c r="AK44" s="535"/>
      <c r="AL44" s="535"/>
      <c r="AM44" s="535"/>
      <c r="AN44" s="535"/>
      <c r="AO44" s="535"/>
      <c r="AP44" s="535"/>
      <c r="AQ44" s="535">
        <f t="shared" si="2"/>
        <v>0</v>
      </c>
      <c r="AR44" s="535">
        <f t="shared" si="3"/>
        <v>0</v>
      </c>
      <c r="AS44" s="544"/>
      <c r="AT44" s="277">
        <f t="shared" si="4"/>
        <v>0</v>
      </c>
    </row>
    <row r="45" spans="1:46" s="25" customFormat="1" x14ac:dyDescent="0.25">
      <c r="A45" s="491">
        <v>113</v>
      </c>
      <c r="B45" s="65" t="s">
        <v>110</v>
      </c>
      <c r="C45" s="491">
        <v>1157</v>
      </c>
      <c r="D45" s="65" t="s">
        <v>104</v>
      </c>
      <c r="E45" s="491">
        <v>2</v>
      </c>
      <c r="F45" s="585"/>
      <c r="G45" s="585"/>
      <c r="H45" s="585"/>
      <c r="I45" s="585"/>
      <c r="J45" s="620"/>
      <c r="K45" s="622"/>
      <c r="L45" s="237"/>
      <c r="M45" s="237"/>
      <c r="N45" s="237"/>
      <c r="O45" s="237"/>
      <c r="P45" s="237"/>
      <c r="Q45" s="237"/>
      <c r="R45" s="237"/>
      <c r="S45" s="237"/>
      <c r="T45" s="237"/>
      <c r="U45" s="237"/>
      <c r="V45" s="237"/>
      <c r="W45" s="237"/>
      <c r="X45" s="237"/>
      <c r="Y45" s="237"/>
      <c r="Z45" s="237"/>
      <c r="AA45" s="392"/>
      <c r="AB45" s="416"/>
      <c r="AC45" s="404"/>
      <c r="AD45" s="391"/>
      <c r="AE45" s="535"/>
      <c r="AF45" s="535"/>
      <c r="AG45" s="535"/>
      <c r="AH45" s="535"/>
      <c r="AI45" s="535"/>
      <c r="AJ45" s="535"/>
      <c r="AK45" s="535"/>
      <c r="AL45" s="535"/>
      <c r="AM45" s="535"/>
      <c r="AN45" s="535"/>
      <c r="AO45" s="535"/>
      <c r="AP45" s="535"/>
      <c r="AQ45" s="535">
        <f t="shared" si="2"/>
        <v>0</v>
      </c>
      <c r="AR45" s="535">
        <f t="shared" si="3"/>
        <v>0</v>
      </c>
      <c r="AS45" s="544"/>
      <c r="AT45" s="277">
        <f t="shared" si="4"/>
        <v>0</v>
      </c>
    </row>
    <row r="46" spans="1:46" s="25" customFormat="1" x14ac:dyDescent="0.25">
      <c r="A46" s="490">
        <v>114</v>
      </c>
      <c r="B46" s="63" t="s">
        <v>112</v>
      </c>
      <c r="C46" s="490">
        <v>1157</v>
      </c>
      <c r="D46" s="63" t="s">
        <v>104</v>
      </c>
      <c r="E46" s="490">
        <v>3</v>
      </c>
      <c r="F46" s="584" t="s">
        <v>53</v>
      </c>
      <c r="G46" s="584">
        <v>5000</v>
      </c>
      <c r="H46" s="584" t="s">
        <v>61</v>
      </c>
      <c r="I46" s="584" t="s">
        <v>114</v>
      </c>
      <c r="J46" s="623"/>
      <c r="K46" s="625"/>
      <c r="L46" s="237"/>
      <c r="M46" s="237"/>
      <c r="N46" s="237"/>
      <c r="O46" s="191"/>
      <c r="P46" s="237"/>
      <c r="Q46" s="264"/>
      <c r="R46" s="264"/>
      <c r="S46" s="191"/>
      <c r="T46" s="237"/>
      <c r="U46" s="191"/>
      <c r="V46" s="237"/>
      <c r="W46" s="237"/>
      <c r="X46" s="259"/>
      <c r="Y46" s="191"/>
      <c r="Z46" s="237"/>
      <c r="AA46" s="392"/>
      <c r="AB46" s="416"/>
      <c r="AC46" s="404"/>
      <c r="AD46" s="391"/>
      <c r="AE46" s="535"/>
      <c r="AF46" s="535"/>
      <c r="AG46" s="535"/>
      <c r="AH46" s="535"/>
      <c r="AI46" s="535"/>
      <c r="AJ46" s="535"/>
      <c r="AK46" s="535"/>
      <c r="AL46" s="535"/>
      <c r="AM46" s="535"/>
      <c r="AN46" s="535"/>
      <c r="AO46" s="535"/>
      <c r="AP46" s="535"/>
      <c r="AQ46" s="535">
        <f t="shared" si="2"/>
        <v>0</v>
      </c>
      <c r="AR46" s="535">
        <f t="shared" si="3"/>
        <v>0</v>
      </c>
      <c r="AS46" s="544"/>
      <c r="AT46" s="277">
        <f t="shared" si="4"/>
        <v>0</v>
      </c>
    </row>
    <row r="47" spans="1:46" s="25" customFormat="1" x14ac:dyDescent="0.25">
      <c r="A47" s="490">
        <v>114</v>
      </c>
      <c r="B47" s="63" t="s">
        <v>112</v>
      </c>
      <c r="C47" s="490">
        <v>1157</v>
      </c>
      <c r="D47" s="63" t="s">
        <v>104</v>
      </c>
      <c r="E47" s="490">
        <v>3</v>
      </c>
      <c r="F47" s="585"/>
      <c r="G47" s="585"/>
      <c r="H47" s="585"/>
      <c r="I47" s="585"/>
      <c r="J47" s="624"/>
      <c r="K47" s="626"/>
      <c r="L47" s="237"/>
      <c r="M47" s="237"/>
      <c r="N47" s="237"/>
      <c r="O47" s="191"/>
      <c r="P47" s="237"/>
      <c r="Q47" s="264"/>
      <c r="R47" s="264"/>
      <c r="S47" s="191"/>
      <c r="T47" s="237"/>
      <c r="U47" s="191"/>
      <c r="V47" s="237"/>
      <c r="W47" s="237"/>
      <c r="X47" s="259"/>
      <c r="Y47" s="191"/>
      <c r="Z47" s="237"/>
      <c r="AA47" s="392"/>
      <c r="AB47" s="416"/>
      <c r="AC47" s="404"/>
      <c r="AD47" s="391"/>
      <c r="AE47" s="535"/>
      <c r="AF47" s="535"/>
      <c r="AG47" s="535"/>
      <c r="AH47" s="535"/>
      <c r="AI47" s="535"/>
      <c r="AJ47" s="535"/>
      <c r="AK47" s="535"/>
      <c r="AL47" s="535"/>
      <c r="AM47" s="535"/>
      <c r="AN47" s="535"/>
      <c r="AO47" s="535"/>
      <c r="AP47" s="535"/>
      <c r="AQ47" s="535">
        <f t="shared" si="2"/>
        <v>0</v>
      </c>
      <c r="AR47" s="535">
        <f t="shared" si="3"/>
        <v>0</v>
      </c>
      <c r="AS47" s="544"/>
      <c r="AT47" s="277">
        <f t="shared" si="4"/>
        <v>0</v>
      </c>
    </row>
    <row r="48" spans="1:46" s="25" customFormat="1" x14ac:dyDescent="0.25">
      <c r="A48" s="490">
        <v>114</v>
      </c>
      <c r="B48" s="63" t="s">
        <v>112</v>
      </c>
      <c r="C48" s="490">
        <v>1157</v>
      </c>
      <c r="D48" s="63" t="s">
        <v>104</v>
      </c>
      <c r="E48" s="490">
        <v>3</v>
      </c>
      <c r="F48" s="585"/>
      <c r="G48" s="585"/>
      <c r="H48" s="585"/>
      <c r="I48" s="585"/>
      <c r="J48" s="624"/>
      <c r="K48" s="626"/>
      <c r="L48" s="237"/>
      <c r="M48" s="237"/>
      <c r="N48" s="237"/>
      <c r="O48" s="237"/>
      <c r="P48" s="237"/>
      <c r="Q48" s="237"/>
      <c r="R48" s="237"/>
      <c r="S48" s="237"/>
      <c r="T48" s="237"/>
      <c r="U48" s="237"/>
      <c r="V48" s="237"/>
      <c r="W48" s="237"/>
      <c r="X48" s="237"/>
      <c r="Y48" s="237"/>
      <c r="Z48" s="237"/>
      <c r="AA48" s="392"/>
      <c r="AB48" s="416"/>
      <c r="AC48" s="404"/>
      <c r="AD48" s="391"/>
      <c r="AE48" s="535"/>
      <c r="AF48" s="535"/>
      <c r="AG48" s="535"/>
      <c r="AH48" s="535"/>
      <c r="AI48" s="535"/>
      <c r="AJ48" s="535"/>
      <c r="AK48" s="535"/>
      <c r="AL48" s="535"/>
      <c r="AM48" s="535"/>
      <c r="AN48" s="535"/>
      <c r="AO48" s="535"/>
      <c r="AP48" s="535"/>
      <c r="AQ48" s="535">
        <f t="shared" si="2"/>
        <v>0</v>
      </c>
      <c r="AR48" s="535">
        <f t="shared" si="3"/>
        <v>0</v>
      </c>
      <c r="AS48" s="544"/>
      <c r="AT48" s="277">
        <f t="shared" si="4"/>
        <v>0</v>
      </c>
    </row>
    <row r="49" spans="1:46" s="25" customFormat="1" x14ac:dyDescent="0.25">
      <c r="A49" s="490">
        <v>115</v>
      </c>
      <c r="B49" s="63" t="s">
        <v>116</v>
      </c>
      <c r="C49" s="490">
        <v>1157</v>
      </c>
      <c r="D49" s="63" t="s">
        <v>104</v>
      </c>
      <c r="E49" s="490">
        <v>4</v>
      </c>
      <c r="F49" s="559" t="s">
        <v>53</v>
      </c>
      <c r="G49" s="559">
        <v>1000</v>
      </c>
      <c r="H49" s="559" t="s">
        <v>61</v>
      </c>
      <c r="I49" s="559" t="s">
        <v>118</v>
      </c>
      <c r="J49" s="659"/>
      <c r="K49" s="660"/>
      <c r="L49" s="237"/>
      <c r="M49" s="237"/>
      <c r="N49" s="237"/>
      <c r="O49" s="191"/>
      <c r="P49" s="237"/>
      <c r="Q49" s="405"/>
      <c r="R49" s="351"/>
      <c r="S49" s="351"/>
      <c r="T49" s="237"/>
      <c r="U49" s="237"/>
      <c r="V49" s="237"/>
      <c r="W49" s="351"/>
      <c r="X49" s="351"/>
      <c r="Y49" s="351"/>
      <c r="Z49" s="237"/>
      <c r="AA49" s="392"/>
      <c r="AB49" s="420"/>
      <c r="AC49" s="392"/>
      <c r="AD49" s="391"/>
      <c r="AE49" s="535"/>
      <c r="AF49" s="535"/>
      <c r="AG49" s="535"/>
      <c r="AH49" s="535"/>
      <c r="AI49" s="535"/>
      <c r="AJ49" s="535"/>
      <c r="AK49" s="535"/>
      <c r="AL49" s="535"/>
      <c r="AM49" s="535"/>
      <c r="AN49" s="535"/>
      <c r="AO49" s="535"/>
      <c r="AP49" s="535"/>
      <c r="AQ49" s="535">
        <f t="shared" si="2"/>
        <v>0</v>
      </c>
      <c r="AR49" s="535">
        <f t="shared" si="3"/>
        <v>0</v>
      </c>
      <c r="AS49" s="544"/>
      <c r="AT49" s="277">
        <f t="shared" si="4"/>
        <v>0</v>
      </c>
    </row>
    <row r="50" spans="1:46" s="25" customFormat="1" x14ac:dyDescent="0.25">
      <c r="A50" s="490">
        <v>115</v>
      </c>
      <c r="B50" s="63" t="s">
        <v>116</v>
      </c>
      <c r="C50" s="490">
        <v>1157</v>
      </c>
      <c r="D50" s="63" t="s">
        <v>104</v>
      </c>
      <c r="E50" s="490">
        <v>4</v>
      </c>
      <c r="F50" s="559"/>
      <c r="G50" s="559"/>
      <c r="H50" s="559"/>
      <c r="I50" s="559"/>
      <c r="J50" s="659"/>
      <c r="K50" s="660"/>
      <c r="L50" s="237"/>
      <c r="M50" s="237"/>
      <c r="N50" s="237"/>
      <c r="O50" s="191"/>
      <c r="P50" s="237"/>
      <c r="Q50" s="405"/>
      <c r="R50" s="351"/>
      <c r="S50" s="351"/>
      <c r="T50" s="237"/>
      <c r="U50" s="237"/>
      <c r="V50" s="237"/>
      <c r="W50" s="351"/>
      <c r="X50" s="237"/>
      <c r="Y50" s="351"/>
      <c r="Z50" s="237"/>
      <c r="AA50" s="392"/>
      <c r="AB50" s="233"/>
      <c r="AC50" s="392"/>
      <c r="AD50" s="391"/>
      <c r="AE50" s="535"/>
      <c r="AF50" s="535"/>
      <c r="AG50" s="535"/>
      <c r="AH50" s="535"/>
      <c r="AI50" s="535"/>
      <c r="AJ50" s="535"/>
      <c r="AK50" s="535"/>
      <c r="AL50" s="535"/>
      <c r="AM50" s="535"/>
      <c r="AN50" s="535"/>
      <c r="AO50" s="535"/>
      <c r="AP50" s="535"/>
      <c r="AQ50" s="535">
        <f t="shared" si="2"/>
        <v>0</v>
      </c>
      <c r="AR50" s="535">
        <f t="shared" si="3"/>
        <v>0</v>
      </c>
      <c r="AS50" s="544"/>
      <c r="AT50" s="277">
        <f t="shared" si="4"/>
        <v>0</v>
      </c>
    </row>
    <row r="51" spans="1:46" s="25" customFormat="1" x14ac:dyDescent="0.25">
      <c r="A51" s="490">
        <v>115</v>
      </c>
      <c r="B51" s="63" t="s">
        <v>116</v>
      </c>
      <c r="C51" s="490">
        <v>1157</v>
      </c>
      <c r="D51" s="63" t="s">
        <v>104</v>
      </c>
      <c r="E51" s="490">
        <v>4</v>
      </c>
      <c r="F51" s="559"/>
      <c r="G51" s="559"/>
      <c r="H51" s="559"/>
      <c r="I51" s="559"/>
      <c r="J51" s="659"/>
      <c r="K51" s="660"/>
      <c r="L51" s="237"/>
      <c r="M51" s="237"/>
      <c r="N51" s="237"/>
      <c r="O51" s="237"/>
      <c r="P51" s="237"/>
      <c r="Q51" s="237"/>
      <c r="R51" s="237"/>
      <c r="S51" s="237"/>
      <c r="T51" s="237"/>
      <c r="U51" s="237"/>
      <c r="V51" s="237"/>
      <c r="W51" s="237"/>
      <c r="X51" s="237"/>
      <c r="Y51" s="237"/>
      <c r="Z51" s="237"/>
      <c r="AA51" s="417"/>
      <c r="AB51" s="233"/>
      <c r="AC51" s="392"/>
      <c r="AD51" s="391"/>
      <c r="AE51" s="535"/>
      <c r="AF51" s="535"/>
      <c r="AG51" s="535"/>
      <c r="AH51" s="535"/>
      <c r="AI51" s="535"/>
      <c r="AJ51" s="535"/>
      <c r="AK51" s="535"/>
      <c r="AL51" s="535"/>
      <c r="AM51" s="535"/>
      <c r="AN51" s="535"/>
      <c r="AO51" s="535"/>
      <c r="AP51" s="535"/>
      <c r="AQ51" s="535">
        <f t="shared" si="2"/>
        <v>0</v>
      </c>
      <c r="AR51" s="535">
        <f t="shared" si="3"/>
        <v>0</v>
      </c>
      <c r="AS51" s="544"/>
      <c r="AT51" s="277">
        <f t="shared" si="4"/>
        <v>0</v>
      </c>
    </row>
    <row r="52" spans="1:46" s="68" customFormat="1" x14ac:dyDescent="0.25">
      <c r="A52" s="490">
        <v>116</v>
      </c>
      <c r="B52" s="63" t="s">
        <v>120</v>
      </c>
      <c r="C52" s="490">
        <v>1161</v>
      </c>
      <c r="D52" s="63" t="s">
        <v>122</v>
      </c>
      <c r="E52" s="490">
        <v>3</v>
      </c>
      <c r="F52" s="584" t="s">
        <v>123</v>
      </c>
      <c r="G52" s="584">
        <v>2</v>
      </c>
      <c r="H52" s="584" t="s">
        <v>124</v>
      </c>
      <c r="I52" s="584" t="s">
        <v>125</v>
      </c>
      <c r="J52" s="619"/>
      <c r="K52" s="621"/>
      <c r="L52" s="192"/>
      <c r="M52" s="192"/>
      <c r="N52" s="192"/>
      <c r="O52" s="192"/>
      <c r="P52" s="192"/>
      <c r="Q52" s="192"/>
      <c r="R52" s="192"/>
      <c r="S52" s="192"/>
      <c r="T52" s="192"/>
      <c r="U52" s="192"/>
      <c r="V52" s="192"/>
      <c r="W52" s="192"/>
      <c r="X52" s="192"/>
      <c r="Y52" s="192"/>
      <c r="Z52" s="192"/>
      <c r="AA52" s="457"/>
      <c r="AB52" s="173"/>
      <c r="AC52" s="366"/>
      <c r="AD52" s="391"/>
      <c r="AE52" s="535"/>
      <c r="AF52" s="535"/>
      <c r="AG52" s="535"/>
      <c r="AH52" s="535"/>
      <c r="AI52" s="535"/>
      <c r="AJ52" s="535"/>
      <c r="AK52" s="535"/>
      <c r="AL52" s="535"/>
      <c r="AM52" s="535"/>
      <c r="AN52" s="535"/>
      <c r="AO52" s="535"/>
      <c r="AP52" s="535"/>
      <c r="AQ52" s="535">
        <f t="shared" si="2"/>
        <v>0</v>
      </c>
      <c r="AR52" s="535">
        <f t="shared" si="3"/>
        <v>0</v>
      </c>
      <c r="AS52" s="544"/>
      <c r="AT52" s="277">
        <f t="shared" si="4"/>
        <v>0</v>
      </c>
    </row>
    <row r="53" spans="1:46" s="68" customFormat="1" x14ac:dyDescent="0.25">
      <c r="A53" s="490">
        <v>116</v>
      </c>
      <c r="B53" s="63" t="s">
        <v>120</v>
      </c>
      <c r="C53" s="490">
        <v>1161</v>
      </c>
      <c r="D53" s="63" t="s">
        <v>122</v>
      </c>
      <c r="E53" s="490">
        <v>3</v>
      </c>
      <c r="F53" s="585"/>
      <c r="G53" s="585"/>
      <c r="H53" s="585"/>
      <c r="I53" s="585"/>
      <c r="J53" s="620"/>
      <c r="K53" s="622"/>
      <c r="L53" s="192"/>
      <c r="M53" s="192"/>
      <c r="N53" s="192"/>
      <c r="O53" s="192"/>
      <c r="P53" s="192"/>
      <c r="Q53" s="192"/>
      <c r="R53" s="192"/>
      <c r="S53" s="192"/>
      <c r="T53" s="192"/>
      <c r="U53" s="192"/>
      <c r="V53" s="192"/>
      <c r="W53" s="192"/>
      <c r="X53" s="192"/>
      <c r="Y53" s="192"/>
      <c r="Z53" s="192"/>
      <c r="AA53" s="457"/>
      <c r="AB53" s="173"/>
      <c r="AC53" s="366"/>
      <c r="AD53" s="391"/>
      <c r="AE53" s="535"/>
      <c r="AF53" s="535"/>
      <c r="AG53" s="535"/>
      <c r="AH53" s="535"/>
      <c r="AI53" s="535"/>
      <c r="AJ53" s="535"/>
      <c r="AK53" s="535"/>
      <c r="AL53" s="535"/>
      <c r="AM53" s="535"/>
      <c r="AN53" s="535"/>
      <c r="AO53" s="535"/>
      <c r="AP53" s="535"/>
      <c r="AQ53" s="535">
        <f t="shared" si="2"/>
        <v>0</v>
      </c>
      <c r="AR53" s="535">
        <f t="shared" si="3"/>
        <v>0</v>
      </c>
      <c r="AS53" s="544"/>
      <c r="AT53" s="277">
        <f t="shared" si="4"/>
        <v>0</v>
      </c>
    </row>
    <row r="54" spans="1:46" s="68" customFormat="1" x14ac:dyDescent="0.25">
      <c r="A54" s="490">
        <v>116</v>
      </c>
      <c r="B54" s="63" t="s">
        <v>120</v>
      </c>
      <c r="C54" s="490">
        <v>1161</v>
      </c>
      <c r="D54" s="63" t="s">
        <v>122</v>
      </c>
      <c r="E54" s="490">
        <v>3</v>
      </c>
      <c r="F54" s="585"/>
      <c r="G54" s="585"/>
      <c r="H54" s="585"/>
      <c r="I54" s="585"/>
      <c r="J54" s="620"/>
      <c r="K54" s="622"/>
      <c r="L54" s="192"/>
      <c r="M54" s="192"/>
      <c r="N54" s="192"/>
      <c r="O54" s="192"/>
      <c r="P54" s="192"/>
      <c r="Q54" s="192"/>
      <c r="R54" s="192"/>
      <c r="S54" s="192"/>
      <c r="T54" s="192"/>
      <c r="U54" s="192"/>
      <c r="V54" s="192"/>
      <c r="W54" s="192"/>
      <c r="X54" s="192"/>
      <c r="Y54" s="192"/>
      <c r="Z54" s="192"/>
      <c r="AA54" s="457"/>
      <c r="AB54" s="173"/>
      <c r="AC54" s="366"/>
      <c r="AD54" s="391"/>
      <c r="AE54" s="535"/>
      <c r="AF54" s="535"/>
      <c r="AG54" s="535"/>
      <c r="AH54" s="535"/>
      <c r="AI54" s="535"/>
      <c r="AJ54" s="535"/>
      <c r="AK54" s="535"/>
      <c r="AL54" s="535"/>
      <c r="AM54" s="535"/>
      <c r="AN54" s="535"/>
      <c r="AO54" s="535"/>
      <c r="AP54" s="535"/>
      <c r="AQ54" s="535">
        <f t="shared" si="2"/>
        <v>0</v>
      </c>
      <c r="AR54" s="535">
        <f t="shared" si="3"/>
        <v>0</v>
      </c>
      <c r="AS54" s="544"/>
      <c r="AT54" s="277">
        <f t="shared" si="4"/>
        <v>0</v>
      </c>
    </row>
    <row r="55" spans="1:46" s="68" customFormat="1" x14ac:dyDescent="0.25">
      <c r="A55" s="491">
        <v>117</v>
      </c>
      <c r="B55" s="65" t="s">
        <v>128</v>
      </c>
      <c r="C55" s="491">
        <v>1161</v>
      </c>
      <c r="D55" s="65" t="s">
        <v>122</v>
      </c>
      <c r="E55" s="491">
        <v>1</v>
      </c>
      <c r="F55" s="584" t="s">
        <v>130</v>
      </c>
      <c r="G55" s="584">
        <v>9</v>
      </c>
      <c r="H55" s="584" t="s">
        <v>131</v>
      </c>
      <c r="I55" s="584" t="s">
        <v>132</v>
      </c>
      <c r="J55" s="619"/>
      <c r="K55" s="621"/>
      <c r="L55" s="431" t="s">
        <v>1764</v>
      </c>
      <c r="M55" s="192" t="s">
        <v>1611</v>
      </c>
      <c r="N55" s="192" t="s">
        <v>1765</v>
      </c>
      <c r="O55" s="192" t="s">
        <v>801</v>
      </c>
      <c r="P55" s="431" t="s">
        <v>1315</v>
      </c>
      <c r="Q55" s="432">
        <v>42730</v>
      </c>
      <c r="R55" s="401"/>
      <c r="S55" s="192" t="s">
        <v>512</v>
      </c>
      <c r="T55" s="431" t="s">
        <v>1766</v>
      </c>
      <c r="U55" s="192" t="s">
        <v>1287</v>
      </c>
      <c r="V55" s="431" t="s">
        <v>1767</v>
      </c>
      <c r="W55" s="192" t="s">
        <v>1768</v>
      </c>
      <c r="X55" s="451" t="s">
        <v>1773</v>
      </c>
      <c r="Y55" s="192" t="s">
        <v>870</v>
      </c>
      <c r="Z55" s="192" t="s">
        <v>1781</v>
      </c>
      <c r="AA55" s="458">
        <v>379</v>
      </c>
      <c r="AB55" s="430">
        <v>42681</v>
      </c>
      <c r="AC55" s="459">
        <v>654</v>
      </c>
      <c r="AD55" s="534">
        <v>44025720</v>
      </c>
      <c r="AE55" s="535"/>
      <c r="AF55" s="535"/>
      <c r="AG55" s="535"/>
      <c r="AH55" s="535"/>
      <c r="AI55" s="535"/>
      <c r="AJ55" s="535"/>
      <c r="AK55" s="535"/>
      <c r="AL55" s="535"/>
      <c r="AM55" s="535"/>
      <c r="AN55" s="535"/>
      <c r="AO55" s="535"/>
      <c r="AP55" s="535"/>
      <c r="AQ55" s="535">
        <f t="shared" si="2"/>
        <v>0</v>
      </c>
      <c r="AR55" s="535">
        <f t="shared" si="3"/>
        <v>44025720</v>
      </c>
      <c r="AS55" s="544">
        <f t="shared" si="5"/>
        <v>0</v>
      </c>
      <c r="AT55" s="277">
        <f t="shared" si="4"/>
        <v>0</v>
      </c>
    </row>
    <row r="56" spans="1:46" s="68" customFormat="1" x14ac:dyDescent="0.25">
      <c r="A56" s="491">
        <v>117</v>
      </c>
      <c r="B56" s="65" t="s">
        <v>128</v>
      </c>
      <c r="C56" s="491">
        <v>1161</v>
      </c>
      <c r="D56" s="65" t="s">
        <v>122</v>
      </c>
      <c r="E56" s="491">
        <v>1</v>
      </c>
      <c r="F56" s="585"/>
      <c r="G56" s="585"/>
      <c r="H56" s="585"/>
      <c r="I56" s="585"/>
      <c r="J56" s="620"/>
      <c r="K56" s="622"/>
      <c r="L56" s="431" t="s">
        <v>1769</v>
      </c>
      <c r="M56" s="192" t="s">
        <v>1611</v>
      </c>
      <c r="N56" s="192" t="s">
        <v>1765</v>
      </c>
      <c r="O56" s="192" t="s">
        <v>801</v>
      </c>
      <c r="P56" s="431" t="s">
        <v>1315</v>
      </c>
      <c r="Q56" s="432">
        <v>42705</v>
      </c>
      <c r="R56" s="401">
        <v>42723</v>
      </c>
      <c r="S56" s="192" t="s">
        <v>378</v>
      </c>
      <c r="T56" s="431" t="s">
        <v>1770</v>
      </c>
      <c r="U56" s="192" t="s">
        <v>1287</v>
      </c>
      <c r="V56" s="431" t="s">
        <v>1771</v>
      </c>
      <c r="W56" s="192" t="s">
        <v>1772</v>
      </c>
      <c r="X56" s="451" t="s">
        <v>1774</v>
      </c>
      <c r="Y56" s="192" t="s">
        <v>884</v>
      </c>
      <c r="Z56" s="192" t="s">
        <v>1782</v>
      </c>
      <c r="AA56" s="458">
        <v>367</v>
      </c>
      <c r="AB56" s="430">
        <v>42655</v>
      </c>
      <c r="AC56" s="459">
        <v>619</v>
      </c>
      <c r="AD56" s="534">
        <v>108340134</v>
      </c>
      <c r="AE56" s="535"/>
      <c r="AF56" s="535"/>
      <c r="AG56" s="535"/>
      <c r="AH56" s="535"/>
      <c r="AI56" s="535"/>
      <c r="AJ56" s="535"/>
      <c r="AK56" s="535"/>
      <c r="AL56" s="535"/>
      <c r="AM56" s="535"/>
      <c r="AN56" s="535"/>
      <c r="AO56" s="535"/>
      <c r="AP56" s="535"/>
      <c r="AQ56" s="535">
        <f t="shared" si="2"/>
        <v>0</v>
      </c>
      <c r="AR56" s="535">
        <f t="shared" si="3"/>
        <v>108340134</v>
      </c>
      <c r="AS56" s="544">
        <f t="shared" si="5"/>
        <v>0</v>
      </c>
      <c r="AT56" s="277">
        <f t="shared" si="4"/>
        <v>0</v>
      </c>
    </row>
    <row r="57" spans="1:46" s="68" customFormat="1" x14ac:dyDescent="0.25">
      <c r="A57" s="491">
        <v>117</v>
      </c>
      <c r="B57" s="65" t="s">
        <v>128</v>
      </c>
      <c r="C57" s="491">
        <v>1161</v>
      </c>
      <c r="D57" s="65" t="s">
        <v>122</v>
      </c>
      <c r="E57" s="491">
        <v>1</v>
      </c>
      <c r="F57" s="585"/>
      <c r="G57" s="585"/>
      <c r="H57" s="585"/>
      <c r="I57" s="585"/>
      <c r="J57" s="620"/>
      <c r="K57" s="622"/>
      <c r="L57" s="431" t="s">
        <v>1775</v>
      </c>
      <c r="M57" s="192" t="s">
        <v>1611</v>
      </c>
      <c r="N57" s="192" t="s">
        <v>1765</v>
      </c>
      <c r="O57" s="192" t="s">
        <v>801</v>
      </c>
      <c r="P57" s="431" t="s">
        <v>1315</v>
      </c>
      <c r="Q57" s="432">
        <v>42709</v>
      </c>
      <c r="R57" s="401"/>
      <c r="S57" s="192" t="s">
        <v>378</v>
      </c>
      <c r="T57" s="431" t="s">
        <v>1776</v>
      </c>
      <c r="U57" s="192" t="s">
        <v>1287</v>
      </c>
      <c r="V57" s="431" t="s">
        <v>1767</v>
      </c>
      <c r="W57" s="192" t="s">
        <v>1768</v>
      </c>
      <c r="X57" s="451" t="s">
        <v>1795</v>
      </c>
      <c r="Y57" s="192" t="s">
        <v>870</v>
      </c>
      <c r="Z57" s="192" t="s">
        <v>1783</v>
      </c>
      <c r="AA57" s="458">
        <v>350</v>
      </c>
      <c r="AB57" s="430">
        <v>42633</v>
      </c>
      <c r="AC57" s="459">
        <v>621</v>
      </c>
      <c r="AD57" s="534">
        <v>41706118</v>
      </c>
      <c r="AE57" s="535"/>
      <c r="AF57" s="535"/>
      <c r="AG57" s="535"/>
      <c r="AH57" s="535"/>
      <c r="AI57" s="535"/>
      <c r="AJ57" s="535"/>
      <c r="AK57" s="535"/>
      <c r="AL57" s="535"/>
      <c r="AM57" s="535"/>
      <c r="AN57" s="535"/>
      <c r="AO57" s="535"/>
      <c r="AP57" s="535"/>
      <c r="AQ57" s="535">
        <f t="shared" si="2"/>
        <v>0</v>
      </c>
      <c r="AR57" s="535">
        <f t="shared" si="3"/>
        <v>41706118</v>
      </c>
      <c r="AS57" s="544">
        <f t="shared" si="5"/>
        <v>0</v>
      </c>
      <c r="AT57" s="277">
        <f t="shared" si="4"/>
        <v>0</v>
      </c>
    </row>
    <row r="58" spans="1:46" s="68" customFormat="1" x14ac:dyDescent="0.25">
      <c r="A58" s="491">
        <v>117</v>
      </c>
      <c r="B58" s="65" t="s">
        <v>128</v>
      </c>
      <c r="C58" s="491">
        <v>1161</v>
      </c>
      <c r="D58" s="65" t="s">
        <v>122</v>
      </c>
      <c r="E58" s="491">
        <v>1</v>
      </c>
      <c r="F58" s="585"/>
      <c r="G58" s="585"/>
      <c r="H58" s="585"/>
      <c r="I58" s="585"/>
      <c r="J58" s="620"/>
      <c r="K58" s="622"/>
      <c r="L58" s="431" t="s">
        <v>1777</v>
      </c>
      <c r="M58" s="192" t="s">
        <v>1611</v>
      </c>
      <c r="N58" s="192" t="s">
        <v>1765</v>
      </c>
      <c r="O58" s="192" t="s">
        <v>801</v>
      </c>
      <c r="P58" s="431" t="s">
        <v>1315</v>
      </c>
      <c r="Q58" s="432">
        <v>42713</v>
      </c>
      <c r="R58" s="432">
        <v>42730</v>
      </c>
      <c r="S58" s="192" t="s">
        <v>378</v>
      </c>
      <c r="T58" s="431" t="s">
        <v>1778</v>
      </c>
      <c r="U58" s="192" t="s">
        <v>1287</v>
      </c>
      <c r="V58" s="431" t="s">
        <v>1779</v>
      </c>
      <c r="W58" s="278">
        <v>900142466</v>
      </c>
      <c r="X58" s="451" t="s">
        <v>1780</v>
      </c>
      <c r="Y58" s="192" t="s">
        <v>884</v>
      </c>
      <c r="Z58" s="192" t="s">
        <v>1784</v>
      </c>
      <c r="AA58" s="458">
        <v>360</v>
      </c>
      <c r="AB58" s="430">
        <v>42647</v>
      </c>
      <c r="AC58" s="459">
        <v>624</v>
      </c>
      <c r="AD58" s="534">
        <v>85730400</v>
      </c>
      <c r="AE58" s="535"/>
      <c r="AF58" s="535"/>
      <c r="AG58" s="535"/>
      <c r="AH58" s="535"/>
      <c r="AI58" s="535"/>
      <c r="AJ58" s="535"/>
      <c r="AK58" s="535"/>
      <c r="AL58" s="535"/>
      <c r="AM58" s="535"/>
      <c r="AN58" s="535"/>
      <c r="AO58" s="535"/>
      <c r="AP58" s="535"/>
      <c r="AQ58" s="535">
        <f t="shared" si="2"/>
        <v>0</v>
      </c>
      <c r="AR58" s="535">
        <f t="shared" si="3"/>
        <v>85730400</v>
      </c>
      <c r="AS58" s="544">
        <f t="shared" si="5"/>
        <v>0</v>
      </c>
      <c r="AT58" s="277">
        <f t="shared" si="4"/>
        <v>0</v>
      </c>
    </row>
    <row r="59" spans="1:46" s="68" customFormat="1" x14ac:dyDescent="0.25">
      <c r="A59" s="491">
        <v>117</v>
      </c>
      <c r="B59" s="65" t="s">
        <v>128</v>
      </c>
      <c r="C59" s="491">
        <v>1161</v>
      </c>
      <c r="D59" s="65" t="s">
        <v>122</v>
      </c>
      <c r="E59" s="491">
        <v>1</v>
      </c>
      <c r="F59" s="585"/>
      <c r="G59" s="585"/>
      <c r="H59" s="585"/>
      <c r="I59" s="585"/>
      <c r="J59" s="620"/>
      <c r="K59" s="622"/>
      <c r="L59" s="431" t="s">
        <v>1785</v>
      </c>
      <c r="M59" s="192" t="s">
        <v>1611</v>
      </c>
      <c r="N59" s="192" t="s">
        <v>1765</v>
      </c>
      <c r="O59" s="192" t="s">
        <v>801</v>
      </c>
      <c r="P59" s="431" t="s">
        <v>1315</v>
      </c>
      <c r="Q59" s="432">
        <v>42717</v>
      </c>
      <c r="R59" s="401">
        <v>42719</v>
      </c>
      <c r="S59" s="192" t="s">
        <v>378</v>
      </c>
      <c r="T59" s="431" t="s">
        <v>1786</v>
      </c>
      <c r="U59" s="192" t="s">
        <v>1287</v>
      </c>
      <c r="V59" s="431" t="s">
        <v>1787</v>
      </c>
      <c r="W59" s="278">
        <v>900389754</v>
      </c>
      <c r="X59" s="451" t="s">
        <v>1794</v>
      </c>
      <c r="Y59" s="192" t="s">
        <v>884</v>
      </c>
      <c r="Z59" s="192" t="s">
        <v>1788</v>
      </c>
      <c r="AA59" s="458">
        <v>381</v>
      </c>
      <c r="AB59" s="430">
        <v>42671</v>
      </c>
      <c r="AC59" s="459">
        <v>625</v>
      </c>
      <c r="AD59" s="534">
        <v>190959500</v>
      </c>
      <c r="AE59" s="535"/>
      <c r="AF59" s="535"/>
      <c r="AG59" s="535"/>
      <c r="AH59" s="535"/>
      <c r="AI59" s="535"/>
      <c r="AJ59" s="535"/>
      <c r="AK59" s="535"/>
      <c r="AL59" s="535"/>
      <c r="AM59" s="535"/>
      <c r="AN59" s="535"/>
      <c r="AO59" s="535"/>
      <c r="AP59" s="535"/>
      <c r="AQ59" s="535">
        <f t="shared" si="2"/>
        <v>0</v>
      </c>
      <c r="AR59" s="535">
        <f t="shared" si="3"/>
        <v>190959500</v>
      </c>
      <c r="AS59" s="544">
        <f t="shared" si="5"/>
        <v>0</v>
      </c>
      <c r="AT59" s="277">
        <f t="shared" si="4"/>
        <v>0</v>
      </c>
    </row>
    <row r="60" spans="1:46" s="68" customFormat="1" x14ac:dyDescent="0.25">
      <c r="A60" s="491">
        <v>117</v>
      </c>
      <c r="B60" s="65" t="s">
        <v>128</v>
      </c>
      <c r="C60" s="491">
        <v>1161</v>
      </c>
      <c r="D60" s="65" t="s">
        <v>122</v>
      </c>
      <c r="E60" s="491">
        <v>1</v>
      </c>
      <c r="F60" s="585"/>
      <c r="G60" s="585"/>
      <c r="H60" s="585"/>
      <c r="I60" s="585"/>
      <c r="J60" s="620"/>
      <c r="K60" s="622"/>
      <c r="L60" s="431" t="s">
        <v>1789</v>
      </c>
      <c r="M60" s="192" t="s">
        <v>1611</v>
      </c>
      <c r="N60" s="192" t="s">
        <v>1765</v>
      </c>
      <c r="O60" s="192" t="s">
        <v>801</v>
      </c>
      <c r="P60" s="431" t="s">
        <v>1315</v>
      </c>
      <c r="Q60" s="401">
        <v>42733</v>
      </c>
      <c r="R60" s="401"/>
      <c r="S60" s="192" t="s">
        <v>512</v>
      </c>
      <c r="T60" s="431" t="s">
        <v>1790</v>
      </c>
      <c r="U60" s="192" t="s">
        <v>1287</v>
      </c>
      <c r="V60" s="431" t="s">
        <v>1791</v>
      </c>
      <c r="W60" s="192" t="s">
        <v>1792</v>
      </c>
      <c r="X60" s="451" t="s">
        <v>1796</v>
      </c>
      <c r="Y60" s="192" t="s">
        <v>870</v>
      </c>
      <c r="Z60" s="192" t="s">
        <v>1793</v>
      </c>
      <c r="AA60" s="458">
        <v>417</v>
      </c>
      <c r="AB60" s="430">
        <v>42717</v>
      </c>
      <c r="AC60" s="459">
        <v>663</v>
      </c>
      <c r="AD60" s="534">
        <v>17101158</v>
      </c>
      <c r="AE60" s="535"/>
      <c r="AF60" s="535"/>
      <c r="AG60" s="535"/>
      <c r="AH60" s="535"/>
      <c r="AI60" s="535"/>
      <c r="AJ60" s="535"/>
      <c r="AK60" s="535"/>
      <c r="AL60" s="535"/>
      <c r="AM60" s="535"/>
      <c r="AN60" s="535"/>
      <c r="AO60" s="535"/>
      <c r="AP60" s="535"/>
      <c r="AQ60" s="535">
        <f t="shared" si="2"/>
        <v>0</v>
      </c>
      <c r="AR60" s="535">
        <f t="shared" si="3"/>
        <v>17101158</v>
      </c>
      <c r="AS60" s="544">
        <f t="shared" si="5"/>
        <v>0</v>
      </c>
      <c r="AT60" s="277">
        <f t="shared" si="4"/>
        <v>0</v>
      </c>
    </row>
    <row r="61" spans="1:46" s="68" customFormat="1" x14ac:dyDescent="0.25">
      <c r="A61" s="491">
        <v>118</v>
      </c>
      <c r="B61" s="65" t="s">
        <v>134</v>
      </c>
      <c r="C61" s="491">
        <v>1163</v>
      </c>
      <c r="D61" s="65" t="s">
        <v>136</v>
      </c>
      <c r="E61" s="491">
        <v>1</v>
      </c>
      <c r="F61" s="584" t="s">
        <v>53</v>
      </c>
      <c r="G61" s="584">
        <v>4500</v>
      </c>
      <c r="H61" s="584" t="s">
        <v>61</v>
      </c>
      <c r="I61" s="584" t="s">
        <v>137</v>
      </c>
      <c r="J61" s="664"/>
      <c r="K61" s="666"/>
      <c r="L61" s="395" t="s">
        <v>1802</v>
      </c>
      <c r="M61" s="192" t="s">
        <v>1611</v>
      </c>
      <c r="N61" s="192" t="s">
        <v>1803</v>
      </c>
      <c r="O61" s="191" t="s">
        <v>1813</v>
      </c>
      <c r="P61" s="278" t="s">
        <v>1315</v>
      </c>
      <c r="Q61" s="428">
        <v>42724</v>
      </c>
      <c r="R61" s="428"/>
      <c r="S61" s="191" t="s">
        <v>807</v>
      </c>
      <c r="T61" s="191" t="s">
        <v>1805</v>
      </c>
      <c r="U61" s="191" t="s">
        <v>1287</v>
      </c>
      <c r="V61" s="192" t="s">
        <v>1761</v>
      </c>
      <c r="W61" s="433" t="s">
        <v>1762</v>
      </c>
      <c r="X61" s="191">
        <v>510</v>
      </c>
      <c r="Y61" s="429" t="s">
        <v>1669</v>
      </c>
      <c r="Z61" s="279" t="s">
        <v>1806</v>
      </c>
      <c r="AA61" s="366">
        <v>370</v>
      </c>
      <c r="AB61" s="430">
        <v>42651</v>
      </c>
      <c r="AC61" s="366">
        <v>648</v>
      </c>
      <c r="AD61" s="534">
        <v>293142730</v>
      </c>
      <c r="AE61" s="535"/>
      <c r="AF61" s="535"/>
      <c r="AG61" s="535"/>
      <c r="AH61" s="535"/>
      <c r="AI61" s="535"/>
      <c r="AJ61" s="535"/>
      <c r="AK61" s="535"/>
      <c r="AL61" s="535"/>
      <c r="AM61" s="535"/>
      <c r="AN61" s="535"/>
      <c r="AO61" s="535"/>
      <c r="AP61" s="535"/>
      <c r="AQ61" s="535">
        <f t="shared" si="2"/>
        <v>0</v>
      </c>
      <c r="AR61" s="535">
        <f t="shared" si="3"/>
        <v>293142730</v>
      </c>
      <c r="AS61" s="544">
        <f t="shared" si="5"/>
        <v>0</v>
      </c>
      <c r="AT61" s="277">
        <f t="shared" si="4"/>
        <v>0</v>
      </c>
    </row>
    <row r="62" spans="1:46" s="68" customFormat="1" x14ac:dyDescent="0.25">
      <c r="A62" s="491">
        <v>118</v>
      </c>
      <c r="B62" s="65" t="s">
        <v>134</v>
      </c>
      <c r="C62" s="491">
        <v>1163</v>
      </c>
      <c r="D62" s="65" t="s">
        <v>136</v>
      </c>
      <c r="E62" s="491">
        <v>1</v>
      </c>
      <c r="F62" s="585"/>
      <c r="G62" s="585"/>
      <c r="H62" s="585"/>
      <c r="I62" s="585"/>
      <c r="J62" s="665"/>
      <c r="K62" s="667"/>
      <c r="L62" s="395" t="s">
        <v>1812</v>
      </c>
      <c r="M62" s="192" t="s">
        <v>1611</v>
      </c>
      <c r="N62" s="192" t="s">
        <v>1803</v>
      </c>
      <c r="O62" s="191" t="s">
        <v>1804</v>
      </c>
      <c r="P62" s="278" t="s">
        <v>1315</v>
      </c>
      <c r="Q62" s="428">
        <v>42733</v>
      </c>
      <c r="R62" s="192"/>
      <c r="S62" s="191" t="s">
        <v>378</v>
      </c>
      <c r="T62" s="191" t="s">
        <v>1814</v>
      </c>
      <c r="U62" s="191" t="s">
        <v>1287</v>
      </c>
      <c r="V62" s="192" t="s">
        <v>1815</v>
      </c>
      <c r="W62" s="433">
        <v>830059289</v>
      </c>
      <c r="X62" s="191">
        <v>350</v>
      </c>
      <c r="Y62" s="429" t="s">
        <v>1669</v>
      </c>
      <c r="Z62" s="279" t="s">
        <v>1811</v>
      </c>
      <c r="AA62" s="366">
        <v>391</v>
      </c>
      <c r="AB62" s="430">
        <v>42673</v>
      </c>
      <c r="AC62" s="366">
        <v>723</v>
      </c>
      <c r="AD62" s="534">
        <v>178566195</v>
      </c>
      <c r="AE62" s="535"/>
      <c r="AF62" s="535"/>
      <c r="AG62" s="535"/>
      <c r="AH62" s="537"/>
      <c r="AI62" s="538"/>
      <c r="AJ62" s="537"/>
      <c r="AK62" s="537"/>
      <c r="AL62" s="535"/>
      <c r="AM62" s="535"/>
      <c r="AN62" s="535"/>
      <c r="AO62" s="535"/>
      <c r="AP62" s="535"/>
      <c r="AQ62" s="535">
        <f t="shared" si="2"/>
        <v>0</v>
      </c>
      <c r="AR62" s="535">
        <f t="shared" si="3"/>
        <v>178566195</v>
      </c>
      <c r="AS62" s="544">
        <f t="shared" si="5"/>
        <v>0</v>
      </c>
      <c r="AT62" s="277">
        <f t="shared" si="4"/>
        <v>0</v>
      </c>
    </row>
    <row r="63" spans="1:46" s="68" customFormat="1" x14ac:dyDescent="0.25">
      <c r="A63" s="491">
        <v>118</v>
      </c>
      <c r="B63" s="65" t="s">
        <v>134</v>
      </c>
      <c r="C63" s="491">
        <v>1163</v>
      </c>
      <c r="D63" s="65" t="s">
        <v>136</v>
      </c>
      <c r="E63" s="491">
        <v>1</v>
      </c>
      <c r="F63" s="585"/>
      <c r="G63" s="585"/>
      <c r="H63" s="585"/>
      <c r="I63" s="585"/>
      <c r="J63" s="665"/>
      <c r="K63" s="667"/>
      <c r="L63" s="395" t="s">
        <v>1807</v>
      </c>
      <c r="M63" s="192" t="s">
        <v>1611</v>
      </c>
      <c r="N63" s="192" t="s">
        <v>1803</v>
      </c>
      <c r="O63" s="191" t="s">
        <v>1804</v>
      </c>
      <c r="P63" s="278" t="s">
        <v>1315</v>
      </c>
      <c r="Q63" s="428">
        <v>42732</v>
      </c>
      <c r="R63" s="428"/>
      <c r="S63" s="191" t="s">
        <v>807</v>
      </c>
      <c r="T63" s="191" t="s">
        <v>1808</v>
      </c>
      <c r="U63" s="191" t="s">
        <v>1287</v>
      </c>
      <c r="V63" s="192" t="s">
        <v>1809</v>
      </c>
      <c r="W63" s="433">
        <v>830091341</v>
      </c>
      <c r="X63" s="191">
        <v>275</v>
      </c>
      <c r="Y63" s="429" t="s">
        <v>1669</v>
      </c>
      <c r="Z63" s="192" t="s">
        <v>1810</v>
      </c>
      <c r="AA63" s="366">
        <v>371</v>
      </c>
      <c r="AB63" s="430">
        <v>42651</v>
      </c>
      <c r="AC63" s="366">
        <v>660</v>
      </c>
      <c r="AD63" s="534">
        <v>154988414</v>
      </c>
      <c r="AE63" s="535"/>
      <c r="AF63" s="535"/>
      <c r="AG63" s="535"/>
      <c r="AH63" s="537"/>
      <c r="AI63" s="538"/>
      <c r="AJ63" s="537"/>
      <c r="AK63" s="537"/>
      <c r="AL63" s="535"/>
      <c r="AM63" s="535"/>
      <c r="AN63" s="535"/>
      <c r="AO63" s="535"/>
      <c r="AP63" s="535"/>
      <c r="AQ63" s="535">
        <f t="shared" si="2"/>
        <v>0</v>
      </c>
      <c r="AR63" s="535">
        <f t="shared" si="3"/>
        <v>154988414</v>
      </c>
      <c r="AS63" s="544">
        <f t="shared" si="5"/>
        <v>0</v>
      </c>
      <c r="AT63" s="277">
        <f t="shared" si="4"/>
        <v>0</v>
      </c>
    </row>
    <row r="64" spans="1:46" s="68" customFormat="1" x14ac:dyDescent="0.25">
      <c r="A64" s="491">
        <v>118</v>
      </c>
      <c r="B64" s="65" t="s">
        <v>134</v>
      </c>
      <c r="C64" s="491">
        <v>1163</v>
      </c>
      <c r="D64" s="65" t="s">
        <v>136</v>
      </c>
      <c r="E64" s="491">
        <v>1</v>
      </c>
      <c r="F64" s="585"/>
      <c r="G64" s="585"/>
      <c r="H64" s="585"/>
      <c r="I64" s="585"/>
      <c r="J64" s="665"/>
      <c r="K64" s="667"/>
      <c r="L64" s="395" t="s">
        <v>1816</v>
      </c>
      <c r="M64" s="192" t="s">
        <v>1611</v>
      </c>
      <c r="N64" s="192" t="s">
        <v>1803</v>
      </c>
      <c r="O64" s="191" t="s">
        <v>1354</v>
      </c>
      <c r="P64" s="278" t="s">
        <v>1315</v>
      </c>
      <c r="Q64" s="428">
        <v>42733</v>
      </c>
      <c r="R64" s="192"/>
      <c r="S64" s="191" t="s">
        <v>807</v>
      </c>
      <c r="T64" s="191" t="s">
        <v>1817</v>
      </c>
      <c r="U64" s="191" t="s">
        <v>1287</v>
      </c>
      <c r="V64" s="192" t="s">
        <v>1818</v>
      </c>
      <c r="W64" s="433">
        <v>79819273</v>
      </c>
      <c r="X64" s="191" t="s">
        <v>90</v>
      </c>
      <c r="Y64" s="429" t="s">
        <v>1669</v>
      </c>
      <c r="Z64" s="192" t="s">
        <v>1819</v>
      </c>
      <c r="AA64" s="366">
        <v>414</v>
      </c>
      <c r="AB64" s="430">
        <v>42710</v>
      </c>
      <c r="AC64" s="366">
        <v>733</v>
      </c>
      <c r="AD64" s="534">
        <v>18000000</v>
      </c>
      <c r="AE64" s="535"/>
      <c r="AF64" s="535"/>
      <c r="AG64" s="535"/>
      <c r="AH64" s="535"/>
      <c r="AI64" s="535"/>
      <c r="AJ64" s="535"/>
      <c r="AK64" s="535"/>
      <c r="AL64" s="535"/>
      <c r="AM64" s="535"/>
      <c r="AN64" s="535"/>
      <c r="AO64" s="535"/>
      <c r="AP64" s="535"/>
      <c r="AQ64" s="535">
        <f t="shared" si="2"/>
        <v>0</v>
      </c>
      <c r="AR64" s="535">
        <f t="shared" si="3"/>
        <v>18000000</v>
      </c>
      <c r="AS64" s="544">
        <f t="shared" si="5"/>
        <v>0</v>
      </c>
      <c r="AT64" s="277">
        <f t="shared" si="4"/>
        <v>0</v>
      </c>
    </row>
    <row r="65" spans="1:46" s="68" customFormat="1" x14ac:dyDescent="0.25">
      <c r="A65" s="491">
        <v>119</v>
      </c>
      <c r="B65" s="65" t="s">
        <v>139</v>
      </c>
      <c r="C65" s="491">
        <v>1161</v>
      </c>
      <c r="D65" s="65" t="s">
        <v>122</v>
      </c>
      <c r="E65" s="491">
        <v>2</v>
      </c>
      <c r="F65" s="584" t="s">
        <v>53</v>
      </c>
      <c r="G65" s="584">
        <v>350</v>
      </c>
      <c r="H65" s="584" t="s">
        <v>141</v>
      </c>
      <c r="I65" s="584" t="s">
        <v>142</v>
      </c>
      <c r="J65" s="662"/>
      <c r="K65" s="663"/>
      <c r="L65" s="431" t="s">
        <v>1797</v>
      </c>
      <c r="M65" s="192" t="s">
        <v>1611</v>
      </c>
      <c r="N65" s="192" t="s">
        <v>1765</v>
      </c>
      <c r="O65" s="192" t="s">
        <v>801</v>
      </c>
      <c r="P65" s="431" t="s">
        <v>1315</v>
      </c>
      <c r="Q65" s="432">
        <v>42733</v>
      </c>
      <c r="R65" s="432">
        <v>42734</v>
      </c>
      <c r="S65" s="192" t="s">
        <v>807</v>
      </c>
      <c r="T65" s="431" t="s">
        <v>1798</v>
      </c>
      <c r="U65" s="192" t="s">
        <v>1287</v>
      </c>
      <c r="V65" s="431" t="s">
        <v>1799</v>
      </c>
      <c r="W65" s="278">
        <v>900332118</v>
      </c>
      <c r="X65" s="192" t="s">
        <v>1800</v>
      </c>
      <c r="Y65" s="192" t="s">
        <v>884</v>
      </c>
      <c r="Z65" s="192" t="s">
        <v>1801</v>
      </c>
      <c r="AA65" s="458">
        <v>382</v>
      </c>
      <c r="AB65" s="430">
        <v>42671</v>
      </c>
      <c r="AC65" s="459">
        <v>661</v>
      </c>
      <c r="AD65" s="534">
        <v>187521521</v>
      </c>
      <c r="AE65" s="535"/>
      <c r="AF65" s="535"/>
      <c r="AG65" s="535"/>
      <c r="AH65" s="535"/>
      <c r="AI65" s="535"/>
      <c r="AJ65" s="535"/>
      <c r="AK65" s="535"/>
      <c r="AL65" s="535"/>
      <c r="AM65" s="535"/>
      <c r="AN65" s="535"/>
      <c r="AO65" s="535"/>
      <c r="AP65" s="535"/>
      <c r="AQ65" s="535">
        <f t="shared" si="2"/>
        <v>0</v>
      </c>
      <c r="AR65" s="535">
        <f t="shared" si="3"/>
        <v>187521521</v>
      </c>
      <c r="AS65" s="544">
        <f t="shared" si="5"/>
        <v>0</v>
      </c>
      <c r="AT65" s="277">
        <f t="shared" si="4"/>
        <v>0</v>
      </c>
    </row>
    <row r="66" spans="1:46" s="68" customFormat="1" x14ac:dyDescent="0.25">
      <c r="A66" s="491">
        <v>119</v>
      </c>
      <c r="B66" s="65" t="s">
        <v>139</v>
      </c>
      <c r="C66" s="491">
        <v>1161</v>
      </c>
      <c r="D66" s="65" t="s">
        <v>122</v>
      </c>
      <c r="E66" s="491">
        <v>2</v>
      </c>
      <c r="F66" s="585"/>
      <c r="G66" s="585"/>
      <c r="H66" s="585"/>
      <c r="I66" s="585"/>
      <c r="J66" s="628"/>
      <c r="K66" s="629"/>
      <c r="L66" s="431"/>
      <c r="M66" s="192"/>
      <c r="N66" s="192"/>
      <c r="O66" s="192"/>
      <c r="P66" s="431"/>
      <c r="Q66" s="432"/>
      <c r="R66" s="432"/>
      <c r="S66" s="192"/>
      <c r="T66" s="431"/>
      <c r="U66" s="192"/>
      <c r="V66" s="431"/>
      <c r="W66" s="278"/>
      <c r="X66" s="433"/>
      <c r="Y66" s="192"/>
      <c r="Z66" s="192"/>
      <c r="AA66" s="458"/>
      <c r="AB66" s="430"/>
      <c r="AC66" s="459"/>
      <c r="AD66" s="534"/>
      <c r="AE66" s="535"/>
      <c r="AF66" s="535"/>
      <c r="AG66" s="535"/>
      <c r="AH66" s="535"/>
      <c r="AI66" s="535"/>
      <c r="AJ66" s="535"/>
      <c r="AK66" s="535"/>
      <c r="AL66" s="535"/>
      <c r="AM66" s="535"/>
      <c r="AN66" s="535"/>
      <c r="AO66" s="535"/>
      <c r="AP66" s="535"/>
      <c r="AQ66" s="535">
        <f t="shared" si="2"/>
        <v>0</v>
      </c>
      <c r="AR66" s="535">
        <f t="shared" si="3"/>
        <v>0</v>
      </c>
      <c r="AS66" s="544"/>
      <c r="AT66" s="277">
        <f t="shared" si="4"/>
        <v>0</v>
      </c>
    </row>
    <row r="67" spans="1:46" s="68" customFormat="1" x14ac:dyDescent="0.25">
      <c r="A67" s="491">
        <v>119</v>
      </c>
      <c r="B67" s="65" t="s">
        <v>139</v>
      </c>
      <c r="C67" s="491">
        <v>1161</v>
      </c>
      <c r="D67" s="65" t="s">
        <v>122</v>
      </c>
      <c r="E67" s="491">
        <v>2</v>
      </c>
      <c r="F67" s="585"/>
      <c r="G67" s="585"/>
      <c r="H67" s="585"/>
      <c r="I67" s="585"/>
      <c r="J67" s="628"/>
      <c r="K67" s="629"/>
      <c r="L67" s="192"/>
      <c r="M67" s="192"/>
      <c r="N67" s="192"/>
      <c r="O67" s="192"/>
      <c r="P67" s="431"/>
      <c r="Q67" s="401"/>
      <c r="R67" s="401"/>
      <c r="S67" s="192"/>
      <c r="T67" s="192"/>
      <c r="U67" s="192"/>
      <c r="V67" s="431"/>
      <c r="W67" s="192"/>
      <c r="X67" s="192"/>
      <c r="Y67" s="192"/>
      <c r="Z67" s="192"/>
      <c r="AA67" s="366"/>
      <c r="AB67" s="430"/>
      <c r="AC67" s="366"/>
      <c r="AD67" s="391"/>
      <c r="AE67" s="535"/>
      <c r="AF67" s="535"/>
      <c r="AG67" s="535"/>
      <c r="AH67" s="535"/>
      <c r="AI67" s="535"/>
      <c r="AJ67" s="535"/>
      <c r="AK67" s="535"/>
      <c r="AL67" s="535"/>
      <c r="AM67" s="535"/>
      <c r="AN67" s="535"/>
      <c r="AO67" s="535"/>
      <c r="AP67" s="535"/>
      <c r="AQ67" s="535">
        <f t="shared" si="2"/>
        <v>0</v>
      </c>
      <c r="AR67" s="535">
        <f t="shared" si="3"/>
        <v>0</v>
      </c>
      <c r="AS67" s="544"/>
      <c r="AT67" s="277">
        <f t="shared" si="4"/>
        <v>0</v>
      </c>
    </row>
    <row r="68" spans="1:46" s="68" customFormat="1" x14ac:dyDescent="0.25">
      <c r="A68" s="490">
        <v>120</v>
      </c>
      <c r="B68" s="63" t="s">
        <v>144</v>
      </c>
      <c r="C68" s="490">
        <v>1161</v>
      </c>
      <c r="D68" s="63" t="s">
        <v>122</v>
      </c>
      <c r="E68" s="490">
        <v>4</v>
      </c>
      <c r="F68" s="559" t="s">
        <v>45</v>
      </c>
      <c r="G68" s="559">
        <v>4</v>
      </c>
      <c r="H68" s="559" t="s">
        <v>146</v>
      </c>
      <c r="I68" s="559" t="s">
        <v>147</v>
      </c>
      <c r="J68" s="659"/>
      <c r="K68" s="660"/>
      <c r="L68" s="431"/>
      <c r="M68" s="192"/>
      <c r="N68" s="192"/>
      <c r="O68" s="192"/>
      <c r="P68" s="431"/>
      <c r="Q68" s="401"/>
      <c r="R68" s="401"/>
      <c r="S68" s="192"/>
      <c r="T68" s="431"/>
      <c r="U68" s="192"/>
      <c r="V68" s="431"/>
      <c r="W68" s="278"/>
      <c r="X68" s="433"/>
      <c r="Y68" s="192"/>
      <c r="Z68" s="192"/>
      <c r="AA68" s="458"/>
      <c r="AB68" s="430"/>
      <c r="AC68" s="459"/>
      <c r="AD68" s="534"/>
      <c r="AE68" s="535"/>
      <c r="AF68" s="535"/>
      <c r="AG68" s="535"/>
      <c r="AH68" s="535"/>
      <c r="AI68" s="535"/>
      <c r="AJ68" s="535"/>
      <c r="AK68" s="535"/>
      <c r="AL68" s="535"/>
      <c r="AM68" s="535"/>
      <c r="AN68" s="535"/>
      <c r="AO68" s="535"/>
      <c r="AP68" s="535"/>
      <c r="AQ68" s="535">
        <f t="shared" ref="AQ68:AQ131" si="6">SUM(AE68:AP68)</f>
        <v>0</v>
      </c>
      <c r="AR68" s="535">
        <f t="shared" ref="AR68:AR131" si="7">+AD68-AQ68</f>
        <v>0</v>
      </c>
      <c r="AS68" s="544"/>
      <c r="AT68" s="277">
        <f t="shared" ref="AT68:AT131" si="8">COUNT(AE68:AP68)</f>
        <v>0</v>
      </c>
    </row>
    <row r="69" spans="1:46" s="68" customFormat="1" x14ac:dyDescent="0.25">
      <c r="A69" s="490">
        <v>120</v>
      </c>
      <c r="B69" s="63" t="s">
        <v>144</v>
      </c>
      <c r="C69" s="490">
        <v>1161</v>
      </c>
      <c r="D69" s="63" t="s">
        <v>122</v>
      </c>
      <c r="E69" s="490">
        <v>4</v>
      </c>
      <c r="F69" s="559"/>
      <c r="G69" s="559"/>
      <c r="H69" s="559"/>
      <c r="I69" s="559"/>
      <c r="J69" s="659"/>
      <c r="K69" s="660"/>
      <c r="L69" s="192"/>
      <c r="M69" s="192"/>
      <c r="N69" s="192"/>
      <c r="O69" s="192"/>
      <c r="P69" s="192"/>
      <c r="Q69" s="192"/>
      <c r="R69" s="192"/>
      <c r="S69" s="192"/>
      <c r="T69" s="192"/>
      <c r="U69" s="192"/>
      <c r="V69" s="192"/>
      <c r="W69" s="192"/>
      <c r="X69" s="192"/>
      <c r="Y69" s="192"/>
      <c r="Z69" s="192"/>
      <c r="AA69" s="457"/>
      <c r="AB69" s="430"/>
      <c r="AC69" s="366"/>
      <c r="AD69" s="391"/>
      <c r="AE69" s="535"/>
      <c r="AF69" s="535"/>
      <c r="AG69" s="535"/>
      <c r="AH69" s="535"/>
      <c r="AI69" s="535"/>
      <c r="AJ69" s="535"/>
      <c r="AK69" s="535"/>
      <c r="AL69" s="535"/>
      <c r="AM69" s="535"/>
      <c r="AN69" s="535"/>
      <c r="AO69" s="535"/>
      <c r="AP69" s="535"/>
      <c r="AQ69" s="535">
        <f t="shared" si="6"/>
        <v>0</v>
      </c>
      <c r="AR69" s="535">
        <f t="shared" si="7"/>
        <v>0</v>
      </c>
      <c r="AS69" s="544"/>
      <c r="AT69" s="277">
        <f t="shared" si="8"/>
        <v>0</v>
      </c>
    </row>
    <row r="70" spans="1:46" s="68" customFormat="1" x14ac:dyDescent="0.25">
      <c r="A70" s="490">
        <v>120</v>
      </c>
      <c r="B70" s="63" t="s">
        <v>144</v>
      </c>
      <c r="C70" s="490">
        <v>1161</v>
      </c>
      <c r="D70" s="63" t="s">
        <v>122</v>
      </c>
      <c r="E70" s="490">
        <v>4</v>
      </c>
      <c r="F70" s="559"/>
      <c r="G70" s="559"/>
      <c r="H70" s="559"/>
      <c r="I70" s="559"/>
      <c r="J70" s="659"/>
      <c r="K70" s="660"/>
      <c r="L70" s="192"/>
      <c r="M70" s="192"/>
      <c r="N70" s="192"/>
      <c r="O70" s="192"/>
      <c r="P70" s="192"/>
      <c r="Q70" s="192"/>
      <c r="R70" s="192"/>
      <c r="S70" s="192"/>
      <c r="T70" s="192"/>
      <c r="U70" s="192"/>
      <c r="V70" s="192"/>
      <c r="W70" s="192"/>
      <c r="X70" s="192"/>
      <c r="Y70" s="192"/>
      <c r="Z70" s="192"/>
      <c r="AA70" s="457"/>
      <c r="AB70" s="430"/>
      <c r="AC70" s="366"/>
      <c r="AD70" s="391"/>
      <c r="AE70" s="535"/>
      <c r="AF70" s="535"/>
      <c r="AG70" s="535"/>
      <c r="AH70" s="535"/>
      <c r="AI70" s="535"/>
      <c r="AJ70" s="535"/>
      <c r="AK70" s="535"/>
      <c r="AL70" s="535"/>
      <c r="AM70" s="535"/>
      <c r="AN70" s="535"/>
      <c r="AO70" s="535"/>
      <c r="AP70" s="535"/>
      <c r="AQ70" s="535">
        <f t="shared" si="6"/>
        <v>0</v>
      </c>
      <c r="AR70" s="535">
        <f t="shared" si="7"/>
        <v>0</v>
      </c>
      <c r="AS70" s="544"/>
      <c r="AT70" s="277">
        <f t="shared" si="8"/>
        <v>0</v>
      </c>
    </row>
    <row r="71" spans="1:46" s="25" customFormat="1" x14ac:dyDescent="0.25">
      <c r="A71" s="490">
        <v>121</v>
      </c>
      <c r="B71" s="63" t="s">
        <v>150</v>
      </c>
      <c r="C71" s="490">
        <v>1165</v>
      </c>
      <c r="D71" s="63" t="s">
        <v>152</v>
      </c>
      <c r="E71" s="490">
        <v>1</v>
      </c>
      <c r="F71" s="559" t="s">
        <v>153</v>
      </c>
      <c r="G71" s="559">
        <v>3</v>
      </c>
      <c r="H71" s="559" t="s">
        <v>154</v>
      </c>
      <c r="I71" s="559" t="s">
        <v>155</v>
      </c>
      <c r="J71" s="659"/>
      <c r="K71" s="660"/>
      <c r="L71" s="237" t="s">
        <v>1705</v>
      </c>
      <c r="M71" s="237" t="s">
        <v>1128</v>
      </c>
      <c r="N71" s="237" t="s">
        <v>156</v>
      </c>
      <c r="O71" s="259" t="s">
        <v>793</v>
      </c>
      <c r="P71" s="237" t="s">
        <v>1706</v>
      </c>
      <c r="Q71" s="264">
        <v>42466</v>
      </c>
      <c r="R71" s="264">
        <v>42466</v>
      </c>
      <c r="S71" s="259"/>
      <c r="T71" s="237">
        <v>76</v>
      </c>
      <c r="U71" s="259" t="s">
        <v>798</v>
      </c>
      <c r="V71" s="237" t="s">
        <v>1436</v>
      </c>
      <c r="W71" s="237">
        <v>80882644</v>
      </c>
      <c r="X71" s="399" t="s">
        <v>90</v>
      </c>
      <c r="Y71" s="237" t="s">
        <v>884</v>
      </c>
      <c r="Z71" s="237"/>
      <c r="AA71" s="392"/>
      <c r="AB71" s="416"/>
      <c r="AC71" s="398">
        <v>340</v>
      </c>
      <c r="AD71" s="391">
        <v>2083333</v>
      </c>
      <c r="AE71" s="535"/>
      <c r="AF71" s="535"/>
      <c r="AG71" s="535"/>
      <c r="AH71" s="535"/>
      <c r="AI71" s="535"/>
      <c r="AJ71" s="535">
        <f>1+1388889</f>
        <v>1388890</v>
      </c>
      <c r="AK71" s="535"/>
      <c r="AL71" s="535"/>
      <c r="AM71" s="535"/>
      <c r="AN71" s="535"/>
      <c r="AO71" s="535">
        <v>694443</v>
      </c>
      <c r="AP71" s="535"/>
      <c r="AQ71" s="535">
        <f t="shared" si="6"/>
        <v>2083333</v>
      </c>
      <c r="AR71" s="535">
        <f t="shared" si="7"/>
        <v>0</v>
      </c>
      <c r="AS71" s="544">
        <f t="shared" ref="AS71:AS131" si="9">+AQ71/AD71</f>
        <v>1</v>
      </c>
      <c r="AT71" s="277">
        <f t="shared" si="8"/>
        <v>2</v>
      </c>
    </row>
    <row r="72" spans="1:46" s="25" customFormat="1" x14ac:dyDescent="0.25">
      <c r="A72" s="490">
        <v>121</v>
      </c>
      <c r="B72" s="63" t="s">
        <v>150</v>
      </c>
      <c r="C72" s="490">
        <v>1165</v>
      </c>
      <c r="D72" s="63" t="s">
        <v>152</v>
      </c>
      <c r="E72" s="490">
        <v>1</v>
      </c>
      <c r="F72" s="559"/>
      <c r="G72" s="559"/>
      <c r="H72" s="559"/>
      <c r="I72" s="559"/>
      <c r="J72" s="659"/>
      <c r="K72" s="660"/>
      <c r="L72" s="237" t="s">
        <v>1826</v>
      </c>
      <c r="M72" s="237" t="s">
        <v>1821</v>
      </c>
      <c r="N72" s="237" t="s">
        <v>1822</v>
      </c>
      <c r="O72" s="191" t="s">
        <v>793</v>
      </c>
      <c r="P72" s="237" t="s">
        <v>1827</v>
      </c>
      <c r="Q72" s="264">
        <v>42733</v>
      </c>
      <c r="R72" s="405"/>
      <c r="S72" s="259" t="s">
        <v>1336</v>
      </c>
      <c r="T72" s="237" t="s">
        <v>1828</v>
      </c>
      <c r="U72" s="259" t="s">
        <v>1287</v>
      </c>
      <c r="V72" s="237" t="s">
        <v>1829</v>
      </c>
      <c r="W72" s="399" t="s">
        <v>1830</v>
      </c>
      <c r="X72" s="399" t="s">
        <v>1831</v>
      </c>
      <c r="Y72" s="237" t="s">
        <v>870</v>
      </c>
      <c r="Z72" s="237"/>
      <c r="AA72" s="392">
        <v>424</v>
      </c>
      <c r="AB72" s="416">
        <v>42724</v>
      </c>
      <c r="AC72" s="434">
        <v>728</v>
      </c>
      <c r="AD72" s="391">
        <v>207000000</v>
      </c>
      <c r="AE72" s="535"/>
      <c r="AF72" s="535"/>
      <c r="AG72" s="535"/>
      <c r="AH72" s="535"/>
      <c r="AI72" s="535"/>
      <c r="AJ72" s="535"/>
      <c r="AK72" s="535"/>
      <c r="AL72" s="535"/>
      <c r="AM72" s="535"/>
      <c r="AN72" s="535"/>
      <c r="AO72" s="535"/>
      <c r="AP72" s="535"/>
      <c r="AQ72" s="535">
        <f t="shared" si="6"/>
        <v>0</v>
      </c>
      <c r="AR72" s="535">
        <f t="shared" si="7"/>
        <v>207000000</v>
      </c>
      <c r="AS72" s="544">
        <f t="shared" si="9"/>
        <v>0</v>
      </c>
      <c r="AT72" s="277">
        <f t="shared" si="8"/>
        <v>0</v>
      </c>
    </row>
    <row r="73" spans="1:46" s="25" customFormat="1" x14ac:dyDescent="0.25">
      <c r="A73" s="490">
        <v>121</v>
      </c>
      <c r="B73" s="63" t="s">
        <v>150</v>
      </c>
      <c r="C73" s="490">
        <v>1165</v>
      </c>
      <c r="D73" s="63" t="s">
        <v>152</v>
      </c>
      <c r="E73" s="490">
        <v>1</v>
      </c>
      <c r="F73" s="559"/>
      <c r="G73" s="559"/>
      <c r="H73" s="559"/>
      <c r="I73" s="559"/>
      <c r="J73" s="659"/>
      <c r="K73" s="660"/>
      <c r="L73" s="237"/>
      <c r="M73" s="237"/>
      <c r="N73" s="237"/>
      <c r="O73" s="259"/>
      <c r="P73" s="237"/>
      <c r="Q73" s="264"/>
      <c r="R73" s="237"/>
      <c r="S73" s="259"/>
      <c r="T73" s="237"/>
      <c r="U73" s="259"/>
      <c r="V73" s="237"/>
      <c r="W73" s="237"/>
      <c r="X73" s="399"/>
      <c r="Y73" s="237"/>
      <c r="Z73" s="237"/>
      <c r="AA73" s="392"/>
      <c r="AB73" s="416"/>
      <c r="AC73" s="392"/>
      <c r="AD73" s="391"/>
      <c r="AE73" s="535"/>
      <c r="AF73" s="535"/>
      <c r="AG73" s="535"/>
      <c r="AH73" s="535"/>
      <c r="AI73" s="535"/>
      <c r="AJ73" s="535"/>
      <c r="AK73" s="535"/>
      <c r="AL73" s="535"/>
      <c r="AM73" s="535"/>
      <c r="AN73" s="391"/>
      <c r="AO73" s="535"/>
      <c r="AP73" s="535"/>
      <c r="AQ73" s="535">
        <f t="shared" si="6"/>
        <v>0</v>
      </c>
      <c r="AR73" s="535">
        <f t="shared" si="7"/>
        <v>0</v>
      </c>
      <c r="AS73" s="544"/>
      <c r="AT73" s="277">
        <f t="shared" si="8"/>
        <v>0</v>
      </c>
    </row>
    <row r="74" spans="1:46" s="25" customFormat="1" x14ac:dyDescent="0.25">
      <c r="A74" s="490">
        <v>122</v>
      </c>
      <c r="B74" s="63" t="s">
        <v>158</v>
      </c>
      <c r="C74" s="490">
        <v>1165</v>
      </c>
      <c r="D74" s="63" t="s">
        <v>152</v>
      </c>
      <c r="E74" s="490">
        <v>2</v>
      </c>
      <c r="F74" s="559" t="s">
        <v>153</v>
      </c>
      <c r="G74" s="559">
        <v>25</v>
      </c>
      <c r="H74" s="559" t="s">
        <v>159</v>
      </c>
      <c r="I74" s="559" t="s">
        <v>160</v>
      </c>
      <c r="J74" s="659"/>
      <c r="K74" s="660"/>
      <c r="L74" s="237"/>
      <c r="M74" s="237"/>
      <c r="N74" s="237"/>
      <c r="O74" s="259"/>
      <c r="P74" s="237"/>
      <c r="Q74" s="405"/>
      <c r="R74" s="452"/>
      <c r="S74" s="259"/>
      <c r="T74" s="237"/>
      <c r="U74" s="259"/>
      <c r="V74" s="237"/>
      <c r="W74" s="351"/>
      <c r="X74" s="406"/>
      <c r="Y74" s="351"/>
      <c r="Z74" s="237"/>
      <c r="AA74" s="392"/>
      <c r="AB74" s="416"/>
      <c r="AC74" s="392"/>
      <c r="AD74" s="391"/>
      <c r="AE74" s="535"/>
      <c r="AF74" s="535"/>
      <c r="AG74" s="535"/>
      <c r="AH74" s="535"/>
      <c r="AI74" s="535"/>
      <c r="AJ74" s="535"/>
      <c r="AK74" s="535"/>
      <c r="AL74" s="535"/>
      <c r="AM74" s="535"/>
      <c r="AN74" s="391"/>
      <c r="AO74" s="535"/>
      <c r="AP74" s="535"/>
      <c r="AQ74" s="535">
        <f t="shared" si="6"/>
        <v>0</v>
      </c>
      <c r="AR74" s="535">
        <f t="shared" si="7"/>
        <v>0</v>
      </c>
      <c r="AS74" s="544"/>
      <c r="AT74" s="277">
        <f t="shared" si="8"/>
        <v>0</v>
      </c>
    </row>
    <row r="75" spans="1:46" s="25" customFormat="1" x14ac:dyDescent="0.25">
      <c r="A75" s="490">
        <v>122</v>
      </c>
      <c r="B75" s="63" t="s">
        <v>158</v>
      </c>
      <c r="C75" s="490">
        <v>1165</v>
      </c>
      <c r="D75" s="63" t="s">
        <v>152</v>
      </c>
      <c r="E75" s="490">
        <v>2</v>
      </c>
      <c r="F75" s="559"/>
      <c r="G75" s="559"/>
      <c r="H75" s="559"/>
      <c r="I75" s="559"/>
      <c r="J75" s="659"/>
      <c r="K75" s="660"/>
      <c r="L75" s="237"/>
      <c r="M75" s="237"/>
      <c r="N75" s="237"/>
      <c r="O75" s="351"/>
      <c r="P75" s="237"/>
      <c r="Q75" s="405"/>
      <c r="R75" s="351"/>
      <c r="S75" s="259"/>
      <c r="T75" s="237"/>
      <c r="V75" s="259"/>
      <c r="W75" s="351"/>
      <c r="X75" s="399"/>
      <c r="Y75" s="351"/>
      <c r="Z75" s="237"/>
      <c r="AA75" s="392"/>
      <c r="AB75" s="416"/>
      <c r="AC75" s="392"/>
      <c r="AD75" s="391"/>
      <c r="AE75" s="535"/>
      <c r="AF75" s="535"/>
      <c r="AG75" s="535"/>
      <c r="AH75" s="535"/>
      <c r="AI75" s="535"/>
      <c r="AJ75" s="535"/>
      <c r="AK75" s="535"/>
      <c r="AL75" s="535"/>
      <c r="AM75" s="535"/>
      <c r="AN75" s="391"/>
      <c r="AO75" s="535"/>
      <c r="AP75" s="535"/>
      <c r="AQ75" s="535">
        <f t="shared" si="6"/>
        <v>0</v>
      </c>
      <c r="AR75" s="535">
        <f t="shared" si="7"/>
        <v>0</v>
      </c>
      <c r="AS75" s="544"/>
      <c r="AT75" s="277">
        <f t="shared" si="8"/>
        <v>0</v>
      </c>
    </row>
    <row r="76" spans="1:46" s="25" customFormat="1" x14ac:dyDescent="0.25">
      <c r="A76" s="490">
        <v>122</v>
      </c>
      <c r="B76" s="63" t="s">
        <v>158</v>
      </c>
      <c r="C76" s="490">
        <v>1165</v>
      </c>
      <c r="D76" s="63" t="s">
        <v>152</v>
      </c>
      <c r="E76" s="490">
        <v>2</v>
      </c>
      <c r="F76" s="559"/>
      <c r="G76" s="559"/>
      <c r="H76" s="559"/>
      <c r="I76" s="559"/>
      <c r="J76" s="659"/>
      <c r="K76" s="660"/>
      <c r="L76" s="237"/>
      <c r="M76" s="237"/>
      <c r="N76" s="237"/>
      <c r="O76" s="237"/>
      <c r="P76" s="237"/>
      <c r="Q76" s="237"/>
      <c r="R76" s="237"/>
      <c r="S76" s="237"/>
      <c r="T76" s="237"/>
      <c r="U76" s="237"/>
      <c r="V76" s="237"/>
      <c r="W76" s="237"/>
      <c r="X76" s="399"/>
      <c r="Y76" s="237"/>
      <c r="Z76" s="237"/>
      <c r="AA76" s="417"/>
      <c r="AB76" s="233"/>
      <c r="AC76" s="392"/>
      <c r="AD76" s="391"/>
      <c r="AE76" s="535"/>
      <c r="AF76" s="535"/>
      <c r="AG76" s="535"/>
      <c r="AH76" s="535"/>
      <c r="AI76" s="535"/>
      <c r="AJ76" s="535"/>
      <c r="AK76" s="535"/>
      <c r="AL76" s="535"/>
      <c r="AM76" s="535"/>
      <c r="AN76" s="391"/>
      <c r="AO76" s="535"/>
      <c r="AP76" s="535"/>
      <c r="AQ76" s="535">
        <f t="shared" si="6"/>
        <v>0</v>
      </c>
      <c r="AR76" s="535">
        <f t="shared" si="7"/>
        <v>0</v>
      </c>
      <c r="AS76" s="544"/>
      <c r="AT76" s="277">
        <f t="shared" si="8"/>
        <v>0</v>
      </c>
    </row>
    <row r="77" spans="1:46" s="68" customFormat="1" x14ac:dyDescent="0.25">
      <c r="A77" s="490">
        <v>123</v>
      </c>
      <c r="B77" s="63" t="s">
        <v>161</v>
      </c>
      <c r="C77" s="490">
        <v>1165</v>
      </c>
      <c r="D77" s="63" t="s">
        <v>152</v>
      </c>
      <c r="E77" s="490">
        <v>3</v>
      </c>
      <c r="F77" s="559" t="s">
        <v>153</v>
      </c>
      <c r="G77" s="559">
        <v>10</v>
      </c>
      <c r="H77" s="559" t="s">
        <v>162</v>
      </c>
      <c r="I77" s="559" t="s">
        <v>163</v>
      </c>
      <c r="J77" s="659"/>
      <c r="K77" s="660"/>
      <c r="L77" s="192" t="s">
        <v>1735</v>
      </c>
      <c r="M77" s="192" t="s">
        <v>1736</v>
      </c>
      <c r="N77" s="192" t="s">
        <v>156</v>
      </c>
      <c r="O77" s="191" t="s">
        <v>90</v>
      </c>
      <c r="P77" s="192" t="s">
        <v>90</v>
      </c>
      <c r="Q77" s="428" t="s">
        <v>90</v>
      </c>
      <c r="R77" s="466" t="s">
        <v>90</v>
      </c>
      <c r="S77" s="191" t="s">
        <v>90</v>
      </c>
      <c r="T77" s="192" t="s">
        <v>90</v>
      </c>
      <c r="U77" s="191" t="s">
        <v>90</v>
      </c>
      <c r="V77" s="192" t="s">
        <v>90</v>
      </c>
      <c r="W77" s="191" t="s">
        <v>90</v>
      </c>
      <c r="X77" s="191" t="s">
        <v>90</v>
      </c>
      <c r="Y77" s="191" t="s">
        <v>90</v>
      </c>
      <c r="Z77" s="192" t="s">
        <v>1737</v>
      </c>
      <c r="AA77" s="366">
        <v>274</v>
      </c>
      <c r="AB77" s="430">
        <v>42467</v>
      </c>
      <c r="AC77" s="431">
        <v>341</v>
      </c>
      <c r="AD77" s="391">
        <v>368372</v>
      </c>
      <c r="AE77" s="535"/>
      <c r="AF77" s="535"/>
      <c r="AG77" s="535"/>
      <c r="AH77" s="535">
        <f>44400+323972</f>
        <v>368372</v>
      </c>
      <c r="AI77" s="535"/>
      <c r="AJ77" s="535"/>
      <c r="AK77" s="535"/>
      <c r="AL77" s="535"/>
      <c r="AM77" s="535"/>
      <c r="AN77" s="535"/>
      <c r="AO77" s="535"/>
      <c r="AP77" s="535"/>
      <c r="AQ77" s="535">
        <f t="shared" si="6"/>
        <v>368372</v>
      </c>
      <c r="AR77" s="535">
        <f t="shared" si="7"/>
        <v>0</v>
      </c>
      <c r="AS77" s="544">
        <f t="shared" si="9"/>
        <v>1</v>
      </c>
      <c r="AT77" s="277">
        <f t="shared" si="8"/>
        <v>1</v>
      </c>
    </row>
    <row r="78" spans="1:46" s="25" customFormat="1" x14ac:dyDescent="0.25">
      <c r="A78" s="490">
        <v>123</v>
      </c>
      <c r="B78" s="63" t="s">
        <v>161</v>
      </c>
      <c r="C78" s="490">
        <v>1165</v>
      </c>
      <c r="D78" s="63" t="s">
        <v>152</v>
      </c>
      <c r="E78" s="490">
        <v>3</v>
      </c>
      <c r="F78" s="559"/>
      <c r="G78" s="559"/>
      <c r="H78" s="559"/>
      <c r="I78" s="559"/>
      <c r="J78" s="659"/>
      <c r="K78" s="660"/>
      <c r="L78" s="475" t="s">
        <v>1820</v>
      </c>
      <c r="M78" s="237" t="s">
        <v>1821</v>
      </c>
      <c r="N78" s="237" t="s">
        <v>1822</v>
      </c>
      <c r="O78" s="191" t="s">
        <v>1804</v>
      </c>
      <c r="P78" s="192" t="s">
        <v>1315</v>
      </c>
      <c r="Q78" s="428">
        <v>42734</v>
      </c>
      <c r="R78" s="466"/>
      <c r="S78" s="191" t="s">
        <v>1336</v>
      </c>
      <c r="T78" s="192" t="s">
        <v>1823</v>
      </c>
      <c r="U78" s="191" t="s">
        <v>1287</v>
      </c>
      <c r="V78" s="191" t="s">
        <v>1824</v>
      </c>
      <c r="W78" s="471">
        <v>830514060</v>
      </c>
      <c r="X78" s="191" t="s">
        <v>1825</v>
      </c>
      <c r="Y78" s="191" t="s">
        <v>870</v>
      </c>
      <c r="Z78" s="192"/>
      <c r="AA78" s="392">
        <v>403</v>
      </c>
      <c r="AB78" s="416">
        <v>42674</v>
      </c>
      <c r="AC78" s="434">
        <v>738</v>
      </c>
      <c r="AD78" s="391">
        <v>190055833</v>
      </c>
      <c r="AE78" s="535"/>
      <c r="AF78" s="535"/>
      <c r="AG78" s="535"/>
      <c r="AH78" s="535"/>
      <c r="AI78" s="535"/>
      <c r="AJ78" s="535"/>
      <c r="AK78" s="535"/>
      <c r="AL78" s="535"/>
      <c r="AM78" s="535"/>
      <c r="AN78" s="391"/>
      <c r="AO78" s="535"/>
      <c r="AP78" s="535"/>
      <c r="AQ78" s="535">
        <f t="shared" si="6"/>
        <v>0</v>
      </c>
      <c r="AR78" s="535">
        <f t="shared" si="7"/>
        <v>190055833</v>
      </c>
      <c r="AS78" s="544">
        <f t="shared" si="9"/>
        <v>0</v>
      </c>
      <c r="AT78" s="277">
        <f t="shared" si="8"/>
        <v>0</v>
      </c>
    </row>
    <row r="79" spans="1:46" s="25" customFormat="1" x14ac:dyDescent="0.25">
      <c r="A79" s="490">
        <v>123</v>
      </c>
      <c r="B79" s="63" t="s">
        <v>161</v>
      </c>
      <c r="C79" s="490">
        <v>1165</v>
      </c>
      <c r="D79" s="63" t="s">
        <v>152</v>
      </c>
      <c r="E79" s="490">
        <v>3</v>
      </c>
      <c r="F79" s="559"/>
      <c r="G79" s="559"/>
      <c r="H79" s="559"/>
      <c r="I79" s="559"/>
      <c r="J79" s="659"/>
      <c r="K79" s="660"/>
      <c r="L79" s="237"/>
      <c r="M79" s="237"/>
      <c r="N79" s="237"/>
      <c r="O79" s="237"/>
      <c r="P79" s="237"/>
      <c r="Q79" s="237"/>
      <c r="R79" s="406"/>
      <c r="S79" s="237"/>
      <c r="T79" s="237"/>
      <c r="U79" s="237"/>
      <c r="V79" s="237"/>
      <c r="W79" s="237"/>
      <c r="X79" s="237"/>
      <c r="Y79" s="237"/>
      <c r="Z79" s="237"/>
      <c r="AA79" s="392"/>
      <c r="AB79" s="416"/>
      <c r="AC79" s="392"/>
      <c r="AD79" s="391"/>
      <c r="AE79" s="535"/>
      <c r="AF79" s="535"/>
      <c r="AG79" s="535"/>
      <c r="AH79" s="535"/>
      <c r="AI79" s="535"/>
      <c r="AJ79" s="535"/>
      <c r="AK79" s="535"/>
      <c r="AL79" s="535"/>
      <c r="AM79" s="535"/>
      <c r="AN79" s="391"/>
      <c r="AO79" s="535"/>
      <c r="AP79" s="535"/>
      <c r="AQ79" s="535">
        <f t="shared" si="6"/>
        <v>0</v>
      </c>
      <c r="AR79" s="535">
        <f t="shared" si="7"/>
        <v>0</v>
      </c>
      <c r="AS79" s="544"/>
      <c r="AT79" s="277">
        <f t="shared" si="8"/>
        <v>0</v>
      </c>
    </row>
    <row r="80" spans="1:46" s="25" customFormat="1" x14ac:dyDescent="0.25">
      <c r="A80" s="490">
        <v>124</v>
      </c>
      <c r="B80" s="63" t="s">
        <v>164</v>
      </c>
      <c r="C80" s="490">
        <v>1165</v>
      </c>
      <c r="D80" s="63" t="s">
        <v>152</v>
      </c>
      <c r="E80" s="490">
        <v>4</v>
      </c>
      <c r="F80" s="559" t="s">
        <v>53</v>
      </c>
      <c r="G80" s="559">
        <v>500</v>
      </c>
      <c r="H80" s="559" t="s">
        <v>61</v>
      </c>
      <c r="I80" s="559" t="s">
        <v>166</v>
      </c>
      <c r="J80" s="659"/>
      <c r="K80" s="660"/>
      <c r="L80" s="237"/>
      <c r="M80" s="237"/>
      <c r="N80" s="237"/>
      <c r="O80" s="237"/>
      <c r="P80" s="237"/>
      <c r="Q80" s="237"/>
      <c r="R80" s="237"/>
      <c r="S80" s="237"/>
      <c r="T80" s="237"/>
      <c r="U80" s="237"/>
      <c r="V80" s="237"/>
      <c r="W80" s="237"/>
      <c r="X80" s="237"/>
      <c r="Y80" s="237"/>
      <c r="Z80" s="237"/>
      <c r="AA80" s="417"/>
      <c r="AB80" s="233"/>
      <c r="AC80" s="392"/>
      <c r="AD80" s="391"/>
      <c r="AE80" s="535"/>
      <c r="AF80" s="535"/>
      <c r="AG80" s="535"/>
      <c r="AH80" s="535"/>
      <c r="AI80" s="535"/>
      <c r="AJ80" s="535"/>
      <c r="AK80" s="535"/>
      <c r="AL80" s="535"/>
      <c r="AM80" s="535"/>
      <c r="AN80" s="535"/>
      <c r="AO80" s="535"/>
      <c r="AP80" s="535"/>
      <c r="AQ80" s="535">
        <f t="shared" si="6"/>
        <v>0</v>
      </c>
      <c r="AR80" s="535">
        <f t="shared" si="7"/>
        <v>0</v>
      </c>
      <c r="AS80" s="544"/>
      <c r="AT80" s="277">
        <f t="shared" si="8"/>
        <v>0</v>
      </c>
    </row>
    <row r="81" spans="1:46" s="25" customFormat="1" x14ac:dyDescent="0.25">
      <c r="A81" s="490">
        <v>124</v>
      </c>
      <c r="B81" s="63" t="s">
        <v>164</v>
      </c>
      <c r="C81" s="490">
        <v>1165</v>
      </c>
      <c r="D81" s="63" t="s">
        <v>152</v>
      </c>
      <c r="E81" s="490">
        <v>4</v>
      </c>
      <c r="F81" s="559"/>
      <c r="G81" s="559"/>
      <c r="H81" s="559"/>
      <c r="I81" s="559"/>
      <c r="J81" s="659"/>
      <c r="K81" s="660"/>
      <c r="L81" s="237"/>
      <c r="M81" s="237"/>
      <c r="N81" s="237"/>
      <c r="O81" s="237"/>
      <c r="P81" s="237"/>
      <c r="Q81" s="237"/>
      <c r="R81" s="237"/>
      <c r="S81" s="237"/>
      <c r="T81" s="237"/>
      <c r="U81" s="237"/>
      <c r="V81" s="237"/>
      <c r="W81" s="237"/>
      <c r="X81" s="237"/>
      <c r="Y81" s="237"/>
      <c r="Z81" s="237"/>
      <c r="AA81" s="417"/>
      <c r="AB81" s="416"/>
      <c r="AC81" s="392"/>
      <c r="AD81" s="391"/>
      <c r="AE81" s="535"/>
      <c r="AF81" s="535"/>
      <c r="AG81" s="535"/>
      <c r="AH81" s="535"/>
      <c r="AI81" s="535"/>
      <c r="AJ81" s="535"/>
      <c r="AK81" s="535"/>
      <c r="AL81" s="535"/>
      <c r="AM81" s="535"/>
      <c r="AN81" s="535"/>
      <c r="AO81" s="535"/>
      <c r="AP81" s="535"/>
      <c r="AQ81" s="535">
        <f t="shared" si="6"/>
        <v>0</v>
      </c>
      <c r="AR81" s="535">
        <f t="shared" si="7"/>
        <v>0</v>
      </c>
      <c r="AS81" s="544"/>
      <c r="AT81" s="277">
        <f t="shared" si="8"/>
        <v>0</v>
      </c>
    </row>
    <row r="82" spans="1:46" s="25" customFormat="1" x14ac:dyDescent="0.25">
      <c r="A82" s="490">
        <v>124</v>
      </c>
      <c r="B82" s="63" t="s">
        <v>164</v>
      </c>
      <c r="C82" s="490">
        <v>1165</v>
      </c>
      <c r="D82" s="63" t="s">
        <v>152</v>
      </c>
      <c r="E82" s="490">
        <v>4</v>
      </c>
      <c r="F82" s="559"/>
      <c r="G82" s="559"/>
      <c r="H82" s="559"/>
      <c r="I82" s="559"/>
      <c r="J82" s="659"/>
      <c r="K82" s="660"/>
      <c r="L82" s="237"/>
      <c r="M82" s="237"/>
      <c r="N82" s="237"/>
      <c r="O82" s="237"/>
      <c r="P82" s="237"/>
      <c r="Q82" s="237"/>
      <c r="R82" s="237"/>
      <c r="S82" s="237"/>
      <c r="T82" s="237"/>
      <c r="U82" s="237"/>
      <c r="V82" s="237"/>
      <c r="W82" s="237"/>
      <c r="X82" s="237"/>
      <c r="Y82" s="237"/>
      <c r="Z82" s="237"/>
      <c r="AA82" s="417"/>
      <c r="AB82" s="416"/>
      <c r="AC82" s="392"/>
      <c r="AD82" s="391"/>
      <c r="AE82" s="535"/>
      <c r="AF82" s="535"/>
      <c r="AG82" s="535"/>
      <c r="AH82" s="535"/>
      <c r="AI82" s="535"/>
      <c r="AJ82" s="535"/>
      <c r="AK82" s="535"/>
      <c r="AL82" s="535"/>
      <c r="AM82" s="535"/>
      <c r="AN82" s="535"/>
      <c r="AO82" s="535"/>
      <c r="AP82" s="535"/>
      <c r="AQ82" s="535">
        <f t="shared" si="6"/>
        <v>0</v>
      </c>
      <c r="AR82" s="535">
        <f t="shared" si="7"/>
        <v>0</v>
      </c>
      <c r="AS82" s="544"/>
      <c r="AT82" s="277">
        <f t="shared" si="8"/>
        <v>0</v>
      </c>
    </row>
    <row r="83" spans="1:46" s="25" customFormat="1" x14ac:dyDescent="0.25">
      <c r="A83" s="490">
        <v>125</v>
      </c>
      <c r="B83" s="63" t="s">
        <v>168</v>
      </c>
      <c r="C83" s="490">
        <v>1168</v>
      </c>
      <c r="D83" s="63" t="s">
        <v>170</v>
      </c>
      <c r="E83" s="490">
        <v>1</v>
      </c>
      <c r="F83" s="559" t="s">
        <v>171</v>
      </c>
      <c r="G83" s="559">
        <v>64</v>
      </c>
      <c r="H83" s="559" t="s">
        <v>172</v>
      </c>
      <c r="I83" s="559" t="s">
        <v>173</v>
      </c>
      <c r="J83" s="659"/>
      <c r="K83" s="660"/>
      <c r="L83" s="237"/>
      <c r="M83" s="237"/>
      <c r="N83" s="237"/>
      <c r="O83" s="351"/>
      <c r="P83" s="237"/>
      <c r="Q83" s="249"/>
      <c r="R83" s="249"/>
      <c r="S83" s="351"/>
      <c r="T83" s="351"/>
      <c r="U83" s="351"/>
      <c r="V83" s="237"/>
      <c r="W83" s="406"/>
      <c r="X83" s="249"/>
      <c r="Y83" s="351"/>
      <c r="Z83" s="237"/>
      <c r="AA83" s="392"/>
      <c r="AB83" s="416"/>
      <c r="AC83" s="392"/>
      <c r="AD83" s="391"/>
      <c r="AE83" s="535"/>
      <c r="AF83" s="535"/>
      <c r="AG83" s="535"/>
      <c r="AH83" s="535"/>
      <c r="AI83" s="535"/>
      <c r="AJ83" s="535"/>
      <c r="AK83" s="535"/>
      <c r="AL83" s="535"/>
      <c r="AM83" s="535"/>
      <c r="AN83" s="535"/>
      <c r="AO83" s="535"/>
      <c r="AP83" s="535"/>
      <c r="AQ83" s="535">
        <f t="shared" si="6"/>
        <v>0</v>
      </c>
      <c r="AR83" s="535">
        <f t="shared" si="7"/>
        <v>0</v>
      </c>
      <c r="AS83" s="544"/>
      <c r="AT83" s="277">
        <f t="shared" si="8"/>
        <v>0</v>
      </c>
    </row>
    <row r="84" spans="1:46" s="25" customFormat="1" x14ac:dyDescent="0.25">
      <c r="A84" s="490">
        <v>125</v>
      </c>
      <c r="B84" s="63" t="s">
        <v>168</v>
      </c>
      <c r="C84" s="490">
        <v>1168</v>
      </c>
      <c r="D84" s="63" t="s">
        <v>170</v>
      </c>
      <c r="E84" s="490">
        <v>1</v>
      </c>
      <c r="F84" s="559"/>
      <c r="G84" s="559"/>
      <c r="H84" s="559"/>
      <c r="I84" s="559"/>
      <c r="J84" s="659"/>
      <c r="K84" s="660"/>
      <c r="L84" s="237"/>
      <c r="M84" s="237"/>
      <c r="N84" s="237"/>
      <c r="O84" s="351"/>
      <c r="P84" s="237"/>
      <c r="Q84" s="249"/>
      <c r="R84" s="249"/>
      <c r="S84" s="351"/>
      <c r="T84" s="351"/>
      <c r="U84" s="351"/>
      <c r="V84" s="237"/>
      <c r="W84" s="351"/>
      <c r="X84" s="185"/>
      <c r="Y84" s="351"/>
      <c r="Z84" s="237"/>
      <c r="AA84" s="392"/>
      <c r="AB84" s="416"/>
      <c r="AC84" s="392"/>
      <c r="AD84" s="391"/>
      <c r="AE84" s="535"/>
      <c r="AF84" s="535"/>
      <c r="AG84" s="535"/>
      <c r="AH84" s="535"/>
      <c r="AI84" s="535"/>
      <c r="AJ84" s="535"/>
      <c r="AK84" s="535"/>
      <c r="AL84" s="535"/>
      <c r="AM84" s="535"/>
      <c r="AN84" s="535"/>
      <c r="AO84" s="535"/>
      <c r="AP84" s="535"/>
      <c r="AQ84" s="535">
        <f t="shared" si="6"/>
        <v>0</v>
      </c>
      <c r="AR84" s="535">
        <f t="shared" si="7"/>
        <v>0</v>
      </c>
      <c r="AS84" s="544"/>
      <c r="AT84" s="277">
        <f t="shared" si="8"/>
        <v>0</v>
      </c>
    </row>
    <row r="85" spans="1:46" s="25" customFormat="1" x14ac:dyDescent="0.25">
      <c r="A85" s="490">
        <v>125</v>
      </c>
      <c r="B85" s="63" t="s">
        <v>168</v>
      </c>
      <c r="C85" s="490">
        <v>1168</v>
      </c>
      <c r="D85" s="63" t="s">
        <v>170</v>
      </c>
      <c r="E85" s="490">
        <v>1</v>
      </c>
      <c r="F85" s="559"/>
      <c r="G85" s="559"/>
      <c r="H85" s="559"/>
      <c r="I85" s="559"/>
      <c r="J85" s="659"/>
      <c r="K85" s="660"/>
      <c r="L85" s="237"/>
      <c r="M85" s="351"/>
      <c r="N85" s="351"/>
      <c r="O85" s="351"/>
      <c r="P85" s="237"/>
      <c r="Q85" s="249"/>
      <c r="R85" s="259"/>
      <c r="S85" s="351"/>
      <c r="T85" s="237"/>
      <c r="U85" s="351"/>
      <c r="V85" s="237"/>
      <c r="W85" s="351"/>
      <c r="X85" s="185"/>
      <c r="Y85" s="351"/>
      <c r="Z85" s="237"/>
      <c r="AA85" s="392"/>
      <c r="AB85" s="416"/>
      <c r="AC85" s="392"/>
      <c r="AD85" s="391"/>
      <c r="AE85" s="535"/>
      <c r="AF85" s="535"/>
      <c r="AG85" s="535"/>
      <c r="AH85" s="535"/>
      <c r="AI85" s="535"/>
      <c r="AJ85" s="535"/>
      <c r="AK85" s="535"/>
      <c r="AL85" s="535"/>
      <c r="AM85" s="535"/>
      <c r="AN85" s="535"/>
      <c r="AO85" s="535"/>
      <c r="AP85" s="535"/>
      <c r="AQ85" s="535">
        <f t="shared" si="6"/>
        <v>0</v>
      </c>
      <c r="AR85" s="535">
        <f t="shared" si="7"/>
        <v>0</v>
      </c>
      <c r="AS85" s="544"/>
      <c r="AT85" s="277">
        <f t="shared" si="8"/>
        <v>0</v>
      </c>
    </row>
    <row r="86" spans="1:46" s="25" customFormat="1" x14ac:dyDescent="0.25">
      <c r="A86" s="490">
        <v>126</v>
      </c>
      <c r="B86" s="63" t="s">
        <v>176</v>
      </c>
      <c r="C86" s="490">
        <v>1168</v>
      </c>
      <c r="D86" s="63" t="s">
        <v>170</v>
      </c>
      <c r="E86" s="490">
        <v>2</v>
      </c>
      <c r="F86" s="559" t="s">
        <v>177</v>
      </c>
      <c r="G86" s="559">
        <v>19</v>
      </c>
      <c r="H86" s="559" t="s">
        <v>172</v>
      </c>
      <c r="I86" s="559" t="s">
        <v>173</v>
      </c>
      <c r="J86" s="659"/>
      <c r="K86" s="660"/>
      <c r="L86" s="237" t="s">
        <v>1698</v>
      </c>
      <c r="M86" s="237" t="s">
        <v>1111</v>
      </c>
      <c r="N86" s="237" t="s">
        <v>174</v>
      </c>
      <c r="O86" s="191" t="s">
        <v>1573</v>
      </c>
      <c r="P86" s="237" t="s">
        <v>1026</v>
      </c>
      <c r="Q86" s="249">
        <v>42251</v>
      </c>
      <c r="R86" s="264">
        <v>42251</v>
      </c>
      <c r="S86" s="191" t="s">
        <v>1569</v>
      </c>
      <c r="T86" s="237">
        <v>112</v>
      </c>
      <c r="U86" s="249" t="s">
        <v>798</v>
      </c>
      <c r="V86" s="237" t="s">
        <v>988</v>
      </c>
      <c r="W86" s="194">
        <v>800172033</v>
      </c>
      <c r="X86" s="185" t="s">
        <v>90</v>
      </c>
      <c r="Y86" s="191" t="s">
        <v>884</v>
      </c>
      <c r="Z86" s="237"/>
      <c r="AA86" s="392">
        <v>2</v>
      </c>
      <c r="AB86" s="416">
        <v>42382</v>
      </c>
      <c r="AC86" s="392">
        <v>2</v>
      </c>
      <c r="AD86" s="391">
        <v>84900000</v>
      </c>
      <c r="AE86" s="391"/>
      <c r="AF86" s="391"/>
      <c r="AG86" s="391"/>
      <c r="AH86" s="391"/>
      <c r="AI86" s="391"/>
      <c r="AJ86" s="535"/>
      <c r="AK86" s="535"/>
      <c r="AL86" s="535"/>
      <c r="AM86" s="535"/>
      <c r="AN86" s="535"/>
      <c r="AO86" s="535"/>
      <c r="AP86" s="535">
        <v>56600000</v>
      </c>
      <c r="AQ86" s="535">
        <f t="shared" si="6"/>
        <v>56600000</v>
      </c>
      <c r="AR86" s="535">
        <f t="shared" si="7"/>
        <v>28300000</v>
      </c>
      <c r="AS86" s="544">
        <f t="shared" si="9"/>
        <v>0.66666666666666663</v>
      </c>
      <c r="AT86" s="277">
        <f t="shared" si="8"/>
        <v>1</v>
      </c>
    </row>
    <row r="87" spans="1:46" s="25" customFormat="1" x14ac:dyDescent="0.25">
      <c r="A87" s="490">
        <v>126</v>
      </c>
      <c r="B87" s="63" t="s">
        <v>176</v>
      </c>
      <c r="C87" s="490">
        <v>1168</v>
      </c>
      <c r="D87" s="63" t="s">
        <v>170</v>
      </c>
      <c r="E87" s="490">
        <v>2</v>
      </c>
      <c r="F87" s="559"/>
      <c r="G87" s="559"/>
      <c r="H87" s="559"/>
      <c r="I87" s="559"/>
      <c r="J87" s="659"/>
      <c r="K87" s="660"/>
      <c r="L87" s="237" t="s">
        <v>1553</v>
      </c>
      <c r="M87" s="237" t="s">
        <v>1111</v>
      </c>
      <c r="N87" s="237" t="s">
        <v>174</v>
      </c>
      <c r="O87" s="191" t="s">
        <v>1571</v>
      </c>
      <c r="P87" s="237" t="s">
        <v>1555</v>
      </c>
      <c r="Q87" s="249">
        <v>42237</v>
      </c>
      <c r="R87" s="264">
        <v>42248</v>
      </c>
      <c r="S87" s="191" t="s">
        <v>1569</v>
      </c>
      <c r="T87" s="237">
        <v>108</v>
      </c>
      <c r="U87" s="185" t="s">
        <v>1570</v>
      </c>
      <c r="V87" s="237" t="s">
        <v>1556</v>
      </c>
      <c r="W87" s="265" t="s">
        <v>1572</v>
      </c>
      <c r="X87" s="185" t="s">
        <v>90</v>
      </c>
      <c r="Y87" s="191" t="s">
        <v>884</v>
      </c>
      <c r="Z87" s="237"/>
      <c r="AA87" s="392">
        <v>1</v>
      </c>
      <c r="AB87" s="416">
        <v>42382</v>
      </c>
      <c r="AC87" s="392">
        <v>1</v>
      </c>
      <c r="AD87" s="391">
        <v>725892391</v>
      </c>
      <c r="AE87" s="391"/>
      <c r="AF87" s="391"/>
      <c r="AG87" s="391">
        <v>290356956</v>
      </c>
      <c r="AH87" s="391"/>
      <c r="AI87" s="391"/>
      <c r="AJ87" s="535"/>
      <c r="AK87" s="535"/>
      <c r="AL87" s="535"/>
      <c r="AM87" s="535"/>
      <c r="AN87" s="535"/>
      <c r="AO87" s="535"/>
      <c r="AP87" s="535"/>
      <c r="AQ87" s="535">
        <f t="shared" si="6"/>
        <v>290356956</v>
      </c>
      <c r="AR87" s="535">
        <f t="shared" si="7"/>
        <v>435535435</v>
      </c>
      <c r="AS87" s="544">
        <f t="shared" si="9"/>
        <v>0.39999999944895415</v>
      </c>
      <c r="AT87" s="277">
        <f t="shared" si="8"/>
        <v>1</v>
      </c>
    </row>
    <row r="88" spans="1:46" s="25" customFormat="1" x14ac:dyDescent="0.25">
      <c r="A88" s="490">
        <v>126</v>
      </c>
      <c r="B88" s="63" t="s">
        <v>176</v>
      </c>
      <c r="C88" s="490">
        <v>1168</v>
      </c>
      <c r="D88" s="63" t="s">
        <v>170</v>
      </c>
      <c r="E88" s="490">
        <v>2</v>
      </c>
      <c r="F88" s="559"/>
      <c r="G88" s="559"/>
      <c r="H88" s="559"/>
      <c r="I88" s="559"/>
      <c r="J88" s="659"/>
      <c r="K88" s="660"/>
      <c r="L88" s="237" t="s">
        <v>1832</v>
      </c>
      <c r="M88" s="237" t="s">
        <v>1111</v>
      </c>
      <c r="N88" s="237" t="s">
        <v>174</v>
      </c>
      <c r="O88" s="191" t="s">
        <v>1813</v>
      </c>
      <c r="P88" s="237" t="s">
        <v>1555</v>
      </c>
      <c r="Q88" s="249">
        <v>42730</v>
      </c>
      <c r="R88" s="264"/>
      <c r="S88" s="191" t="s">
        <v>867</v>
      </c>
      <c r="T88" s="237" t="s">
        <v>1833</v>
      </c>
      <c r="U88" s="185" t="s">
        <v>1287</v>
      </c>
      <c r="V88" s="237" t="s">
        <v>1834</v>
      </c>
      <c r="W88" s="265">
        <v>901030280</v>
      </c>
      <c r="X88" s="472"/>
      <c r="Y88" s="191" t="s">
        <v>1669</v>
      </c>
      <c r="Z88" s="237"/>
      <c r="AA88" s="392">
        <v>345</v>
      </c>
      <c r="AB88" s="416">
        <v>42629</v>
      </c>
      <c r="AC88" s="392">
        <v>652</v>
      </c>
      <c r="AD88" s="391">
        <v>3107207609</v>
      </c>
      <c r="AE88" s="391"/>
      <c r="AF88" s="391"/>
      <c r="AG88" s="391"/>
      <c r="AH88" s="391"/>
      <c r="AI88" s="391"/>
      <c r="AJ88" s="535"/>
      <c r="AK88" s="535"/>
      <c r="AL88" s="535"/>
      <c r="AM88" s="535"/>
      <c r="AN88" s="539"/>
      <c r="AO88" s="535"/>
      <c r="AP88" s="535"/>
      <c r="AQ88" s="535">
        <f t="shared" si="6"/>
        <v>0</v>
      </c>
      <c r="AR88" s="535">
        <f t="shared" si="7"/>
        <v>3107207609</v>
      </c>
      <c r="AS88" s="544">
        <f t="shared" si="9"/>
        <v>0</v>
      </c>
      <c r="AT88" s="277">
        <f t="shared" si="8"/>
        <v>0</v>
      </c>
    </row>
    <row r="89" spans="1:46" s="25" customFormat="1" x14ac:dyDescent="0.25">
      <c r="A89" s="490">
        <v>126</v>
      </c>
      <c r="B89" s="63" t="s">
        <v>176</v>
      </c>
      <c r="C89" s="490">
        <v>1168</v>
      </c>
      <c r="D89" s="63" t="s">
        <v>170</v>
      </c>
      <c r="E89" s="490">
        <v>2</v>
      </c>
      <c r="F89" s="559"/>
      <c r="G89" s="559"/>
      <c r="H89" s="559"/>
      <c r="I89" s="559"/>
      <c r="J89" s="659"/>
      <c r="K89" s="660"/>
      <c r="L89" s="237" t="s">
        <v>1832</v>
      </c>
      <c r="M89" s="237" t="s">
        <v>1111</v>
      </c>
      <c r="N89" s="237" t="s">
        <v>174</v>
      </c>
      <c r="O89" s="191" t="s">
        <v>1813</v>
      </c>
      <c r="P89" s="237" t="s">
        <v>1555</v>
      </c>
      <c r="Q89" s="249">
        <v>42726</v>
      </c>
      <c r="R89" s="264"/>
      <c r="S89" s="191" t="s">
        <v>867</v>
      </c>
      <c r="T89" s="237" t="s">
        <v>1835</v>
      </c>
      <c r="U89" s="185" t="s">
        <v>1287</v>
      </c>
      <c r="V89" s="237" t="s">
        <v>1836</v>
      </c>
      <c r="W89" s="265">
        <v>901031447</v>
      </c>
      <c r="X89" s="472"/>
      <c r="Y89" s="191" t="s">
        <v>1669</v>
      </c>
      <c r="Z89" s="237"/>
      <c r="AA89" s="392">
        <v>344</v>
      </c>
      <c r="AB89" s="416">
        <v>42629</v>
      </c>
      <c r="AC89" s="392">
        <v>651</v>
      </c>
      <c r="AD89" s="391">
        <v>3000000000</v>
      </c>
      <c r="AE89" s="391"/>
      <c r="AF89" s="391"/>
      <c r="AG89" s="391"/>
      <c r="AH89" s="391"/>
      <c r="AI89" s="391"/>
      <c r="AJ89" s="535"/>
      <c r="AK89" s="535"/>
      <c r="AL89" s="535"/>
      <c r="AM89" s="535"/>
      <c r="AN89" s="539"/>
      <c r="AO89" s="535"/>
      <c r="AP89" s="535"/>
      <c r="AQ89" s="535">
        <f t="shared" si="6"/>
        <v>0</v>
      </c>
      <c r="AR89" s="535">
        <f t="shared" si="7"/>
        <v>3000000000</v>
      </c>
      <c r="AS89" s="544">
        <f t="shared" si="9"/>
        <v>0</v>
      </c>
      <c r="AT89" s="277">
        <f t="shared" si="8"/>
        <v>0</v>
      </c>
    </row>
    <row r="90" spans="1:46" s="25" customFormat="1" x14ac:dyDescent="0.25">
      <c r="A90" s="490">
        <v>126</v>
      </c>
      <c r="B90" s="63" t="s">
        <v>176</v>
      </c>
      <c r="C90" s="490">
        <v>1168</v>
      </c>
      <c r="D90" s="63" t="s">
        <v>170</v>
      </c>
      <c r="E90" s="490">
        <v>2</v>
      </c>
      <c r="F90" s="559"/>
      <c r="G90" s="559"/>
      <c r="H90" s="559"/>
      <c r="I90" s="559"/>
      <c r="J90" s="659"/>
      <c r="K90" s="660"/>
      <c r="L90" s="237" t="s">
        <v>1842</v>
      </c>
      <c r="M90" s="237" t="s">
        <v>1111</v>
      </c>
      <c r="N90" s="237" t="s">
        <v>174</v>
      </c>
      <c r="O90" s="191" t="s">
        <v>1328</v>
      </c>
      <c r="P90" s="237" t="s">
        <v>1026</v>
      </c>
      <c r="Q90" s="249">
        <v>42724</v>
      </c>
      <c r="R90" s="264"/>
      <c r="S90" s="191" t="s">
        <v>867</v>
      </c>
      <c r="T90" s="237" t="s">
        <v>1844</v>
      </c>
      <c r="U90" s="185" t="s">
        <v>1287</v>
      </c>
      <c r="V90" s="237" t="s">
        <v>1843</v>
      </c>
      <c r="W90" s="265">
        <v>901034361</v>
      </c>
      <c r="X90" s="185" t="s">
        <v>90</v>
      </c>
      <c r="Y90" s="191" t="s">
        <v>1669</v>
      </c>
      <c r="Z90" s="237"/>
      <c r="AA90" s="392">
        <v>376</v>
      </c>
      <c r="AB90" s="416">
        <v>42669</v>
      </c>
      <c r="AC90" s="392">
        <v>650</v>
      </c>
      <c r="AD90" s="391">
        <v>650000000</v>
      </c>
      <c r="AE90" s="391"/>
      <c r="AF90" s="391"/>
      <c r="AG90" s="391"/>
      <c r="AH90" s="391"/>
      <c r="AI90" s="391"/>
      <c r="AJ90" s="535"/>
      <c r="AK90" s="535"/>
      <c r="AL90" s="535"/>
      <c r="AM90" s="535"/>
      <c r="AN90" s="535"/>
      <c r="AO90" s="535"/>
      <c r="AP90" s="535"/>
      <c r="AQ90" s="535">
        <f t="shared" si="6"/>
        <v>0</v>
      </c>
      <c r="AR90" s="535">
        <f t="shared" si="7"/>
        <v>650000000</v>
      </c>
      <c r="AS90" s="544">
        <f t="shared" si="9"/>
        <v>0</v>
      </c>
      <c r="AT90" s="277">
        <f t="shared" si="8"/>
        <v>0</v>
      </c>
    </row>
    <row r="91" spans="1:46" s="25" customFormat="1" x14ac:dyDescent="0.25">
      <c r="A91" s="490">
        <v>126</v>
      </c>
      <c r="B91" s="63" t="s">
        <v>176</v>
      </c>
      <c r="C91" s="490">
        <v>1168</v>
      </c>
      <c r="D91" s="63" t="s">
        <v>170</v>
      </c>
      <c r="E91" s="490">
        <v>2</v>
      </c>
      <c r="F91" s="559"/>
      <c r="G91" s="559"/>
      <c r="H91" s="559"/>
      <c r="I91" s="559"/>
      <c r="J91" s="659"/>
      <c r="K91" s="660"/>
      <c r="L91" s="237" t="s">
        <v>1845</v>
      </c>
      <c r="M91" s="237" t="s">
        <v>1111</v>
      </c>
      <c r="N91" s="237" t="s">
        <v>174</v>
      </c>
      <c r="O91" s="191" t="s">
        <v>1615</v>
      </c>
      <c r="P91" s="237" t="s">
        <v>1026</v>
      </c>
      <c r="Q91" s="249">
        <v>42734</v>
      </c>
      <c r="R91" s="473"/>
      <c r="S91" s="351"/>
      <c r="T91" s="351" t="s">
        <v>1846</v>
      </c>
      <c r="U91" s="185" t="s">
        <v>1287</v>
      </c>
      <c r="V91" s="237" t="s">
        <v>988</v>
      </c>
      <c r="W91" s="194">
        <v>800172033</v>
      </c>
      <c r="X91" s="185" t="s">
        <v>90</v>
      </c>
      <c r="Y91" s="474" t="s">
        <v>884</v>
      </c>
      <c r="Z91" s="237"/>
      <c r="AA91" s="392">
        <v>489</v>
      </c>
      <c r="AB91" s="416">
        <v>42733</v>
      </c>
      <c r="AC91" s="392">
        <v>732</v>
      </c>
      <c r="AD91" s="391">
        <v>14150000</v>
      </c>
      <c r="AE91" s="535"/>
      <c r="AF91" s="535"/>
      <c r="AG91" s="535"/>
      <c r="AH91" s="535"/>
      <c r="AI91" s="535"/>
      <c r="AJ91" s="535"/>
      <c r="AK91" s="535"/>
      <c r="AL91" s="535"/>
      <c r="AM91" s="535"/>
      <c r="AN91" s="535"/>
      <c r="AO91" s="535"/>
      <c r="AP91" s="535"/>
      <c r="AQ91" s="535">
        <f t="shared" si="6"/>
        <v>0</v>
      </c>
      <c r="AR91" s="535">
        <f t="shared" si="7"/>
        <v>14150000</v>
      </c>
      <c r="AS91" s="544">
        <f t="shared" si="9"/>
        <v>0</v>
      </c>
      <c r="AT91" s="277">
        <f t="shared" si="8"/>
        <v>0</v>
      </c>
    </row>
    <row r="92" spans="1:46" s="25" customFormat="1" x14ac:dyDescent="0.25">
      <c r="A92" s="490">
        <v>127</v>
      </c>
      <c r="B92" s="63" t="s">
        <v>178</v>
      </c>
      <c r="C92" s="490">
        <v>1168</v>
      </c>
      <c r="D92" s="63" t="s">
        <v>170</v>
      </c>
      <c r="E92" s="490">
        <v>3</v>
      </c>
      <c r="F92" s="584" t="s">
        <v>171</v>
      </c>
      <c r="G92" s="584">
        <v>12000</v>
      </c>
      <c r="H92" s="584" t="s">
        <v>180</v>
      </c>
      <c r="I92" s="584" t="s">
        <v>181</v>
      </c>
      <c r="J92" s="619"/>
      <c r="K92" s="621"/>
      <c r="L92" s="237" t="s">
        <v>1837</v>
      </c>
      <c r="M92" s="237" t="s">
        <v>1838</v>
      </c>
      <c r="N92" s="237" t="s">
        <v>174</v>
      </c>
      <c r="O92" s="191" t="s">
        <v>1813</v>
      </c>
      <c r="P92" s="191" t="s">
        <v>1113</v>
      </c>
      <c r="Q92" s="249">
        <v>42733</v>
      </c>
      <c r="R92" s="264"/>
      <c r="S92" s="259" t="s">
        <v>1410</v>
      </c>
      <c r="T92" s="237" t="s">
        <v>1839</v>
      </c>
      <c r="U92" s="249" t="s">
        <v>1287</v>
      </c>
      <c r="V92" s="237" t="s">
        <v>1840</v>
      </c>
      <c r="W92" s="265">
        <v>901038200</v>
      </c>
      <c r="X92" s="472"/>
      <c r="Y92" s="191" t="s">
        <v>1669</v>
      </c>
      <c r="Z92" s="237" t="s">
        <v>1841</v>
      </c>
      <c r="AA92" s="392">
        <v>361</v>
      </c>
      <c r="AB92" s="416">
        <v>42649</v>
      </c>
      <c r="AC92" s="392">
        <v>734</v>
      </c>
      <c r="AD92" s="391">
        <v>1163857457</v>
      </c>
      <c r="AE92" s="391"/>
      <c r="AF92" s="391"/>
      <c r="AG92" s="391"/>
      <c r="AH92" s="391"/>
      <c r="AI92" s="391"/>
      <c r="AJ92" s="535"/>
      <c r="AK92" s="535"/>
      <c r="AL92" s="535"/>
      <c r="AM92" s="535"/>
      <c r="AN92" s="535"/>
      <c r="AO92" s="535"/>
      <c r="AP92" s="535"/>
      <c r="AQ92" s="535">
        <f t="shared" si="6"/>
        <v>0</v>
      </c>
      <c r="AR92" s="535">
        <f t="shared" si="7"/>
        <v>1163857457</v>
      </c>
      <c r="AS92" s="544">
        <f t="shared" si="9"/>
        <v>0</v>
      </c>
      <c r="AT92" s="277">
        <f t="shared" si="8"/>
        <v>0</v>
      </c>
    </row>
    <row r="93" spans="1:46" s="25" customFormat="1" x14ac:dyDescent="0.25">
      <c r="A93" s="490">
        <v>127</v>
      </c>
      <c r="B93" s="63" t="s">
        <v>178</v>
      </c>
      <c r="C93" s="490">
        <v>1168</v>
      </c>
      <c r="D93" s="63" t="s">
        <v>170</v>
      </c>
      <c r="E93" s="490">
        <v>3</v>
      </c>
      <c r="F93" s="585"/>
      <c r="G93" s="585"/>
      <c r="H93" s="585"/>
      <c r="I93" s="585"/>
      <c r="J93" s="620"/>
      <c r="K93" s="622"/>
      <c r="L93" s="237" t="s">
        <v>1847</v>
      </c>
      <c r="M93" s="237" t="s">
        <v>1838</v>
      </c>
      <c r="N93" s="237" t="s">
        <v>174</v>
      </c>
      <c r="O93" s="191" t="s">
        <v>1328</v>
      </c>
      <c r="P93" s="237" t="s">
        <v>1026</v>
      </c>
      <c r="Q93" s="249">
        <v>42733</v>
      </c>
      <c r="R93" s="264"/>
      <c r="S93" s="264" t="s">
        <v>724</v>
      </c>
      <c r="T93" s="237" t="s">
        <v>1848</v>
      </c>
      <c r="U93" s="249" t="s">
        <v>1287</v>
      </c>
      <c r="V93" s="470" t="s">
        <v>1849</v>
      </c>
      <c r="W93" s="265">
        <v>901038419</v>
      </c>
      <c r="X93" s="185" t="s">
        <v>90</v>
      </c>
      <c r="Y93" s="191" t="s">
        <v>1669</v>
      </c>
      <c r="Z93" s="237"/>
      <c r="AA93" s="392">
        <v>400</v>
      </c>
      <c r="AB93" s="416">
        <v>42686</v>
      </c>
      <c r="AC93" s="392">
        <v>735</v>
      </c>
      <c r="AD93" s="391">
        <v>112525800</v>
      </c>
      <c r="AE93" s="391"/>
      <c r="AF93" s="391"/>
      <c r="AG93" s="391"/>
      <c r="AH93" s="391"/>
      <c r="AI93" s="391"/>
      <c r="AJ93" s="535"/>
      <c r="AK93" s="535"/>
      <c r="AL93" s="535"/>
      <c r="AM93" s="535"/>
      <c r="AN93" s="535"/>
      <c r="AO93" s="535"/>
      <c r="AP93" s="535"/>
      <c r="AQ93" s="535">
        <f t="shared" si="6"/>
        <v>0</v>
      </c>
      <c r="AR93" s="535">
        <f t="shared" si="7"/>
        <v>112525800</v>
      </c>
      <c r="AS93" s="544">
        <f t="shared" si="9"/>
        <v>0</v>
      </c>
      <c r="AT93" s="277">
        <f t="shared" si="8"/>
        <v>0</v>
      </c>
    </row>
    <row r="94" spans="1:46" s="25" customFormat="1" x14ac:dyDescent="0.25">
      <c r="A94" s="490">
        <v>127</v>
      </c>
      <c r="B94" s="63" t="s">
        <v>178</v>
      </c>
      <c r="C94" s="490">
        <v>1168</v>
      </c>
      <c r="D94" s="63" t="s">
        <v>170</v>
      </c>
      <c r="E94" s="490">
        <v>3</v>
      </c>
      <c r="F94" s="585"/>
      <c r="G94" s="585"/>
      <c r="H94" s="585"/>
      <c r="I94" s="585"/>
      <c r="J94" s="620"/>
      <c r="K94" s="622"/>
      <c r="L94" s="279"/>
      <c r="M94" s="237"/>
      <c r="N94" s="279"/>
      <c r="O94" s="191"/>
      <c r="P94" s="237"/>
      <c r="Q94" s="249"/>
      <c r="R94" s="264"/>
      <c r="S94" s="264"/>
      <c r="T94" s="237"/>
      <c r="U94" s="249"/>
      <c r="V94" s="237"/>
      <c r="W94" s="265"/>
      <c r="X94" s="259"/>
      <c r="Y94" s="191"/>
      <c r="Z94" s="279"/>
      <c r="AA94" s="392"/>
      <c r="AB94" s="416"/>
      <c r="AC94" s="392"/>
      <c r="AD94" s="391"/>
      <c r="AE94" s="391"/>
      <c r="AF94" s="391"/>
      <c r="AG94" s="391"/>
      <c r="AH94" s="391"/>
      <c r="AI94" s="391"/>
      <c r="AJ94" s="535"/>
      <c r="AK94" s="535"/>
      <c r="AL94" s="535"/>
      <c r="AM94" s="535"/>
      <c r="AN94" s="535"/>
      <c r="AO94" s="535"/>
      <c r="AP94" s="535"/>
      <c r="AQ94" s="535">
        <f t="shared" si="6"/>
        <v>0</v>
      </c>
      <c r="AR94" s="535">
        <f t="shared" si="7"/>
        <v>0</v>
      </c>
      <c r="AS94" s="544"/>
      <c r="AT94" s="277">
        <f t="shared" si="8"/>
        <v>0</v>
      </c>
    </row>
    <row r="95" spans="1:46" s="25" customFormat="1" x14ac:dyDescent="0.25">
      <c r="A95" s="490">
        <v>128</v>
      </c>
      <c r="B95" s="63" t="s">
        <v>184</v>
      </c>
      <c r="C95" s="490">
        <v>1170</v>
      </c>
      <c r="D95" s="63" t="s">
        <v>186</v>
      </c>
      <c r="E95" s="490">
        <v>1</v>
      </c>
      <c r="F95" s="584" t="s">
        <v>53</v>
      </c>
      <c r="G95" s="584">
        <v>400</v>
      </c>
      <c r="H95" s="584" t="s">
        <v>61</v>
      </c>
      <c r="I95" s="584" t="s">
        <v>187</v>
      </c>
      <c r="J95" s="619"/>
      <c r="K95" s="621"/>
      <c r="L95" s="351" t="s">
        <v>1850</v>
      </c>
      <c r="M95" s="351" t="s">
        <v>1611</v>
      </c>
      <c r="N95" s="164" t="s">
        <v>1851</v>
      </c>
      <c r="O95" s="237" t="s">
        <v>1759</v>
      </c>
      <c r="P95" s="164" t="s">
        <v>1315</v>
      </c>
      <c r="Q95" s="403">
        <v>42699</v>
      </c>
      <c r="R95" s="403">
        <v>42709</v>
      </c>
      <c r="S95" s="351" t="s">
        <v>378</v>
      </c>
      <c r="T95" s="237" t="s">
        <v>1852</v>
      </c>
      <c r="U95" s="237" t="s">
        <v>1287</v>
      </c>
      <c r="V95" s="164" t="s">
        <v>1853</v>
      </c>
      <c r="W95" s="187">
        <v>900296740</v>
      </c>
      <c r="X95" s="237">
        <v>200</v>
      </c>
      <c r="Y95" s="237" t="s">
        <v>884</v>
      </c>
      <c r="Z95" s="237" t="s">
        <v>1854</v>
      </c>
      <c r="AA95" s="277">
        <v>380</v>
      </c>
      <c r="AB95" s="416">
        <v>42691</v>
      </c>
      <c r="AC95" s="259">
        <v>617</v>
      </c>
      <c r="AD95" s="545">
        <v>16974000</v>
      </c>
      <c r="AE95" s="535"/>
      <c r="AF95" s="535"/>
      <c r="AG95" s="535"/>
      <c r="AH95" s="535"/>
      <c r="AI95" s="535"/>
      <c r="AJ95" s="535"/>
      <c r="AK95" s="535"/>
      <c r="AL95" s="535"/>
      <c r="AM95" s="535"/>
      <c r="AN95" s="535"/>
      <c r="AO95" s="535"/>
      <c r="AP95" s="535"/>
      <c r="AQ95" s="535">
        <f t="shared" si="6"/>
        <v>0</v>
      </c>
      <c r="AR95" s="535">
        <f t="shared" si="7"/>
        <v>16974000</v>
      </c>
      <c r="AS95" s="544">
        <f t="shared" si="9"/>
        <v>0</v>
      </c>
      <c r="AT95" s="277">
        <f t="shared" si="8"/>
        <v>0</v>
      </c>
    </row>
    <row r="96" spans="1:46" s="25" customFormat="1" x14ac:dyDescent="0.25">
      <c r="A96" s="490">
        <v>128</v>
      </c>
      <c r="B96" s="63" t="s">
        <v>184</v>
      </c>
      <c r="C96" s="490">
        <v>1170</v>
      </c>
      <c r="D96" s="63" t="s">
        <v>186</v>
      </c>
      <c r="E96" s="490">
        <v>1</v>
      </c>
      <c r="F96" s="585"/>
      <c r="G96" s="585"/>
      <c r="H96" s="585"/>
      <c r="I96" s="585"/>
      <c r="J96" s="620"/>
      <c r="K96" s="622"/>
      <c r="L96" s="237"/>
      <c r="M96" s="237"/>
      <c r="N96" s="237"/>
      <c r="O96" s="237"/>
      <c r="P96" s="237"/>
      <c r="Q96" s="237"/>
      <c r="R96" s="237"/>
      <c r="S96" s="237"/>
      <c r="T96" s="237"/>
      <c r="U96" s="237"/>
      <c r="V96" s="237"/>
      <c r="W96" s="237"/>
      <c r="X96" s="237"/>
      <c r="Y96" s="237"/>
      <c r="Z96" s="237"/>
      <c r="AA96" s="392"/>
      <c r="AB96" s="416"/>
      <c r="AC96" s="392"/>
      <c r="AD96" s="391"/>
      <c r="AE96" s="535"/>
      <c r="AF96" s="535"/>
      <c r="AG96" s="535"/>
      <c r="AH96" s="535"/>
      <c r="AI96" s="535"/>
      <c r="AJ96" s="535"/>
      <c r="AK96" s="535"/>
      <c r="AL96" s="535"/>
      <c r="AM96" s="535"/>
      <c r="AN96" s="535"/>
      <c r="AO96" s="535"/>
      <c r="AP96" s="535"/>
      <c r="AQ96" s="535">
        <f t="shared" si="6"/>
        <v>0</v>
      </c>
      <c r="AR96" s="535">
        <f t="shared" si="7"/>
        <v>0</v>
      </c>
      <c r="AS96" s="544"/>
      <c r="AT96" s="277">
        <f t="shared" si="8"/>
        <v>0</v>
      </c>
    </row>
    <row r="97" spans="1:46" s="25" customFormat="1" x14ac:dyDescent="0.25">
      <c r="A97" s="490">
        <v>128</v>
      </c>
      <c r="B97" s="63" t="s">
        <v>184</v>
      </c>
      <c r="C97" s="490">
        <v>1170</v>
      </c>
      <c r="D97" s="63" t="s">
        <v>186</v>
      </c>
      <c r="E97" s="490">
        <v>1</v>
      </c>
      <c r="F97" s="585"/>
      <c r="G97" s="585"/>
      <c r="H97" s="585"/>
      <c r="I97" s="585"/>
      <c r="J97" s="620"/>
      <c r="K97" s="622"/>
      <c r="L97" s="237"/>
      <c r="M97" s="237"/>
      <c r="N97" s="237"/>
      <c r="O97" s="237"/>
      <c r="P97" s="237"/>
      <c r="Q97" s="237"/>
      <c r="R97" s="237"/>
      <c r="S97" s="237"/>
      <c r="T97" s="237"/>
      <c r="U97" s="237"/>
      <c r="V97" s="237"/>
      <c r="W97" s="237"/>
      <c r="X97" s="237"/>
      <c r="Y97" s="237"/>
      <c r="Z97" s="237"/>
      <c r="AA97" s="392"/>
      <c r="AB97" s="416"/>
      <c r="AC97" s="392"/>
      <c r="AD97" s="391"/>
      <c r="AE97" s="535"/>
      <c r="AF97" s="535"/>
      <c r="AG97" s="535"/>
      <c r="AH97" s="535"/>
      <c r="AI97" s="535"/>
      <c r="AJ97" s="535"/>
      <c r="AK97" s="535"/>
      <c r="AL97" s="535"/>
      <c r="AM97" s="535"/>
      <c r="AN97" s="535"/>
      <c r="AO97" s="535"/>
      <c r="AP97" s="535"/>
      <c r="AQ97" s="535">
        <f t="shared" si="6"/>
        <v>0</v>
      </c>
      <c r="AR97" s="535">
        <f t="shared" si="7"/>
        <v>0</v>
      </c>
      <c r="AS97" s="544"/>
      <c r="AT97" s="277">
        <f t="shared" si="8"/>
        <v>0</v>
      </c>
    </row>
    <row r="98" spans="1:46" s="25" customFormat="1" x14ac:dyDescent="0.25">
      <c r="A98" s="490">
        <v>129</v>
      </c>
      <c r="B98" s="63" t="s">
        <v>189</v>
      </c>
      <c r="C98" s="490">
        <v>1170</v>
      </c>
      <c r="D98" s="63" t="s">
        <v>186</v>
      </c>
      <c r="E98" s="490">
        <v>2</v>
      </c>
      <c r="F98" s="559" t="s">
        <v>130</v>
      </c>
      <c r="G98" s="559">
        <v>1</v>
      </c>
      <c r="H98" s="559" t="s">
        <v>191</v>
      </c>
      <c r="I98" s="559" t="s">
        <v>192</v>
      </c>
      <c r="J98" s="659"/>
      <c r="K98" s="660"/>
      <c r="L98" s="351" t="s">
        <v>1855</v>
      </c>
      <c r="M98" s="351" t="s">
        <v>1611</v>
      </c>
      <c r="N98" s="164" t="s">
        <v>1851</v>
      </c>
      <c r="O98" s="237" t="s">
        <v>1759</v>
      </c>
      <c r="P98" s="237" t="s">
        <v>1558</v>
      </c>
      <c r="Q98" s="405">
        <v>42730</v>
      </c>
      <c r="R98" s="402"/>
      <c r="S98" s="192" t="s">
        <v>378</v>
      </c>
      <c r="T98" s="237" t="s">
        <v>1856</v>
      </c>
      <c r="U98" s="192" t="s">
        <v>1332</v>
      </c>
      <c r="V98" s="192" t="s">
        <v>1857</v>
      </c>
      <c r="W98" s="192" t="s">
        <v>1858</v>
      </c>
      <c r="X98" s="192" t="s">
        <v>1859</v>
      </c>
      <c r="Y98" s="192" t="s">
        <v>1669</v>
      </c>
      <c r="Z98" s="237" t="s">
        <v>1333</v>
      </c>
      <c r="AA98" s="277">
        <v>372</v>
      </c>
      <c r="AB98" s="416">
        <v>42652</v>
      </c>
      <c r="AC98" s="259">
        <v>653</v>
      </c>
      <c r="AD98" s="545">
        <v>17779931</v>
      </c>
      <c r="AE98" s="535"/>
      <c r="AF98" s="535"/>
      <c r="AG98" s="535"/>
      <c r="AH98" s="535"/>
      <c r="AI98" s="535"/>
      <c r="AJ98" s="535"/>
      <c r="AK98" s="535"/>
      <c r="AL98" s="535"/>
      <c r="AM98" s="535"/>
      <c r="AN98" s="535"/>
      <c r="AO98" s="535"/>
      <c r="AP98" s="535"/>
      <c r="AQ98" s="535">
        <f t="shared" si="6"/>
        <v>0</v>
      </c>
      <c r="AR98" s="535">
        <f t="shared" si="7"/>
        <v>17779931</v>
      </c>
      <c r="AS98" s="544">
        <f t="shared" si="9"/>
        <v>0</v>
      </c>
      <c r="AT98" s="277">
        <f t="shared" si="8"/>
        <v>0</v>
      </c>
    </row>
    <row r="99" spans="1:46" s="25" customFormat="1" x14ac:dyDescent="0.25">
      <c r="A99" s="490">
        <v>129</v>
      </c>
      <c r="B99" s="63" t="s">
        <v>189</v>
      </c>
      <c r="C99" s="490">
        <v>1170</v>
      </c>
      <c r="D99" s="63" t="s">
        <v>186</v>
      </c>
      <c r="E99" s="490">
        <v>2</v>
      </c>
      <c r="F99" s="559"/>
      <c r="G99" s="559"/>
      <c r="H99" s="559"/>
      <c r="I99" s="559"/>
      <c r="J99" s="659"/>
      <c r="K99" s="660"/>
      <c r="L99" s="237"/>
      <c r="M99" s="351"/>
      <c r="N99" s="164"/>
      <c r="O99" s="237"/>
      <c r="P99" s="164"/>
      <c r="Q99" s="402"/>
      <c r="R99" s="407"/>
      <c r="S99" s="351"/>
      <c r="T99" s="237"/>
      <c r="U99" s="192"/>
      <c r="V99" s="164"/>
      <c r="W99" s="263"/>
      <c r="X99" s="192"/>
      <c r="Y99" s="192"/>
      <c r="Z99" s="237"/>
      <c r="AA99" s="277"/>
      <c r="AB99" s="416"/>
      <c r="AC99" s="259"/>
      <c r="AD99" s="391"/>
      <c r="AE99" s="535"/>
      <c r="AF99" s="535"/>
      <c r="AG99" s="535"/>
      <c r="AH99" s="535"/>
      <c r="AI99" s="535"/>
      <c r="AJ99" s="535"/>
      <c r="AK99" s="535"/>
      <c r="AL99" s="535"/>
      <c r="AM99" s="535"/>
      <c r="AN99" s="535"/>
      <c r="AO99" s="535"/>
      <c r="AP99" s="535"/>
      <c r="AQ99" s="535">
        <f t="shared" si="6"/>
        <v>0</v>
      </c>
      <c r="AR99" s="535">
        <f t="shared" si="7"/>
        <v>0</v>
      </c>
      <c r="AS99" s="544"/>
      <c r="AT99" s="277">
        <f t="shared" si="8"/>
        <v>0</v>
      </c>
    </row>
    <row r="100" spans="1:46" s="25" customFormat="1" x14ac:dyDescent="0.25">
      <c r="A100" s="490">
        <v>129</v>
      </c>
      <c r="B100" s="63" t="s">
        <v>189</v>
      </c>
      <c r="C100" s="490">
        <v>1170</v>
      </c>
      <c r="D100" s="63" t="s">
        <v>186</v>
      </c>
      <c r="E100" s="490">
        <v>2</v>
      </c>
      <c r="F100" s="559"/>
      <c r="G100" s="559"/>
      <c r="H100" s="559"/>
      <c r="I100" s="559"/>
      <c r="J100" s="659"/>
      <c r="K100" s="660"/>
      <c r="L100" s="237"/>
      <c r="M100" s="351"/>
      <c r="N100" s="164"/>
      <c r="O100" s="237"/>
      <c r="P100" s="164"/>
      <c r="Q100" s="402"/>
      <c r="R100" s="402"/>
      <c r="S100" s="351"/>
      <c r="T100" s="237"/>
      <c r="U100" s="237"/>
      <c r="V100" s="164"/>
      <c r="W100" s="187"/>
      <c r="X100" s="237"/>
      <c r="Y100" s="237"/>
      <c r="Z100" s="237"/>
      <c r="AA100" s="277"/>
      <c r="AB100" s="416"/>
      <c r="AC100" s="259"/>
      <c r="AD100" s="391"/>
      <c r="AE100" s="535"/>
      <c r="AF100" s="535"/>
      <c r="AG100" s="535"/>
      <c r="AH100" s="535"/>
      <c r="AI100" s="535"/>
      <c r="AJ100" s="535"/>
      <c r="AK100" s="535"/>
      <c r="AL100" s="535"/>
      <c r="AM100" s="535"/>
      <c r="AN100" s="535"/>
      <c r="AO100" s="535"/>
      <c r="AP100" s="535"/>
      <c r="AQ100" s="535">
        <f t="shared" si="6"/>
        <v>0</v>
      </c>
      <c r="AR100" s="535">
        <f t="shared" si="7"/>
        <v>0</v>
      </c>
      <c r="AS100" s="544"/>
      <c r="AT100" s="277">
        <f t="shared" si="8"/>
        <v>0</v>
      </c>
    </row>
    <row r="101" spans="1:46" s="25" customFormat="1" x14ac:dyDescent="0.25">
      <c r="A101" s="490">
        <v>130</v>
      </c>
      <c r="B101" s="63" t="s">
        <v>194</v>
      </c>
      <c r="C101" s="490">
        <v>1172</v>
      </c>
      <c r="D101" s="63" t="s">
        <v>196</v>
      </c>
      <c r="E101" s="490">
        <v>1</v>
      </c>
      <c r="F101" s="559" t="s">
        <v>53</v>
      </c>
      <c r="G101" s="559">
        <v>400</v>
      </c>
      <c r="H101" s="559" t="s">
        <v>61</v>
      </c>
      <c r="I101" s="559" t="s">
        <v>197</v>
      </c>
      <c r="J101" s="659"/>
      <c r="K101" s="660"/>
      <c r="L101" s="397" t="s">
        <v>1860</v>
      </c>
      <c r="M101" s="398" t="s">
        <v>1851</v>
      </c>
      <c r="N101" s="237" t="s">
        <v>1851</v>
      </c>
      <c r="O101" s="237" t="s">
        <v>793</v>
      </c>
      <c r="P101" s="475" t="s">
        <v>1861</v>
      </c>
      <c r="Q101" s="405">
        <v>42733</v>
      </c>
      <c r="R101" s="405"/>
      <c r="S101" s="351" t="s">
        <v>1336</v>
      </c>
      <c r="T101" s="381" t="s">
        <v>1828</v>
      </c>
      <c r="U101" s="351" t="s">
        <v>1287</v>
      </c>
      <c r="V101" s="475" t="s">
        <v>1862</v>
      </c>
      <c r="W101" s="263" t="s">
        <v>1830</v>
      </c>
      <c r="X101" s="351">
        <v>400</v>
      </c>
      <c r="Y101" s="237" t="s">
        <v>870</v>
      </c>
      <c r="Z101" s="237"/>
      <c r="AA101" s="419">
        <v>425</v>
      </c>
      <c r="AB101" s="416">
        <v>42724</v>
      </c>
      <c r="AC101" s="396">
        <v>729</v>
      </c>
      <c r="AD101" s="534">
        <v>120000000</v>
      </c>
      <c r="AE101" s="535"/>
      <c r="AF101" s="535"/>
      <c r="AG101" s="535"/>
      <c r="AH101" s="535"/>
      <c r="AI101" s="535"/>
      <c r="AJ101" s="535"/>
      <c r="AK101" s="535"/>
      <c r="AL101" s="535"/>
      <c r="AM101" s="535"/>
      <c r="AN101" s="535"/>
      <c r="AO101" s="535"/>
      <c r="AP101" s="535"/>
      <c r="AQ101" s="535">
        <f t="shared" si="6"/>
        <v>0</v>
      </c>
      <c r="AR101" s="535">
        <f t="shared" si="7"/>
        <v>120000000</v>
      </c>
      <c r="AS101" s="544">
        <f t="shared" si="9"/>
        <v>0</v>
      </c>
      <c r="AT101" s="277">
        <f t="shared" si="8"/>
        <v>0</v>
      </c>
    </row>
    <row r="102" spans="1:46" s="25" customFormat="1" x14ac:dyDescent="0.25">
      <c r="A102" s="490">
        <v>130</v>
      </c>
      <c r="B102" s="63" t="s">
        <v>194</v>
      </c>
      <c r="C102" s="490">
        <v>1172</v>
      </c>
      <c r="D102" s="63" t="s">
        <v>196</v>
      </c>
      <c r="E102" s="490">
        <v>1</v>
      </c>
      <c r="F102" s="559"/>
      <c r="G102" s="559"/>
      <c r="H102" s="559"/>
      <c r="I102" s="559"/>
      <c r="J102" s="659"/>
      <c r="K102" s="660"/>
      <c r="L102" s="398"/>
      <c r="M102" s="398"/>
      <c r="N102" s="237"/>
      <c r="O102" s="237"/>
      <c r="P102" s="164"/>
      <c r="Q102" s="405"/>
      <c r="R102" s="405"/>
      <c r="S102" s="351"/>
      <c r="T102" s="164"/>
      <c r="V102" s="164"/>
      <c r="W102" s="187"/>
      <c r="X102" s="351"/>
      <c r="Y102" s="237"/>
      <c r="Z102" s="237"/>
      <c r="AA102" s="419"/>
      <c r="AB102" s="416"/>
      <c r="AC102" s="396"/>
      <c r="AD102" s="534"/>
      <c r="AE102" s="535"/>
      <c r="AF102" s="535"/>
      <c r="AG102" s="535"/>
      <c r="AH102" s="535"/>
      <c r="AI102" s="535"/>
      <c r="AJ102" s="535"/>
      <c r="AK102" s="535"/>
      <c r="AL102" s="535"/>
      <c r="AM102" s="535"/>
      <c r="AN102" s="535"/>
      <c r="AO102" s="535"/>
      <c r="AP102" s="535"/>
      <c r="AQ102" s="535">
        <f t="shared" si="6"/>
        <v>0</v>
      </c>
      <c r="AR102" s="535">
        <f t="shared" si="7"/>
        <v>0</v>
      </c>
      <c r="AS102" s="544"/>
      <c r="AT102" s="277">
        <f t="shared" si="8"/>
        <v>0</v>
      </c>
    </row>
    <row r="103" spans="1:46" s="25" customFormat="1" x14ac:dyDescent="0.25">
      <c r="A103" s="490">
        <v>130</v>
      </c>
      <c r="B103" s="63" t="s">
        <v>194</v>
      </c>
      <c r="C103" s="490">
        <v>1172</v>
      </c>
      <c r="D103" s="63" t="s">
        <v>196</v>
      </c>
      <c r="E103" s="490">
        <v>1</v>
      </c>
      <c r="F103" s="559"/>
      <c r="G103" s="559"/>
      <c r="H103" s="559"/>
      <c r="I103" s="559"/>
      <c r="J103" s="659"/>
      <c r="K103" s="660"/>
      <c r="L103" s="398"/>
      <c r="M103" s="398"/>
      <c r="N103" s="237"/>
      <c r="O103" s="237"/>
      <c r="P103" s="164"/>
      <c r="Q103" s="405"/>
      <c r="R103" s="405"/>
      <c r="S103" s="351"/>
      <c r="T103" s="164"/>
      <c r="U103" s="233"/>
      <c r="V103" s="164"/>
      <c r="W103" s="187"/>
      <c r="X103" s="351"/>
      <c r="Y103" s="237"/>
      <c r="Z103" s="237"/>
      <c r="AA103" s="419"/>
      <c r="AB103" s="416"/>
      <c r="AC103" s="396"/>
      <c r="AD103" s="534"/>
      <c r="AE103" s="535"/>
      <c r="AF103" s="535"/>
      <c r="AG103" s="535"/>
      <c r="AH103" s="535"/>
      <c r="AI103" s="535"/>
      <c r="AJ103" s="535"/>
      <c r="AK103" s="535"/>
      <c r="AL103" s="535"/>
      <c r="AM103" s="535"/>
      <c r="AN103" s="535"/>
      <c r="AO103" s="535"/>
      <c r="AP103" s="535"/>
      <c r="AQ103" s="535">
        <f t="shared" si="6"/>
        <v>0</v>
      </c>
      <c r="AR103" s="535">
        <f t="shared" si="7"/>
        <v>0</v>
      </c>
      <c r="AS103" s="544"/>
      <c r="AT103" s="277">
        <f t="shared" si="8"/>
        <v>0</v>
      </c>
    </row>
    <row r="104" spans="1:46" s="25" customFormat="1" x14ac:dyDescent="0.25">
      <c r="A104" s="490">
        <v>131</v>
      </c>
      <c r="B104" s="63" t="s">
        <v>201</v>
      </c>
      <c r="C104" s="490">
        <v>1174</v>
      </c>
      <c r="D104" s="63" t="s">
        <v>202</v>
      </c>
      <c r="E104" s="490">
        <v>1</v>
      </c>
      <c r="F104" s="559" t="s">
        <v>53</v>
      </c>
      <c r="G104" s="559">
        <v>160</v>
      </c>
      <c r="H104" s="559" t="s">
        <v>61</v>
      </c>
      <c r="I104" s="559" t="s">
        <v>203</v>
      </c>
      <c r="J104" s="659"/>
      <c r="K104" s="660"/>
      <c r="L104" s="237"/>
      <c r="M104" s="237"/>
      <c r="N104" s="237"/>
      <c r="O104" s="237"/>
      <c r="P104" s="237"/>
      <c r="Q104" s="237"/>
      <c r="R104" s="237"/>
      <c r="S104" s="237"/>
      <c r="T104" s="237"/>
      <c r="U104" s="237"/>
      <c r="V104" s="237"/>
      <c r="W104" s="237"/>
      <c r="X104" s="237"/>
      <c r="Y104" s="237"/>
      <c r="Z104" s="237"/>
      <c r="AA104" s="417"/>
      <c r="AB104" s="416"/>
      <c r="AC104" s="392"/>
      <c r="AD104" s="391"/>
      <c r="AE104" s="535"/>
      <c r="AF104" s="535"/>
      <c r="AG104" s="535"/>
      <c r="AH104" s="535"/>
      <c r="AI104" s="535"/>
      <c r="AJ104" s="535"/>
      <c r="AK104" s="535"/>
      <c r="AL104" s="535"/>
      <c r="AM104" s="535"/>
      <c r="AN104" s="535"/>
      <c r="AO104" s="535"/>
      <c r="AP104" s="535"/>
      <c r="AQ104" s="535">
        <f t="shared" si="6"/>
        <v>0</v>
      </c>
      <c r="AR104" s="535">
        <f t="shared" si="7"/>
        <v>0</v>
      </c>
      <c r="AS104" s="544"/>
      <c r="AT104" s="277">
        <f t="shared" si="8"/>
        <v>0</v>
      </c>
    </row>
    <row r="105" spans="1:46" s="25" customFormat="1" x14ac:dyDescent="0.25">
      <c r="A105" s="490">
        <v>131</v>
      </c>
      <c r="B105" s="63" t="s">
        <v>201</v>
      </c>
      <c r="C105" s="490">
        <v>1174</v>
      </c>
      <c r="D105" s="63" t="s">
        <v>202</v>
      </c>
      <c r="E105" s="490">
        <v>1</v>
      </c>
      <c r="F105" s="559"/>
      <c r="G105" s="559"/>
      <c r="H105" s="559"/>
      <c r="I105" s="559"/>
      <c r="J105" s="659"/>
      <c r="K105" s="660"/>
      <c r="L105" s="237"/>
      <c r="M105" s="237"/>
      <c r="N105" s="237"/>
      <c r="O105" s="237"/>
      <c r="P105" s="237"/>
      <c r="Q105" s="237"/>
      <c r="R105" s="237"/>
      <c r="S105" s="237"/>
      <c r="T105" s="237"/>
      <c r="U105" s="237"/>
      <c r="V105" s="237"/>
      <c r="W105" s="237"/>
      <c r="X105" s="237"/>
      <c r="Y105" s="237"/>
      <c r="Z105" s="237"/>
      <c r="AA105" s="417"/>
      <c r="AB105" s="416"/>
      <c r="AC105" s="392"/>
      <c r="AD105" s="391"/>
      <c r="AE105" s="535"/>
      <c r="AF105" s="535"/>
      <c r="AG105" s="535"/>
      <c r="AH105" s="535"/>
      <c r="AI105" s="535"/>
      <c r="AJ105" s="535"/>
      <c r="AK105" s="535"/>
      <c r="AL105" s="535"/>
      <c r="AM105" s="535"/>
      <c r="AN105" s="535"/>
      <c r="AO105" s="535"/>
      <c r="AP105" s="535"/>
      <c r="AQ105" s="535">
        <f t="shared" si="6"/>
        <v>0</v>
      </c>
      <c r="AR105" s="535">
        <f t="shared" si="7"/>
        <v>0</v>
      </c>
      <c r="AS105" s="544"/>
      <c r="AT105" s="277">
        <f t="shared" si="8"/>
        <v>0</v>
      </c>
    </row>
    <row r="106" spans="1:46" s="25" customFormat="1" x14ac:dyDescent="0.25">
      <c r="A106" s="490">
        <v>131</v>
      </c>
      <c r="B106" s="63" t="s">
        <v>201</v>
      </c>
      <c r="C106" s="490">
        <v>1174</v>
      </c>
      <c r="D106" s="63" t="s">
        <v>202</v>
      </c>
      <c r="E106" s="490">
        <v>1</v>
      </c>
      <c r="F106" s="559"/>
      <c r="G106" s="559"/>
      <c r="H106" s="559"/>
      <c r="I106" s="559"/>
      <c r="J106" s="659"/>
      <c r="K106" s="660"/>
      <c r="L106" s="237"/>
      <c r="M106" s="237"/>
      <c r="N106" s="237"/>
      <c r="O106" s="237"/>
      <c r="P106" s="237"/>
      <c r="Q106" s="237"/>
      <c r="R106" s="237"/>
      <c r="S106" s="237"/>
      <c r="T106" s="237"/>
      <c r="U106" s="237"/>
      <c r="V106" s="237"/>
      <c r="W106" s="237"/>
      <c r="X106" s="237"/>
      <c r="Y106" s="237"/>
      <c r="Z106" s="237"/>
      <c r="AA106" s="417"/>
      <c r="AB106" s="416"/>
      <c r="AC106" s="392"/>
      <c r="AD106" s="391"/>
      <c r="AE106" s="535"/>
      <c r="AF106" s="535"/>
      <c r="AG106" s="535"/>
      <c r="AH106" s="535"/>
      <c r="AI106" s="535"/>
      <c r="AJ106" s="535"/>
      <c r="AK106" s="535"/>
      <c r="AL106" s="535"/>
      <c r="AM106" s="535"/>
      <c r="AN106" s="535"/>
      <c r="AO106" s="535"/>
      <c r="AP106" s="535"/>
      <c r="AQ106" s="535">
        <f t="shared" si="6"/>
        <v>0</v>
      </c>
      <c r="AR106" s="535">
        <f t="shared" si="7"/>
        <v>0</v>
      </c>
      <c r="AS106" s="544"/>
      <c r="AT106" s="277">
        <f t="shared" si="8"/>
        <v>0</v>
      </c>
    </row>
    <row r="107" spans="1:46" s="25" customFormat="1" x14ac:dyDescent="0.25">
      <c r="A107" s="490">
        <v>132</v>
      </c>
      <c r="B107" s="63" t="s">
        <v>206</v>
      </c>
      <c r="C107" s="490">
        <v>1177</v>
      </c>
      <c r="D107" s="63" t="s">
        <v>208</v>
      </c>
      <c r="E107" s="490">
        <v>1</v>
      </c>
      <c r="F107" s="559" t="s">
        <v>53</v>
      </c>
      <c r="G107" s="559">
        <v>600</v>
      </c>
      <c r="H107" s="559" t="s">
        <v>61</v>
      </c>
      <c r="I107" s="559" t="s">
        <v>209</v>
      </c>
      <c r="J107" s="659"/>
      <c r="K107" s="660"/>
      <c r="L107" s="237"/>
      <c r="M107" s="237"/>
      <c r="N107" s="237"/>
      <c r="O107" s="237"/>
      <c r="P107" s="237"/>
      <c r="Q107" s="237"/>
      <c r="R107" s="237"/>
      <c r="S107" s="237"/>
      <c r="T107" s="237"/>
      <c r="U107" s="237"/>
      <c r="V107" s="237"/>
      <c r="W107" s="237"/>
      <c r="X107" s="237"/>
      <c r="Y107" s="237"/>
      <c r="Z107" s="237"/>
      <c r="AA107" s="392"/>
      <c r="AB107" s="233"/>
      <c r="AC107" s="392"/>
      <c r="AD107" s="391"/>
      <c r="AE107" s="535"/>
      <c r="AF107" s="535"/>
      <c r="AG107" s="535"/>
      <c r="AH107" s="535"/>
      <c r="AI107" s="535"/>
      <c r="AJ107" s="535"/>
      <c r="AK107" s="535"/>
      <c r="AL107" s="535"/>
      <c r="AM107" s="535"/>
      <c r="AN107" s="535"/>
      <c r="AO107" s="535"/>
      <c r="AP107" s="535"/>
      <c r="AQ107" s="535">
        <f t="shared" si="6"/>
        <v>0</v>
      </c>
      <c r="AR107" s="535">
        <f t="shared" si="7"/>
        <v>0</v>
      </c>
      <c r="AS107" s="544"/>
      <c r="AT107" s="277">
        <f t="shared" si="8"/>
        <v>0</v>
      </c>
    </row>
    <row r="108" spans="1:46" s="25" customFormat="1" x14ac:dyDescent="0.25">
      <c r="A108" s="490">
        <v>132</v>
      </c>
      <c r="B108" s="63" t="s">
        <v>206</v>
      </c>
      <c r="C108" s="490">
        <v>1177</v>
      </c>
      <c r="D108" s="63" t="s">
        <v>208</v>
      </c>
      <c r="E108" s="490">
        <v>1</v>
      </c>
      <c r="F108" s="559"/>
      <c r="G108" s="559"/>
      <c r="H108" s="559"/>
      <c r="I108" s="559"/>
      <c r="J108" s="659"/>
      <c r="K108" s="660"/>
      <c r="L108" s="237"/>
      <c r="M108" s="237"/>
      <c r="N108" s="237"/>
      <c r="O108" s="237"/>
      <c r="P108" s="237"/>
      <c r="Q108" s="237"/>
      <c r="R108" s="237"/>
      <c r="S108" s="237"/>
      <c r="T108" s="237"/>
      <c r="U108" s="237"/>
      <c r="V108" s="237"/>
      <c r="W108" s="237"/>
      <c r="X108" s="237"/>
      <c r="Y108" s="237"/>
      <c r="Z108" s="237"/>
      <c r="AA108" s="392"/>
      <c r="AB108" s="233"/>
      <c r="AC108" s="392"/>
      <c r="AD108" s="391"/>
      <c r="AE108" s="535"/>
      <c r="AF108" s="535"/>
      <c r="AG108" s="535"/>
      <c r="AH108" s="535"/>
      <c r="AI108" s="535"/>
      <c r="AJ108" s="535"/>
      <c r="AK108" s="535"/>
      <c r="AL108" s="535"/>
      <c r="AM108" s="535"/>
      <c r="AN108" s="535"/>
      <c r="AO108" s="535"/>
      <c r="AP108" s="535"/>
      <c r="AQ108" s="535">
        <f t="shared" si="6"/>
        <v>0</v>
      </c>
      <c r="AR108" s="535">
        <f t="shared" si="7"/>
        <v>0</v>
      </c>
      <c r="AS108" s="544"/>
      <c r="AT108" s="277">
        <f t="shared" si="8"/>
        <v>0</v>
      </c>
    </row>
    <row r="109" spans="1:46" s="25" customFormat="1" x14ac:dyDescent="0.25">
      <c r="A109" s="490">
        <v>132</v>
      </c>
      <c r="B109" s="63" t="s">
        <v>206</v>
      </c>
      <c r="C109" s="490">
        <v>1177</v>
      </c>
      <c r="D109" s="63" t="s">
        <v>208</v>
      </c>
      <c r="E109" s="490">
        <v>1</v>
      </c>
      <c r="F109" s="559"/>
      <c r="G109" s="559"/>
      <c r="H109" s="559"/>
      <c r="I109" s="559"/>
      <c r="J109" s="659"/>
      <c r="K109" s="660"/>
      <c r="L109" s="237"/>
      <c r="M109" s="237"/>
      <c r="N109" s="237"/>
      <c r="O109" s="237"/>
      <c r="P109" s="237"/>
      <c r="Q109" s="237"/>
      <c r="R109" s="237"/>
      <c r="S109" s="237"/>
      <c r="T109" s="237"/>
      <c r="U109" s="237"/>
      <c r="V109" s="237"/>
      <c r="W109" s="237"/>
      <c r="X109" s="237"/>
      <c r="Y109" s="237"/>
      <c r="Z109" s="237"/>
      <c r="AA109" s="392"/>
      <c r="AB109" s="233"/>
      <c r="AC109" s="392"/>
      <c r="AD109" s="391"/>
      <c r="AE109" s="535"/>
      <c r="AF109" s="535"/>
      <c r="AG109" s="535"/>
      <c r="AH109" s="535"/>
      <c r="AI109" s="535"/>
      <c r="AJ109" s="535"/>
      <c r="AK109" s="535"/>
      <c r="AL109" s="535"/>
      <c r="AM109" s="535"/>
      <c r="AN109" s="535"/>
      <c r="AO109" s="535"/>
      <c r="AP109" s="535"/>
      <c r="AQ109" s="535">
        <f t="shared" si="6"/>
        <v>0</v>
      </c>
      <c r="AR109" s="535">
        <f t="shared" si="7"/>
        <v>0</v>
      </c>
      <c r="AS109" s="544"/>
      <c r="AT109" s="277">
        <f t="shared" si="8"/>
        <v>0</v>
      </c>
    </row>
    <row r="110" spans="1:46" s="25" customFormat="1" x14ac:dyDescent="0.25">
      <c r="A110" s="490">
        <v>133</v>
      </c>
      <c r="B110" s="63" t="s">
        <v>210</v>
      </c>
      <c r="C110" s="490">
        <v>1177</v>
      </c>
      <c r="D110" s="63" t="s">
        <v>208</v>
      </c>
      <c r="E110" s="490">
        <v>2</v>
      </c>
      <c r="F110" s="559" t="s">
        <v>212</v>
      </c>
      <c r="G110" s="559">
        <v>60</v>
      </c>
      <c r="H110" s="559" t="s">
        <v>213</v>
      </c>
      <c r="I110" s="559" t="s">
        <v>214</v>
      </c>
      <c r="J110" s="659"/>
      <c r="K110" s="660"/>
      <c r="L110" s="237"/>
      <c r="M110" s="351"/>
      <c r="N110" s="237"/>
      <c r="O110" s="351"/>
      <c r="P110" s="237"/>
      <c r="Q110" s="264"/>
      <c r="R110" s="264"/>
      <c r="S110" s="351"/>
      <c r="T110" s="237"/>
      <c r="U110" s="351"/>
      <c r="V110" s="237"/>
      <c r="W110" s="259"/>
      <c r="X110" s="259"/>
      <c r="Y110" s="351"/>
      <c r="Z110" s="237"/>
      <c r="AA110" s="404"/>
      <c r="AB110" s="416"/>
      <c r="AC110" s="404"/>
      <c r="AD110" s="391"/>
      <c r="AE110" s="535"/>
      <c r="AF110" s="535"/>
      <c r="AG110" s="535"/>
      <c r="AH110" s="535"/>
      <c r="AI110" s="535"/>
      <c r="AJ110" s="535"/>
      <c r="AK110" s="535"/>
      <c r="AL110" s="535"/>
      <c r="AM110" s="535"/>
      <c r="AN110" s="535"/>
      <c r="AO110" s="535"/>
      <c r="AP110" s="535"/>
      <c r="AQ110" s="535">
        <f t="shared" si="6"/>
        <v>0</v>
      </c>
      <c r="AR110" s="535">
        <f t="shared" si="7"/>
        <v>0</v>
      </c>
      <c r="AS110" s="544"/>
      <c r="AT110" s="277">
        <f t="shared" si="8"/>
        <v>0</v>
      </c>
    </row>
    <row r="111" spans="1:46" s="25" customFormat="1" x14ac:dyDescent="0.25">
      <c r="A111" s="490">
        <v>133</v>
      </c>
      <c r="B111" s="63" t="s">
        <v>210</v>
      </c>
      <c r="C111" s="490">
        <v>1177</v>
      </c>
      <c r="D111" s="63" t="s">
        <v>208</v>
      </c>
      <c r="E111" s="490">
        <v>2</v>
      </c>
      <c r="F111" s="559"/>
      <c r="G111" s="559"/>
      <c r="H111" s="559"/>
      <c r="I111" s="559"/>
      <c r="J111" s="659"/>
      <c r="K111" s="660"/>
      <c r="L111" s="237"/>
      <c r="M111" s="237"/>
      <c r="N111" s="237"/>
      <c r="O111" s="191"/>
      <c r="P111" s="237"/>
      <c r="Q111" s="264"/>
      <c r="R111" s="264"/>
      <c r="S111" s="259"/>
      <c r="T111" s="259"/>
      <c r="U111" s="233"/>
      <c r="V111" s="237"/>
      <c r="W111" s="187"/>
      <c r="X111" s="259"/>
      <c r="Y111" s="259"/>
      <c r="Z111" s="237"/>
      <c r="AA111" s="392"/>
      <c r="AB111" s="416"/>
      <c r="AC111" s="392"/>
      <c r="AD111" s="391"/>
      <c r="AE111" s="535"/>
      <c r="AF111" s="535"/>
      <c r="AG111" s="535"/>
      <c r="AH111" s="535"/>
      <c r="AI111" s="535"/>
      <c r="AJ111" s="535"/>
      <c r="AK111" s="535"/>
      <c r="AL111" s="535"/>
      <c r="AM111" s="535"/>
      <c r="AN111" s="535"/>
      <c r="AO111" s="535"/>
      <c r="AP111" s="535"/>
      <c r="AQ111" s="535">
        <f t="shared" si="6"/>
        <v>0</v>
      </c>
      <c r="AR111" s="535">
        <f t="shared" si="7"/>
        <v>0</v>
      </c>
      <c r="AS111" s="544"/>
      <c r="AT111" s="277">
        <f t="shared" si="8"/>
        <v>0</v>
      </c>
    </row>
    <row r="112" spans="1:46" s="25" customFormat="1" x14ac:dyDescent="0.25">
      <c r="A112" s="490">
        <v>133</v>
      </c>
      <c r="B112" s="63" t="s">
        <v>210</v>
      </c>
      <c r="C112" s="490">
        <v>1177</v>
      </c>
      <c r="D112" s="63" t="s">
        <v>208</v>
      </c>
      <c r="E112" s="490">
        <v>2</v>
      </c>
      <c r="F112" s="559"/>
      <c r="G112" s="559"/>
      <c r="H112" s="559"/>
      <c r="I112" s="559"/>
      <c r="J112" s="659"/>
      <c r="K112" s="660"/>
      <c r="L112" s="237"/>
      <c r="M112" s="237"/>
      <c r="N112" s="237"/>
      <c r="O112" s="191"/>
      <c r="P112" s="237"/>
      <c r="Q112" s="264"/>
      <c r="R112" s="264"/>
      <c r="S112" s="259"/>
      <c r="T112" s="259"/>
      <c r="U112" s="233"/>
      <c r="V112" s="237"/>
      <c r="W112" s="187"/>
      <c r="X112" s="259"/>
      <c r="Y112" s="259"/>
      <c r="Z112" s="237"/>
      <c r="AA112" s="392"/>
      <c r="AB112" s="416"/>
      <c r="AC112" s="392"/>
      <c r="AD112" s="391"/>
      <c r="AE112" s="535"/>
      <c r="AF112" s="535"/>
      <c r="AG112" s="535"/>
      <c r="AH112" s="535"/>
      <c r="AI112" s="535"/>
      <c r="AJ112" s="535"/>
      <c r="AK112" s="535"/>
      <c r="AL112" s="535"/>
      <c r="AM112" s="535"/>
      <c r="AN112" s="535"/>
      <c r="AO112" s="535"/>
      <c r="AP112" s="535"/>
      <c r="AQ112" s="535">
        <f t="shared" si="6"/>
        <v>0</v>
      </c>
      <c r="AR112" s="535">
        <f t="shared" si="7"/>
        <v>0</v>
      </c>
      <c r="AS112" s="544"/>
      <c r="AT112" s="277">
        <f t="shared" si="8"/>
        <v>0</v>
      </c>
    </row>
    <row r="113" spans="1:46" s="25" customFormat="1" x14ac:dyDescent="0.25">
      <c r="A113" s="490">
        <v>134</v>
      </c>
      <c r="B113" s="63" t="s">
        <v>215</v>
      </c>
      <c r="C113" s="490">
        <v>1177</v>
      </c>
      <c r="D113" s="63" t="s">
        <v>208</v>
      </c>
      <c r="E113" s="490">
        <v>3</v>
      </c>
      <c r="F113" s="584" t="s">
        <v>45</v>
      </c>
      <c r="G113" s="584">
        <v>15</v>
      </c>
      <c r="H113" s="584" t="s">
        <v>217</v>
      </c>
      <c r="I113" s="584" t="s">
        <v>218</v>
      </c>
      <c r="J113" s="619"/>
      <c r="K113" s="621"/>
      <c r="L113" s="397" t="s">
        <v>1863</v>
      </c>
      <c r="M113" s="237" t="s">
        <v>1864</v>
      </c>
      <c r="N113" s="25" t="s">
        <v>1866</v>
      </c>
      <c r="O113" s="237" t="s">
        <v>1865</v>
      </c>
      <c r="P113" s="237" t="s">
        <v>1558</v>
      </c>
      <c r="Q113" s="264">
        <v>42730</v>
      </c>
      <c r="R113" s="264"/>
      <c r="S113" s="259" t="s">
        <v>378</v>
      </c>
      <c r="T113" s="259" t="s">
        <v>1867</v>
      </c>
      <c r="U113" s="233" t="s">
        <v>1287</v>
      </c>
      <c r="V113" s="237" t="s">
        <v>1868</v>
      </c>
      <c r="W113" s="237">
        <v>860003735</v>
      </c>
      <c r="X113" s="259" t="s">
        <v>1577</v>
      </c>
      <c r="Y113" s="259" t="s">
        <v>1669</v>
      </c>
      <c r="Z113" s="237"/>
      <c r="AA113" s="392">
        <v>386</v>
      </c>
      <c r="AB113" s="416">
        <v>42690</v>
      </c>
      <c r="AC113" s="392">
        <v>657</v>
      </c>
      <c r="AD113" s="391">
        <v>53900000</v>
      </c>
      <c r="AE113" s="535"/>
      <c r="AF113" s="535"/>
      <c r="AG113" s="535"/>
      <c r="AH113" s="535"/>
      <c r="AI113" s="535"/>
      <c r="AJ113" s="535"/>
      <c r="AK113" s="535"/>
      <c r="AL113" s="535"/>
      <c r="AM113" s="535"/>
      <c r="AN113" s="535"/>
      <c r="AO113" s="535"/>
      <c r="AP113" s="535"/>
      <c r="AQ113" s="535">
        <f t="shared" si="6"/>
        <v>0</v>
      </c>
      <c r="AR113" s="535">
        <f t="shared" si="7"/>
        <v>53900000</v>
      </c>
      <c r="AS113" s="544">
        <f t="shared" si="9"/>
        <v>0</v>
      </c>
      <c r="AT113" s="277">
        <f t="shared" si="8"/>
        <v>0</v>
      </c>
    </row>
    <row r="114" spans="1:46" s="25" customFormat="1" x14ac:dyDescent="0.25">
      <c r="A114" s="490">
        <v>134</v>
      </c>
      <c r="B114" s="63" t="s">
        <v>215</v>
      </c>
      <c r="C114" s="490">
        <v>1177</v>
      </c>
      <c r="D114" s="63" t="s">
        <v>208</v>
      </c>
      <c r="E114" s="490">
        <v>3</v>
      </c>
      <c r="F114" s="585"/>
      <c r="G114" s="585"/>
      <c r="H114" s="585"/>
      <c r="I114" s="585"/>
      <c r="J114" s="620"/>
      <c r="K114" s="622"/>
      <c r="L114" s="237"/>
      <c r="M114" s="237"/>
      <c r="N114" s="237"/>
      <c r="O114" s="191"/>
      <c r="P114" s="237"/>
      <c r="Q114" s="264"/>
      <c r="R114" s="264"/>
      <c r="S114" s="259"/>
      <c r="T114" s="259"/>
      <c r="U114" s="233"/>
      <c r="V114" s="237"/>
      <c r="W114" s="187"/>
      <c r="X114" s="259"/>
      <c r="Y114" s="259"/>
      <c r="Z114" s="237"/>
      <c r="AA114" s="392"/>
      <c r="AB114" s="416"/>
      <c r="AC114" s="392"/>
      <c r="AD114" s="391"/>
      <c r="AE114" s="535"/>
      <c r="AF114" s="535"/>
      <c r="AG114" s="535"/>
      <c r="AH114" s="535"/>
      <c r="AI114" s="535"/>
      <c r="AJ114" s="535"/>
      <c r="AK114" s="535"/>
      <c r="AL114" s="535"/>
      <c r="AM114" s="535"/>
      <c r="AN114" s="535"/>
      <c r="AO114" s="535"/>
      <c r="AP114" s="535"/>
      <c r="AQ114" s="535">
        <f t="shared" si="6"/>
        <v>0</v>
      </c>
      <c r="AR114" s="535">
        <f t="shared" si="7"/>
        <v>0</v>
      </c>
      <c r="AS114" s="544"/>
      <c r="AT114" s="277">
        <f t="shared" si="8"/>
        <v>0</v>
      </c>
    </row>
    <row r="115" spans="1:46" s="25" customFormat="1" x14ac:dyDescent="0.25">
      <c r="A115" s="490">
        <v>134</v>
      </c>
      <c r="B115" s="63" t="s">
        <v>215</v>
      </c>
      <c r="C115" s="490">
        <v>1177</v>
      </c>
      <c r="D115" s="63" t="s">
        <v>208</v>
      </c>
      <c r="E115" s="490">
        <v>3</v>
      </c>
      <c r="F115" s="585"/>
      <c r="G115" s="585"/>
      <c r="H115" s="585"/>
      <c r="I115" s="585"/>
      <c r="J115" s="620"/>
      <c r="K115" s="622"/>
      <c r="L115" s="237"/>
      <c r="M115" s="237"/>
      <c r="N115" s="237"/>
      <c r="O115" s="423"/>
      <c r="P115" s="237"/>
      <c r="Q115" s="264"/>
      <c r="R115" s="453"/>
      <c r="S115" s="259"/>
      <c r="T115" s="259"/>
      <c r="U115" s="233"/>
      <c r="V115" s="237"/>
      <c r="W115" s="263"/>
      <c r="X115" s="259"/>
      <c r="Y115" s="259"/>
      <c r="Z115" s="237"/>
      <c r="AA115" s="392"/>
      <c r="AB115" s="416"/>
      <c r="AC115" s="392"/>
      <c r="AD115" s="391"/>
      <c r="AE115" s="535"/>
      <c r="AF115" s="535"/>
      <c r="AG115" s="535"/>
      <c r="AH115" s="535"/>
      <c r="AI115" s="535"/>
      <c r="AJ115" s="535"/>
      <c r="AK115" s="535"/>
      <c r="AL115" s="535"/>
      <c r="AM115" s="535"/>
      <c r="AN115" s="535"/>
      <c r="AO115" s="535"/>
      <c r="AP115" s="535"/>
      <c r="AQ115" s="535">
        <f t="shared" si="6"/>
        <v>0</v>
      </c>
      <c r="AR115" s="535">
        <f t="shared" si="7"/>
        <v>0</v>
      </c>
      <c r="AS115" s="544"/>
      <c r="AT115" s="277">
        <f t="shared" si="8"/>
        <v>0</v>
      </c>
    </row>
    <row r="116" spans="1:46" s="25" customFormat="1" x14ac:dyDescent="0.25">
      <c r="A116" s="490">
        <v>135</v>
      </c>
      <c r="B116" s="63" t="s">
        <v>220</v>
      </c>
      <c r="C116" s="490">
        <v>1178</v>
      </c>
      <c r="D116" s="63" t="s">
        <v>222</v>
      </c>
      <c r="E116" s="490">
        <v>1</v>
      </c>
      <c r="F116" s="559" t="s">
        <v>53</v>
      </c>
      <c r="G116" s="559">
        <v>400</v>
      </c>
      <c r="H116" s="559" t="s">
        <v>61</v>
      </c>
      <c r="I116" s="559" t="s">
        <v>223</v>
      </c>
      <c r="J116" s="659"/>
      <c r="K116" s="660"/>
      <c r="L116" s="237" t="s">
        <v>1709</v>
      </c>
      <c r="M116" s="351" t="s">
        <v>1119</v>
      </c>
      <c r="N116" s="237" t="s">
        <v>115</v>
      </c>
      <c r="O116" s="351" t="s">
        <v>1710</v>
      </c>
      <c r="P116" s="237" t="s">
        <v>1120</v>
      </c>
      <c r="Q116" s="264">
        <v>42319</v>
      </c>
      <c r="R116" s="264">
        <v>42429</v>
      </c>
      <c r="S116" s="351" t="s">
        <v>724</v>
      </c>
      <c r="T116" s="237">
        <v>1222015</v>
      </c>
      <c r="U116" s="351" t="s">
        <v>1287</v>
      </c>
      <c r="V116" s="237" t="s">
        <v>547</v>
      </c>
      <c r="W116" s="259">
        <v>830059289</v>
      </c>
      <c r="X116" s="259">
        <v>500</v>
      </c>
      <c r="Y116" s="351" t="s">
        <v>884</v>
      </c>
      <c r="Z116" s="237"/>
      <c r="AA116" s="404">
        <v>282</v>
      </c>
      <c r="AB116" s="416">
        <v>42496</v>
      </c>
      <c r="AC116" s="404">
        <v>398</v>
      </c>
      <c r="AD116" s="391">
        <v>3287600</v>
      </c>
      <c r="AE116" s="535"/>
      <c r="AF116" s="535"/>
      <c r="AG116" s="535"/>
      <c r="AH116" s="535"/>
      <c r="AI116" s="535"/>
      <c r="AJ116" s="535"/>
      <c r="AK116" s="535"/>
      <c r="AL116" s="535"/>
      <c r="AM116" s="545">
        <v>2553839</v>
      </c>
      <c r="AN116" s="535"/>
      <c r="AO116" s="535"/>
      <c r="AP116" s="535"/>
      <c r="AQ116" s="535">
        <f t="shared" si="6"/>
        <v>2553839</v>
      </c>
      <c r="AR116" s="535">
        <f t="shared" si="7"/>
        <v>733761</v>
      </c>
      <c r="AS116" s="544">
        <f t="shared" si="9"/>
        <v>0.77680952670641201</v>
      </c>
      <c r="AT116" s="277">
        <f t="shared" si="8"/>
        <v>1</v>
      </c>
    </row>
    <row r="117" spans="1:46" s="25" customFormat="1" x14ac:dyDescent="0.25">
      <c r="A117" s="490">
        <v>135</v>
      </c>
      <c r="B117" s="63" t="s">
        <v>220</v>
      </c>
      <c r="C117" s="490">
        <v>1178</v>
      </c>
      <c r="D117" s="63" t="s">
        <v>222</v>
      </c>
      <c r="E117" s="490">
        <v>1</v>
      </c>
      <c r="F117" s="559"/>
      <c r="G117" s="559"/>
      <c r="H117" s="559"/>
      <c r="I117" s="559"/>
      <c r="J117" s="659"/>
      <c r="K117" s="660"/>
      <c r="L117" s="237"/>
      <c r="M117" s="237"/>
      <c r="N117" s="237"/>
      <c r="O117" s="351"/>
      <c r="P117" s="237"/>
      <c r="Q117" s="405"/>
      <c r="R117" s="351"/>
      <c r="S117" s="351"/>
      <c r="T117" s="237"/>
      <c r="U117" s="351"/>
      <c r="V117" s="237"/>
      <c r="W117" s="259"/>
      <c r="X117" s="259"/>
      <c r="Y117" s="351"/>
      <c r="Z117" s="351"/>
      <c r="AA117" s="277"/>
      <c r="AB117" s="233"/>
      <c r="AC117" s="277"/>
      <c r="AD117" s="391"/>
      <c r="AE117" s="535"/>
      <c r="AF117" s="535"/>
      <c r="AG117" s="535"/>
      <c r="AH117" s="535"/>
      <c r="AI117" s="535"/>
      <c r="AJ117" s="535"/>
      <c r="AK117" s="535"/>
      <c r="AL117" s="535"/>
      <c r="AM117" s="535"/>
      <c r="AN117" s="535"/>
      <c r="AO117" s="535"/>
      <c r="AP117" s="535"/>
      <c r="AQ117" s="535">
        <f t="shared" si="6"/>
        <v>0</v>
      </c>
      <c r="AR117" s="535">
        <f t="shared" si="7"/>
        <v>0</v>
      </c>
      <c r="AS117" s="544"/>
      <c r="AT117" s="277">
        <f t="shared" si="8"/>
        <v>0</v>
      </c>
    </row>
    <row r="118" spans="1:46" s="25" customFormat="1" x14ac:dyDescent="0.25">
      <c r="A118" s="490">
        <v>135</v>
      </c>
      <c r="B118" s="63" t="s">
        <v>220</v>
      </c>
      <c r="C118" s="490">
        <v>1178</v>
      </c>
      <c r="D118" s="63" t="s">
        <v>222</v>
      </c>
      <c r="E118" s="490">
        <v>1</v>
      </c>
      <c r="F118" s="559"/>
      <c r="G118" s="559"/>
      <c r="H118" s="559"/>
      <c r="I118" s="559"/>
      <c r="J118" s="659"/>
      <c r="K118" s="660"/>
      <c r="L118" s="237"/>
      <c r="M118" s="237"/>
      <c r="N118" s="237"/>
      <c r="O118" s="351"/>
      <c r="P118" s="351"/>
      <c r="Q118" s="405"/>
      <c r="R118" s="351"/>
      <c r="S118" s="351"/>
      <c r="T118" s="237"/>
      <c r="U118" s="351"/>
      <c r="V118" s="237"/>
      <c r="W118" s="259"/>
      <c r="X118" s="259"/>
      <c r="Y118" s="351"/>
      <c r="Z118" s="351"/>
      <c r="AA118" s="277"/>
      <c r="AB118" s="233"/>
      <c r="AC118" s="277"/>
      <c r="AD118" s="391"/>
      <c r="AE118" s="535"/>
      <c r="AF118" s="535"/>
      <c r="AG118" s="535"/>
      <c r="AH118" s="535"/>
      <c r="AI118" s="535"/>
      <c r="AJ118" s="535"/>
      <c r="AK118" s="535"/>
      <c r="AL118" s="535"/>
      <c r="AM118" s="535"/>
      <c r="AN118" s="535"/>
      <c r="AO118" s="535"/>
      <c r="AP118" s="535"/>
      <c r="AQ118" s="535">
        <f t="shared" si="6"/>
        <v>0</v>
      </c>
      <c r="AR118" s="535">
        <f t="shared" si="7"/>
        <v>0</v>
      </c>
      <c r="AS118" s="544"/>
      <c r="AT118" s="277">
        <f t="shared" si="8"/>
        <v>0</v>
      </c>
    </row>
    <row r="119" spans="1:46" s="25" customFormat="1" x14ac:dyDescent="0.25">
      <c r="A119" s="490">
        <v>136</v>
      </c>
      <c r="B119" s="63" t="s">
        <v>226</v>
      </c>
      <c r="C119" s="490">
        <v>1167</v>
      </c>
      <c r="D119" s="63" t="s">
        <v>228</v>
      </c>
      <c r="E119" s="490">
        <v>1</v>
      </c>
      <c r="F119" s="559" t="s">
        <v>53</v>
      </c>
      <c r="G119" s="559">
        <v>800</v>
      </c>
      <c r="H119" s="559" t="s">
        <v>61</v>
      </c>
      <c r="I119" s="584" t="s">
        <v>229</v>
      </c>
      <c r="J119" s="659"/>
      <c r="K119" s="660"/>
      <c r="L119" s="397" t="s">
        <v>1869</v>
      </c>
      <c r="M119" s="237" t="s">
        <v>1611</v>
      </c>
      <c r="N119" s="237" t="s">
        <v>1870</v>
      </c>
      <c r="O119" s="237" t="s">
        <v>1759</v>
      </c>
      <c r="P119" s="237" t="s">
        <v>1120</v>
      </c>
      <c r="Q119" s="405">
        <v>42727</v>
      </c>
      <c r="R119" s="237"/>
      <c r="S119" s="237" t="s">
        <v>1054</v>
      </c>
      <c r="T119" s="237" t="s">
        <v>1871</v>
      </c>
      <c r="U119" s="237" t="s">
        <v>1287</v>
      </c>
      <c r="V119" s="237" t="s">
        <v>1617</v>
      </c>
      <c r="W119" s="237">
        <v>900171369</v>
      </c>
      <c r="X119" s="237" t="s">
        <v>1872</v>
      </c>
      <c r="Y119" s="237" t="s">
        <v>870</v>
      </c>
      <c r="Z119" s="237"/>
      <c r="AA119" s="392">
        <v>387</v>
      </c>
      <c r="AB119" s="233">
        <v>42690</v>
      </c>
      <c r="AC119" s="392">
        <v>655</v>
      </c>
      <c r="AD119" s="545">
        <v>67236000</v>
      </c>
      <c r="AE119" s="535"/>
      <c r="AF119" s="535"/>
      <c r="AG119" s="535"/>
      <c r="AH119" s="535"/>
      <c r="AI119" s="535"/>
      <c r="AJ119" s="535"/>
      <c r="AK119" s="535"/>
      <c r="AL119" s="535"/>
      <c r="AM119" s="535"/>
      <c r="AN119" s="535"/>
      <c r="AO119" s="535"/>
      <c r="AP119" s="535"/>
      <c r="AQ119" s="535">
        <f t="shared" si="6"/>
        <v>0</v>
      </c>
      <c r="AR119" s="535">
        <f t="shared" si="7"/>
        <v>67236000</v>
      </c>
      <c r="AS119" s="544">
        <f t="shared" si="9"/>
        <v>0</v>
      </c>
      <c r="AT119" s="277">
        <f t="shared" si="8"/>
        <v>0</v>
      </c>
    </row>
    <row r="120" spans="1:46" s="25" customFormat="1" x14ac:dyDescent="0.25">
      <c r="A120" s="490">
        <v>136</v>
      </c>
      <c r="B120" s="63" t="s">
        <v>226</v>
      </c>
      <c r="C120" s="490">
        <v>1167</v>
      </c>
      <c r="D120" s="63" t="s">
        <v>228</v>
      </c>
      <c r="E120" s="490">
        <v>1</v>
      </c>
      <c r="F120" s="559"/>
      <c r="G120" s="559"/>
      <c r="H120" s="559"/>
      <c r="I120" s="585"/>
      <c r="J120" s="659"/>
      <c r="K120" s="660"/>
      <c r="L120" s="237"/>
      <c r="M120" s="237"/>
      <c r="N120" s="237"/>
      <c r="O120" s="237"/>
      <c r="P120" s="398"/>
      <c r="Q120" s="403"/>
      <c r="R120" s="405"/>
      <c r="S120" s="237"/>
      <c r="T120" s="237"/>
      <c r="U120" s="237"/>
      <c r="V120" s="398"/>
      <c r="W120" s="237"/>
      <c r="X120" s="237"/>
      <c r="Y120" s="237"/>
      <c r="Z120" s="237"/>
      <c r="AA120" s="418"/>
      <c r="AB120" s="416"/>
      <c r="AC120" s="422"/>
      <c r="AD120" s="534"/>
      <c r="AE120" s="535"/>
      <c r="AF120" s="535"/>
      <c r="AG120" s="535"/>
      <c r="AH120" s="535"/>
      <c r="AI120" s="535"/>
      <c r="AJ120" s="535"/>
      <c r="AK120" s="535"/>
      <c r="AL120" s="535"/>
      <c r="AM120" s="535"/>
      <c r="AN120" s="535"/>
      <c r="AO120" s="535"/>
      <c r="AP120" s="535"/>
      <c r="AQ120" s="535">
        <f t="shared" si="6"/>
        <v>0</v>
      </c>
      <c r="AR120" s="535">
        <f t="shared" si="7"/>
        <v>0</v>
      </c>
      <c r="AS120" s="544"/>
      <c r="AT120" s="277">
        <f t="shared" si="8"/>
        <v>0</v>
      </c>
    </row>
    <row r="121" spans="1:46" s="25" customFormat="1" x14ac:dyDescent="0.25">
      <c r="A121" s="490">
        <v>136</v>
      </c>
      <c r="B121" s="63" t="s">
        <v>226</v>
      </c>
      <c r="C121" s="490">
        <v>1167</v>
      </c>
      <c r="D121" s="63" t="s">
        <v>228</v>
      </c>
      <c r="E121" s="490">
        <v>1</v>
      </c>
      <c r="F121" s="559"/>
      <c r="G121" s="559"/>
      <c r="H121" s="559"/>
      <c r="I121" s="585"/>
      <c r="J121" s="659"/>
      <c r="K121" s="660"/>
      <c r="L121" s="237"/>
      <c r="M121" s="237"/>
      <c r="N121" s="237"/>
      <c r="O121" s="351"/>
      <c r="P121" s="395"/>
      <c r="Q121" s="402"/>
      <c r="R121" s="405"/>
      <c r="S121" s="237"/>
      <c r="T121" s="237"/>
      <c r="U121" s="351"/>
      <c r="V121" s="398"/>
      <c r="W121" s="351"/>
      <c r="X121" s="351"/>
      <c r="Y121" s="237"/>
      <c r="Z121" s="351"/>
      <c r="AA121" s="392"/>
      <c r="AB121" s="420"/>
      <c r="AC121" s="392"/>
      <c r="AD121" s="391"/>
      <c r="AE121" s="535"/>
      <c r="AF121" s="535"/>
      <c r="AG121" s="535"/>
      <c r="AH121" s="535"/>
      <c r="AI121" s="535"/>
      <c r="AJ121" s="535"/>
      <c r="AK121" s="535"/>
      <c r="AL121" s="535"/>
      <c r="AM121" s="535"/>
      <c r="AN121" s="535"/>
      <c r="AO121" s="535"/>
      <c r="AP121" s="535"/>
      <c r="AQ121" s="535">
        <f t="shared" si="6"/>
        <v>0</v>
      </c>
      <c r="AR121" s="535">
        <f t="shared" si="7"/>
        <v>0</v>
      </c>
      <c r="AS121" s="544"/>
      <c r="AT121" s="277">
        <f t="shared" si="8"/>
        <v>0</v>
      </c>
    </row>
    <row r="122" spans="1:46" s="25" customFormat="1" x14ac:dyDescent="0.25">
      <c r="A122" s="490">
        <v>137</v>
      </c>
      <c r="B122" s="63" t="s">
        <v>231</v>
      </c>
      <c r="C122" s="490">
        <v>1167</v>
      </c>
      <c r="D122" s="63" t="s">
        <v>228</v>
      </c>
      <c r="E122" s="490">
        <v>2</v>
      </c>
      <c r="F122" s="584" t="s">
        <v>53</v>
      </c>
      <c r="G122" s="584">
        <v>800</v>
      </c>
      <c r="H122" s="584" t="s">
        <v>61</v>
      </c>
      <c r="I122" s="584" t="s">
        <v>232</v>
      </c>
      <c r="J122" s="619"/>
      <c r="K122" s="621"/>
      <c r="L122" s="397" t="s">
        <v>1873</v>
      </c>
      <c r="M122" s="237" t="s">
        <v>1611</v>
      </c>
      <c r="N122" s="237" t="s">
        <v>1870</v>
      </c>
      <c r="O122" s="237" t="s">
        <v>1759</v>
      </c>
      <c r="P122" s="237" t="s">
        <v>1120</v>
      </c>
      <c r="Q122" s="405">
        <v>42732</v>
      </c>
      <c r="R122" s="237"/>
      <c r="S122" s="237" t="s">
        <v>1054</v>
      </c>
      <c r="T122" s="237" t="s">
        <v>1874</v>
      </c>
      <c r="U122" s="237" t="s">
        <v>1287</v>
      </c>
      <c r="V122" s="237" t="s">
        <v>1875</v>
      </c>
      <c r="W122" s="399" t="s">
        <v>1876</v>
      </c>
      <c r="X122" s="237" t="s">
        <v>1877</v>
      </c>
      <c r="Y122" s="237" t="s">
        <v>870</v>
      </c>
      <c r="Z122" s="237"/>
      <c r="AA122" s="392">
        <v>402</v>
      </c>
      <c r="AB122" s="420">
        <v>42697</v>
      </c>
      <c r="AC122" s="392">
        <v>659</v>
      </c>
      <c r="AD122" s="545">
        <v>59439790</v>
      </c>
      <c r="AE122" s="535"/>
      <c r="AF122" s="535"/>
      <c r="AG122" s="535"/>
      <c r="AH122" s="535"/>
      <c r="AI122" s="535"/>
      <c r="AJ122" s="535"/>
      <c r="AK122" s="535"/>
      <c r="AL122" s="535"/>
      <c r="AM122" s="535"/>
      <c r="AN122" s="535"/>
      <c r="AO122" s="535"/>
      <c r="AP122" s="535"/>
      <c r="AQ122" s="535">
        <f t="shared" si="6"/>
        <v>0</v>
      </c>
      <c r="AR122" s="535">
        <f t="shared" si="7"/>
        <v>59439790</v>
      </c>
      <c r="AS122" s="544">
        <f t="shared" si="9"/>
        <v>0</v>
      </c>
      <c r="AT122" s="277">
        <f t="shared" si="8"/>
        <v>0</v>
      </c>
    </row>
    <row r="123" spans="1:46" s="25" customFormat="1" x14ac:dyDescent="0.25">
      <c r="A123" s="490">
        <v>137</v>
      </c>
      <c r="B123" s="63" t="s">
        <v>231</v>
      </c>
      <c r="C123" s="490">
        <v>1167</v>
      </c>
      <c r="D123" s="63" t="s">
        <v>228</v>
      </c>
      <c r="E123" s="490">
        <v>2</v>
      </c>
      <c r="F123" s="585"/>
      <c r="G123" s="585"/>
      <c r="H123" s="585"/>
      <c r="I123" s="585"/>
      <c r="J123" s="620"/>
      <c r="K123" s="622"/>
      <c r="L123" s="237"/>
      <c r="M123" s="237"/>
      <c r="N123" s="237"/>
      <c r="O123" s="237"/>
      <c r="P123" s="395"/>
      <c r="Q123" s="405"/>
      <c r="R123" s="237"/>
      <c r="S123" s="237"/>
      <c r="T123" s="237"/>
      <c r="U123" s="237"/>
      <c r="V123" s="237"/>
      <c r="W123" s="237"/>
      <c r="X123" s="237"/>
      <c r="Y123" s="237"/>
      <c r="Z123" s="237"/>
      <c r="AA123" s="392"/>
      <c r="AB123" s="420"/>
      <c r="AC123" s="392"/>
      <c r="AD123" s="391"/>
      <c r="AE123" s="535"/>
      <c r="AF123" s="535"/>
      <c r="AG123" s="535"/>
      <c r="AH123" s="535"/>
      <c r="AI123" s="535"/>
      <c r="AJ123" s="535"/>
      <c r="AK123" s="535"/>
      <c r="AL123" s="535"/>
      <c r="AM123" s="535"/>
      <c r="AN123" s="535"/>
      <c r="AO123" s="535"/>
      <c r="AP123" s="535"/>
      <c r="AQ123" s="535">
        <f t="shared" si="6"/>
        <v>0</v>
      </c>
      <c r="AR123" s="535">
        <f t="shared" si="7"/>
        <v>0</v>
      </c>
      <c r="AS123" s="544"/>
      <c r="AT123" s="277">
        <f t="shared" si="8"/>
        <v>0</v>
      </c>
    </row>
    <row r="124" spans="1:46" s="25" customFormat="1" x14ac:dyDescent="0.25">
      <c r="A124" s="490">
        <v>137</v>
      </c>
      <c r="B124" s="63" t="s">
        <v>231</v>
      </c>
      <c r="C124" s="490">
        <v>1167</v>
      </c>
      <c r="D124" s="63" t="s">
        <v>228</v>
      </c>
      <c r="E124" s="490">
        <v>2</v>
      </c>
      <c r="F124" s="585"/>
      <c r="G124" s="585"/>
      <c r="H124" s="585"/>
      <c r="I124" s="585"/>
      <c r="J124" s="620"/>
      <c r="K124" s="622"/>
      <c r="L124" s="237"/>
      <c r="M124" s="237"/>
      <c r="N124" s="237"/>
      <c r="O124" s="237"/>
      <c r="P124" s="237"/>
      <c r="Q124" s="237"/>
      <c r="R124" s="237"/>
      <c r="S124" s="237"/>
      <c r="T124" s="237"/>
      <c r="U124" s="237"/>
      <c r="V124" s="237"/>
      <c r="W124" s="237"/>
      <c r="X124" s="237"/>
      <c r="Y124" s="237"/>
      <c r="Z124" s="237"/>
      <c r="AA124" s="392"/>
      <c r="AB124" s="233"/>
      <c r="AC124" s="392"/>
      <c r="AD124" s="391"/>
      <c r="AE124" s="535"/>
      <c r="AF124" s="535"/>
      <c r="AG124" s="535"/>
      <c r="AH124" s="535"/>
      <c r="AI124" s="535"/>
      <c r="AJ124" s="535"/>
      <c r="AK124" s="535"/>
      <c r="AL124" s="535"/>
      <c r="AM124" s="535"/>
      <c r="AN124" s="535"/>
      <c r="AO124" s="535"/>
      <c r="AP124" s="535"/>
      <c r="AQ124" s="535">
        <f t="shared" si="6"/>
        <v>0</v>
      </c>
      <c r="AR124" s="535">
        <f t="shared" si="7"/>
        <v>0</v>
      </c>
      <c r="AS124" s="544"/>
      <c r="AT124" s="277">
        <f t="shared" si="8"/>
        <v>0</v>
      </c>
    </row>
    <row r="125" spans="1:46" s="68" customFormat="1" x14ac:dyDescent="0.25">
      <c r="A125" s="490">
        <v>138</v>
      </c>
      <c r="B125" s="63" t="s">
        <v>233</v>
      </c>
      <c r="C125" s="490">
        <v>1167</v>
      </c>
      <c r="D125" s="63" t="s">
        <v>228</v>
      </c>
      <c r="E125" s="490">
        <v>3</v>
      </c>
      <c r="F125" s="559" t="s">
        <v>53</v>
      </c>
      <c r="G125" s="559">
        <v>800</v>
      </c>
      <c r="H125" s="559" t="s">
        <v>61</v>
      </c>
      <c r="I125" s="559" t="s">
        <v>234</v>
      </c>
      <c r="J125" s="659"/>
      <c r="K125" s="660"/>
      <c r="L125" s="237"/>
      <c r="M125" s="237"/>
      <c r="N125" s="237"/>
      <c r="O125" s="237"/>
      <c r="P125" s="398"/>
      <c r="Q125" s="402"/>
      <c r="R125" s="401"/>
      <c r="S125" s="237"/>
      <c r="T125" s="398"/>
      <c r="U125" s="237"/>
      <c r="V125" s="398"/>
      <c r="W125" s="237"/>
      <c r="X125" s="237"/>
      <c r="Y125" s="237"/>
      <c r="Z125" s="237"/>
      <c r="AA125" s="419"/>
      <c r="AB125" s="416"/>
      <c r="AC125" s="396"/>
      <c r="AD125" s="534"/>
      <c r="AE125" s="535"/>
      <c r="AF125" s="535"/>
      <c r="AG125" s="535"/>
      <c r="AH125" s="535"/>
      <c r="AI125" s="535"/>
      <c r="AJ125" s="535"/>
      <c r="AK125" s="535"/>
      <c r="AL125" s="535"/>
      <c r="AM125" s="535"/>
      <c r="AN125" s="535"/>
      <c r="AO125" s="535"/>
      <c r="AP125" s="535"/>
      <c r="AQ125" s="535">
        <f t="shared" si="6"/>
        <v>0</v>
      </c>
      <c r="AR125" s="535">
        <f t="shared" si="7"/>
        <v>0</v>
      </c>
      <c r="AS125" s="544"/>
      <c r="AT125" s="277">
        <f t="shared" si="8"/>
        <v>0</v>
      </c>
    </row>
    <row r="126" spans="1:46" s="68" customFormat="1" x14ac:dyDescent="0.25">
      <c r="A126" s="490">
        <v>138</v>
      </c>
      <c r="B126" s="63" t="s">
        <v>233</v>
      </c>
      <c r="C126" s="490">
        <v>1167</v>
      </c>
      <c r="D126" s="63" t="s">
        <v>228</v>
      </c>
      <c r="E126" s="490">
        <v>3</v>
      </c>
      <c r="F126" s="559"/>
      <c r="G126" s="559"/>
      <c r="H126" s="559"/>
      <c r="I126" s="559"/>
      <c r="J126" s="659"/>
      <c r="K126" s="660"/>
      <c r="L126" s="237"/>
      <c r="M126" s="237"/>
      <c r="N126" s="237"/>
      <c r="O126" s="237"/>
      <c r="P126" s="398"/>
      <c r="Q126" s="402"/>
      <c r="R126" s="401"/>
      <c r="S126" s="237"/>
      <c r="T126" s="398"/>
      <c r="U126" s="237"/>
      <c r="V126" s="398"/>
      <c r="W126" s="400"/>
      <c r="X126" s="399"/>
      <c r="Y126" s="237"/>
      <c r="Z126" s="237"/>
      <c r="AA126" s="419"/>
      <c r="AB126" s="416"/>
      <c r="AC126" s="396"/>
      <c r="AD126" s="534"/>
      <c r="AE126" s="535"/>
      <c r="AF126" s="535"/>
      <c r="AG126" s="535"/>
      <c r="AH126" s="535"/>
      <c r="AI126" s="535"/>
      <c r="AJ126" s="535"/>
      <c r="AK126" s="535"/>
      <c r="AL126" s="535"/>
      <c r="AM126" s="535"/>
      <c r="AN126" s="534"/>
      <c r="AO126" s="535"/>
      <c r="AP126" s="535"/>
      <c r="AQ126" s="535">
        <f t="shared" si="6"/>
        <v>0</v>
      </c>
      <c r="AR126" s="535">
        <f t="shared" si="7"/>
        <v>0</v>
      </c>
      <c r="AS126" s="544"/>
      <c r="AT126" s="277">
        <f t="shared" si="8"/>
        <v>0</v>
      </c>
    </row>
    <row r="127" spans="1:46" s="25" customFormat="1" x14ac:dyDescent="0.25">
      <c r="A127" s="490">
        <v>138</v>
      </c>
      <c r="B127" s="63" t="s">
        <v>233</v>
      </c>
      <c r="C127" s="490">
        <v>1167</v>
      </c>
      <c r="D127" s="63" t="s">
        <v>228</v>
      </c>
      <c r="E127" s="490">
        <v>3</v>
      </c>
      <c r="F127" s="559"/>
      <c r="G127" s="559"/>
      <c r="H127" s="559"/>
      <c r="I127" s="559"/>
      <c r="J127" s="659"/>
      <c r="K127" s="660"/>
      <c r="L127" s="237"/>
      <c r="M127" s="237"/>
      <c r="N127" s="237"/>
      <c r="O127" s="237"/>
      <c r="P127" s="237"/>
      <c r="Q127" s="237"/>
      <c r="R127" s="237"/>
      <c r="S127" s="237"/>
      <c r="T127" s="237"/>
      <c r="U127" s="237"/>
      <c r="V127" s="237"/>
      <c r="W127" s="237"/>
      <c r="X127" s="237"/>
      <c r="Y127" s="237"/>
      <c r="Z127" s="237"/>
      <c r="AA127" s="392"/>
      <c r="AB127" s="233"/>
      <c r="AC127" s="392"/>
      <c r="AD127" s="391"/>
      <c r="AE127" s="535"/>
      <c r="AF127" s="535"/>
      <c r="AG127" s="535"/>
      <c r="AH127" s="535"/>
      <c r="AI127" s="535"/>
      <c r="AJ127" s="535"/>
      <c r="AK127" s="535"/>
      <c r="AL127" s="535"/>
      <c r="AM127" s="535"/>
      <c r="AN127" s="535"/>
      <c r="AO127" s="535"/>
      <c r="AP127" s="535"/>
      <c r="AQ127" s="535">
        <f t="shared" si="6"/>
        <v>0</v>
      </c>
      <c r="AR127" s="535">
        <f t="shared" si="7"/>
        <v>0</v>
      </c>
      <c r="AS127" s="544"/>
      <c r="AT127" s="277">
        <f t="shared" si="8"/>
        <v>0</v>
      </c>
    </row>
    <row r="128" spans="1:46" s="25" customFormat="1" x14ac:dyDescent="0.25">
      <c r="A128" s="490">
        <v>139</v>
      </c>
      <c r="B128" s="63" t="s">
        <v>236</v>
      </c>
      <c r="C128" s="490">
        <v>1175</v>
      </c>
      <c r="D128" s="63" t="s">
        <v>237</v>
      </c>
      <c r="E128" s="490">
        <v>1</v>
      </c>
      <c r="F128" s="559" t="s">
        <v>212</v>
      </c>
      <c r="G128" s="559">
        <v>1</v>
      </c>
      <c r="H128" s="559" t="s">
        <v>238</v>
      </c>
      <c r="I128" s="559" t="s">
        <v>239</v>
      </c>
      <c r="J128" s="659"/>
      <c r="K128" s="660"/>
      <c r="L128" s="237"/>
      <c r="M128" s="237"/>
      <c r="N128" s="237"/>
      <c r="O128" s="237"/>
      <c r="P128" s="237"/>
      <c r="Q128" s="237"/>
      <c r="R128" s="237"/>
      <c r="S128" s="237"/>
      <c r="T128" s="237"/>
      <c r="U128" s="237"/>
      <c r="V128" s="237"/>
      <c r="W128" s="237"/>
      <c r="X128" s="237"/>
      <c r="Y128" s="237"/>
      <c r="Z128" s="237"/>
      <c r="AA128" s="417"/>
      <c r="AB128" s="233"/>
      <c r="AC128" s="392"/>
      <c r="AD128" s="391"/>
      <c r="AE128" s="535"/>
      <c r="AF128" s="535"/>
      <c r="AG128" s="535"/>
      <c r="AH128" s="535"/>
      <c r="AI128" s="535"/>
      <c r="AJ128" s="535"/>
      <c r="AK128" s="535"/>
      <c r="AL128" s="535"/>
      <c r="AM128" s="535"/>
      <c r="AN128" s="535"/>
      <c r="AO128" s="535"/>
      <c r="AP128" s="535"/>
      <c r="AQ128" s="535">
        <f t="shared" si="6"/>
        <v>0</v>
      </c>
      <c r="AR128" s="535">
        <f t="shared" si="7"/>
        <v>0</v>
      </c>
      <c r="AS128" s="544"/>
      <c r="AT128" s="277">
        <f t="shared" si="8"/>
        <v>0</v>
      </c>
    </row>
    <row r="129" spans="1:46" s="25" customFormat="1" x14ac:dyDescent="0.25">
      <c r="A129" s="490">
        <v>139</v>
      </c>
      <c r="B129" s="63" t="s">
        <v>236</v>
      </c>
      <c r="C129" s="490">
        <v>1175</v>
      </c>
      <c r="D129" s="63" t="s">
        <v>237</v>
      </c>
      <c r="E129" s="490">
        <v>1</v>
      </c>
      <c r="F129" s="559"/>
      <c r="G129" s="559"/>
      <c r="H129" s="559"/>
      <c r="I129" s="559"/>
      <c r="J129" s="659"/>
      <c r="K129" s="660"/>
      <c r="L129" s="237"/>
      <c r="M129" s="237"/>
      <c r="N129" s="237"/>
      <c r="O129" s="237"/>
      <c r="P129" s="237"/>
      <c r="Q129" s="237"/>
      <c r="R129" s="237"/>
      <c r="S129" s="237"/>
      <c r="T129" s="237"/>
      <c r="U129" s="237"/>
      <c r="V129" s="237"/>
      <c r="W129" s="237"/>
      <c r="X129" s="237"/>
      <c r="Y129" s="237"/>
      <c r="Z129" s="237"/>
      <c r="AA129" s="417"/>
      <c r="AB129" s="233"/>
      <c r="AC129" s="392"/>
      <c r="AD129" s="391"/>
      <c r="AE129" s="535"/>
      <c r="AF129" s="535"/>
      <c r="AG129" s="535"/>
      <c r="AH129" s="535"/>
      <c r="AI129" s="535"/>
      <c r="AJ129" s="535"/>
      <c r="AK129" s="535"/>
      <c r="AL129" s="535"/>
      <c r="AM129" s="535"/>
      <c r="AN129" s="535"/>
      <c r="AO129" s="535"/>
      <c r="AP129" s="535"/>
      <c r="AQ129" s="535">
        <f t="shared" si="6"/>
        <v>0</v>
      </c>
      <c r="AR129" s="535">
        <f t="shared" si="7"/>
        <v>0</v>
      </c>
      <c r="AS129" s="544"/>
      <c r="AT129" s="277">
        <f t="shared" si="8"/>
        <v>0</v>
      </c>
    </row>
    <row r="130" spans="1:46" s="25" customFormat="1" x14ac:dyDescent="0.25">
      <c r="A130" s="490">
        <v>139</v>
      </c>
      <c r="B130" s="63" t="s">
        <v>236</v>
      </c>
      <c r="C130" s="490">
        <v>1175</v>
      </c>
      <c r="D130" s="63" t="s">
        <v>237</v>
      </c>
      <c r="E130" s="490">
        <v>1</v>
      </c>
      <c r="F130" s="559"/>
      <c r="G130" s="559"/>
      <c r="H130" s="559"/>
      <c r="I130" s="559"/>
      <c r="J130" s="659"/>
      <c r="K130" s="660"/>
      <c r="L130" s="237"/>
      <c r="M130" s="237"/>
      <c r="N130" s="237"/>
      <c r="O130" s="237"/>
      <c r="P130" s="237"/>
      <c r="Q130" s="237"/>
      <c r="R130" s="237"/>
      <c r="S130" s="237"/>
      <c r="T130" s="237"/>
      <c r="U130" s="237"/>
      <c r="V130" s="237"/>
      <c r="W130" s="237"/>
      <c r="X130" s="237"/>
      <c r="Y130" s="237"/>
      <c r="Z130" s="237"/>
      <c r="AA130" s="417"/>
      <c r="AB130" s="233"/>
      <c r="AC130" s="392"/>
      <c r="AD130" s="391"/>
      <c r="AE130" s="535"/>
      <c r="AF130" s="535"/>
      <c r="AG130" s="535"/>
      <c r="AH130" s="535"/>
      <c r="AI130" s="535"/>
      <c r="AJ130" s="535"/>
      <c r="AK130" s="535"/>
      <c r="AL130" s="535"/>
      <c r="AM130" s="535"/>
      <c r="AN130" s="535"/>
      <c r="AO130" s="535"/>
      <c r="AP130" s="535"/>
      <c r="AQ130" s="535">
        <f t="shared" si="6"/>
        <v>0</v>
      </c>
      <c r="AR130" s="535">
        <f t="shared" si="7"/>
        <v>0</v>
      </c>
      <c r="AS130" s="544"/>
      <c r="AT130" s="277">
        <f t="shared" si="8"/>
        <v>0</v>
      </c>
    </row>
    <row r="131" spans="1:46" s="25" customFormat="1" x14ac:dyDescent="0.25">
      <c r="A131" s="491">
        <v>140</v>
      </c>
      <c r="B131" s="65" t="s">
        <v>241</v>
      </c>
      <c r="C131" s="491">
        <v>1171</v>
      </c>
      <c r="D131" s="65" t="s">
        <v>243</v>
      </c>
      <c r="E131" s="491">
        <v>1</v>
      </c>
      <c r="F131" s="584" t="s">
        <v>130</v>
      </c>
      <c r="G131" s="584">
        <v>1</v>
      </c>
      <c r="H131" s="584" t="s">
        <v>244</v>
      </c>
      <c r="I131" s="584" t="s">
        <v>245</v>
      </c>
      <c r="J131" s="632"/>
      <c r="K131" s="634"/>
      <c r="L131" s="237" t="s">
        <v>90</v>
      </c>
      <c r="M131" s="237" t="s">
        <v>1121</v>
      </c>
      <c r="N131" s="237" t="s">
        <v>115</v>
      </c>
      <c r="O131" s="237" t="s">
        <v>90</v>
      </c>
      <c r="P131" s="237" t="s">
        <v>1120</v>
      </c>
      <c r="Q131" s="237" t="s">
        <v>90</v>
      </c>
      <c r="R131" s="237" t="s">
        <v>90</v>
      </c>
      <c r="S131" s="237" t="s">
        <v>90</v>
      </c>
      <c r="T131" s="237" t="s">
        <v>90</v>
      </c>
      <c r="U131" s="237" t="s">
        <v>745</v>
      </c>
      <c r="V131" s="237" t="s">
        <v>90</v>
      </c>
      <c r="W131" s="237" t="s">
        <v>90</v>
      </c>
      <c r="X131" s="237" t="s">
        <v>90</v>
      </c>
      <c r="Y131" s="237" t="s">
        <v>90</v>
      </c>
      <c r="Z131" s="237"/>
      <c r="AA131" s="392" t="s">
        <v>90</v>
      </c>
      <c r="AB131" s="233" t="s">
        <v>90</v>
      </c>
      <c r="AC131" s="392" t="s">
        <v>90</v>
      </c>
      <c r="AD131" s="391">
        <f>1551007986+8000000+38166667+11960000+25100000+297273329</f>
        <v>1931507982</v>
      </c>
      <c r="AE131" s="391"/>
      <c r="AF131" s="391"/>
      <c r="AG131" s="391">
        <v>37871660</v>
      </c>
      <c r="AH131" s="391"/>
      <c r="AI131" s="391">
        <v>81840000</v>
      </c>
      <c r="AJ131" s="391">
        <v>73605006</v>
      </c>
      <c r="AK131" s="391">
        <v>138084779</v>
      </c>
      <c r="AL131" s="391">
        <v>153290233</v>
      </c>
      <c r="AM131" s="391">
        <v>181714999</v>
      </c>
      <c r="AN131" s="391">
        <v>193849667</v>
      </c>
      <c r="AO131" s="535">
        <v>212709727</v>
      </c>
      <c r="AP131" s="535">
        <v>466773919</v>
      </c>
      <c r="AQ131" s="535">
        <f t="shared" si="6"/>
        <v>1539739990</v>
      </c>
      <c r="AR131" s="535">
        <f t="shared" si="7"/>
        <v>391767992</v>
      </c>
      <c r="AS131" s="544">
        <f t="shared" si="9"/>
        <v>0.79716988195185201</v>
      </c>
      <c r="AT131" s="277">
        <f t="shared" si="8"/>
        <v>9</v>
      </c>
    </row>
    <row r="132" spans="1:46" s="25" customFormat="1" x14ac:dyDescent="0.25">
      <c r="A132" s="491">
        <v>140</v>
      </c>
      <c r="B132" s="65" t="s">
        <v>241</v>
      </c>
      <c r="C132" s="491">
        <v>1171</v>
      </c>
      <c r="D132" s="65" t="s">
        <v>243</v>
      </c>
      <c r="E132" s="491">
        <v>1</v>
      </c>
      <c r="F132" s="585"/>
      <c r="G132" s="585"/>
      <c r="H132" s="585"/>
      <c r="I132" s="585"/>
      <c r="J132" s="633"/>
      <c r="K132" s="635"/>
      <c r="L132" s="237" t="s">
        <v>1738</v>
      </c>
      <c r="M132" s="237" t="s">
        <v>1121</v>
      </c>
      <c r="N132" s="237" t="s">
        <v>115</v>
      </c>
      <c r="O132" s="237" t="s">
        <v>1739</v>
      </c>
      <c r="P132" s="398" t="s">
        <v>1641</v>
      </c>
      <c r="Q132" s="264">
        <v>42683</v>
      </c>
      <c r="R132" s="264">
        <v>42683</v>
      </c>
      <c r="S132" s="351"/>
      <c r="T132" s="237">
        <v>152</v>
      </c>
      <c r="U132" s="351" t="s">
        <v>1287</v>
      </c>
      <c r="V132" s="237" t="s">
        <v>1525</v>
      </c>
      <c r="W132" s="406" t="s">
        <v>1541</v>
      </c>
      <c r="X132" s="351" t="s">
        <v>90</v>
      </c>
      <c r="Y132" s="351" t="s">
        <v>884</v>
      </c>
      <c r="Z132" s="237"/>
      <c r="AA132" s="392">
        <v>385</v>
      </c>
      <c r="AB132" s="420">
        <v>42678</v>
      </c>
      <c r="AC132" s="392">
        <v>585</v>
      </c>
      <c r="AD132" s="391">
        <v>18000000</v>
      </c>
      <c r="AE132" s="391"/>
      <c r="AF132" s="391"/>
      <c r="AG132" s="391"/>
      <c r="AH132" s="391"/>
      <c r="AI132" s="391"/>
      <c r="AJ132" s="391"/>
      <c r="AK132" s="535"/>
      <c r="AL132" s="535"/>
      <c r="AM132" s="535"/>
      <c r="AN132" s="535"/>
      <c r="AO132" s="535"/>
      <c r="AP132" s="535"/>
      <c r="AQ132" s="535">
        <f t="shared" ref="AQ132:AQ147" si="10">SUM(AE132:AP132)</f>
        <v>0</v>
      </c>
      <c r="AR132" s="535">
        <f t="shared" ref="AR132:AR147" si="11">+AD132-AQ132</f>
        <v>18000000</v>
      </c>
      <c r="AS132" s="544">
        <f t="shared" ref="AS132:AS144" si="12">+AQ132/AD132</f>
        <v>0</v>
      </c>
      <c r="AT132" s="277">
        <f t="shared" ref="AT132:AT147" si="13">COUNT(AE132:AP132)</f>
        <v>0</v>
      </c>
    </row>
    <row r="133" spans="1:46" s="25" customFormat="1" x14ac:dyDescent="0.25">
      <c r="A133" s="491">
        <v>140</v>
      </c>
      <c r="B133" s="65" t="s">
        <v>241</v>
      </c>
      <c r="C133" s="491">
        <v>1171</v>
      </c>
      <c r="D133" s="65" t="s">
        <v>243</v>
      </c>
      <c r="E133" s="491">
        <v>1</v>
      </c>
      <c r="F133" s="585"/>
      <c r="G133" s="585"/>
      <c r="H133" s="585"/>
      <c r="I133" s="585"/>
      <c r="J133" s="633"/>
      <c r="K133" s="635"/>
      <c r="L133" s="237" t="s">
        <v>1743</v>
      </c>
      <c r="M133" s="237" t="s">
        <v>1121</v>
      </c>
      <c r="N133" s="237" t="s">
        <v>115</v>
      </c>
      <c r="O133" s="237" t="s">
        <v>836</v>
      </c>
      <c r="P133" s="397"/>
      <c r="Q133" s="448">
        <v>42676</v>
      </c>
      <c r="R133" s="448"/>
      <c r="S133" s="399"/>
      <c r="T133" s="396"/>
      <c r="U133" s="351"/>
      <c r="V133" s="395"/>
      <c r="W133" s="237"/>
      <c r="X133" s="237"/>
      <c r="Y133" s="351"/>
      <c r="Z133" s="237"/>
      <c r="AA133" s="392">
        <v>377</v>
      </c>
      <c r="AB133" s="420">
        <v>42676</v>
      </c>
      <c r="AC133" s="392">
        <v>583</v>
      </c>
      <c r="AD133" s="391">
        <v>160000</v>
      </c>
      <c r="AE133" s="391"/>
      <c r="AF133" s="391"/>
      <c r="AG133" s="391"/>
      <c r="AH133" s="391"/>
      <c r="AI133" s="391"/>
      <c r="AJ133" s="535"/>
      <c r="AK133" s="535"/>
      <c r="AL133" s="535"/>
      <c r="AM133" s="535"/>
      <c r="AN133" s="535"/>
      <c r="AO133" s="535">
        <v>160000</v>
      </c>
      <c r="AP133" s="535"/>
      <c r="AQ133" s="535">
        <f t="shared" si="10"/>
        <v>160000</v>
      </c>
      <c r="AR133" s="535">
        <f t="shared" si="11"/>
        <v>0</v>
      </c>
      <c r="AS133" s="544">
        <f t="shared" si="12"/>
        <v>1</v>
      </c>
      <c r="AT133" s="277">
        <f t="shared" si="13"/>
        <v>1</v>
      </c>
    </row>
    <row r="134" spans="1:46" s="25" customFormat="1" x14ac:dyDescent="0.25">
      <c r="A134" s="491">
        <v>140</v>
      </c>
      <c r="B134" s="65" t="s">
        <v>241</v>
      </c>
      <c r="C134" s="491">
        <v>1171</v>
      </c>
      <c r="D134" s="65" t="s">
        <v>243</v>
      </c>
      <c r="E134" s="491">
        <v>1</v>
      </c>
      <c r="F134" s="585"/>
      <c r="G134" s="585"/>
      <c r="H134" s="585"/>
      <c r="I134" s="585"/>
      <c r="J134" s="633"/>
      <c r="K134" s="635"/>
      <c r="L134" s="237" t="s">
        <v>1878</v>
      </c>
      <c r="M134" s="237" t="s">
        <v>1121</v>
      </c>
      <c r="N134" s="237" t="s">
        <v>115</v>
      </c>
      <c r="O134" s="237" t="s">
        <v>1534</v>
      </c>
      <c r="P134" s="398" t="s">
        <v>1641</v>
      </c>
      <c r="Q134" s="405">
        <v>42718</v>
      </c>
      <c r="R134" s="405">
        <v>42723</v>
      </c>
      <c r="S134" s="259" t="s">
        <v>1336</v>
      </c>
      <c r="T134" s="259" t="s">
        <v>1879</v>
      </c>
      <c r="U134" s="351" t="s">
        <v>1287</v>
      </c>
      <c r="V134" s="237" t="s">
        <v>1880</v>
      </c>
      <c r="W134" s="351">
        <v>79538529</v>
      </c>
      <c r="X134" s="237"/>
      <c r="Y134" s="351" t="s">
        <v>884</v>
      </c>
      <c r="Z134" s="237"/>
      <c r="AA134" s="392">
        <v>368</v>
      </c>
      <c r="AB134" s="420">
        <v>42697</v>
      </c>
      <c r="AC134" s="392">
        <v>628</v>
      </c>
      <c r="AD134" s="391">
        <v>50000000</v>
      </c>
      <c r="AE134" s="391"/>
      <c r="AF134" s="391"/>
      <c r="AG134" s="391"/>
      <c r="AH134" s="391"/>
      <c r="AI134" s="391"/>
      <c r="AJ134" s="535"/>
      <c r="AK134" s="535"/>
      <c r="AL134" s="535"/>
      <c r="AM134" s="535"/>
      <c r="AN134" s="535"/>
      <c r="AO134" s="535"/>
      <c r="AP134" s="535"/>
      <c r="AQ134" s="535">
        <f t="shared" si="10"/>
        <v>0</v>
      </c>
      <c r="AR134" s="535">
        <f t="shared" si="11"/>
        <v>50000000</v>
      </c>
      <c r="AS134" s="544">
        <f t="shared" si="12"/>
        <v>0</v>
      </c>
      <c r="AT134" s="277">
        <f t="shared" si="13"/>
        <v>0</v>
      </c>
    </row>
    <row r="135" spans="1:46" s="25" customFormat="1" x14ac:dyDescent="0.25">
      <c r="A135" s="491">
        <v>140</v>
      </c>
      <c r="B135" s="65" t="s">
        <v>241</v>
      </c>
      <c r="C135" s="491">
        <v>1171</v>
      </c>
      <c r="D135" s="65" t="s">
        <v>243</v>
      </c>
      <c r="E135" s="491">
        <v>1</v>
      </c>
      <c r="F135" s="585"/>
      <c r="G135" s="585"/>
      <c r="H135" s="585"/>
      <c r="I135" s="585"/>
      <c r="J135" s="633"/>
      <c r="K135" s="635"/>
      <c r="L135" s="237" t="s">
        <v>1882</v>
      </c>
      <c r="M135" s="237" t="s">
        <v>1121</v>
      </c>
      <c r="N135" s="237" t="s">
        <v>115</v>
      </c>
      <c r="O135" s="237" t="s">
        <v>1534</v>
      </c>
      <c r="P135" s="398" t="s">
        <v>1408</v>
      </c>
      <c r="Q135" s="405">
        <v>42733</v>
      </c>
      <c r="R135" s="405"/>
      <c r="S135" s="259" t="s">
        <v>807</v>
      </c>
      <c r="T135" s="259" t="s">
        <v>1883</v>
      </c>
      <c r="U135" s="351" t="s">
        <v>1287</v>
      </c>
      <c r="V135" s="237" t="s">
        <v>1884</v>
      </c>
      <c r="W135" s="351">
        <v>21021680</v>
      </c>
      <c r="X135" s="237"/>
      <c r="Y135" s="351" t="s">
        <v>884</v>
      </c>
      <c r="Z135" s="237"/>
      <c r="AA135" s="392">
        <v>392</v>
      </c>
      <c r="AB135" s="420">
        <v>42697</v>
      </c>
      <c r="AC135" s="392">
        <v>727</v>
      </c>
      <c r="AD135" s="391">
        <v>190000000</v>
      </c>
      <c r="AE135" s="391"/>
      <c r="AF135" s="391"/>
      <c r="AG135" s="391"/>
      <c r="AH135" s="391"/>
      <c r="AI135" s="391"/>
      <c r="AJ135" s="535"/>
      <c r="AK135" s="535"/>
      <c r="AL135" s="535"/>
      <c r="AM135" s="535"/>
      <c r="AN135" s="535"/>
      <c r="AO135" s="535"/>
      <c r="AP135" s="535"/>
      <c r="AQ135" s="535">
        <f t="shared" si="10"/>
        <v>0</v>
      </c>
      <c r="AR135" s="535">
        <f t="shared" si="11"/>
        <v>190000000</v>
      </c>
      <c r="AS135" s="544">
        <f t="shared" si="12"/>
        <v>0</v>
      </c>
      <c r="AT135" s="277">
        <f t="shared" si="13"/>
        <v>0</v>
      </c>
    </row>
    <row r="136" spans="1:46" s="25" customFormat="1" x14ac:dyDescent="0.25">
      <c r="A136" s="491">
        <v>140</v>
      </c>
      <c r="B136" s="65" t="s">
        <v>241</v>
      </c>
      <c r="C136" s="491">
        <v>1171</v>
      </c>
      <c r="D136" s="65" t="s">
        <v>243</v>
      </c>
      <c r="E136" s="491">
        <v>1</v>
      </c>
      <c r="F136" s="585"/>
      <c r="G136" s="585"/>
      <c r="H136" s="585"/>
      <c r="I136" s="585"/>
      <c r="J136" s="633"/>
      <c r="K136" s="635"/>
      <c r="L136" s="237" t="s">
        <v>1881</v>
      </c>
      <c r="M136" s="237" t="s">
        <v>1121</v>
      </c>
      <c r="N136" s="237" t="s">
        <v>115</v>
      </c>
      <c r="O136" s="237" t="s">
        <v>1865</v>
      </c>
      <c r="P136" s="398" t="s">
        <v>1885</v>
      </c>
      <c r="Q136" s="405">
        <v>42732</v>
      </c>
      <c r="R136" s="405"/>
      <c r="S136" s="259" t="s">
        <v>378</v>
      </c>
      <c r="T136" s="259" t="s">
        <v>1886</v>
      </c>
      <c r="U136" s="351" t="s">
        <v>1287</v>
      </c>
      <c r="V136" s="237" t="s">
        <v>1887</v>
      </c>
      <c r="W136" s="351">
        <v>800230829</v>
      </c>
      <c r="X136" s="237"/>
      <c r="Y136" s="351" t="s">
        <v>870</v>
      </c>
      <c r="Z136" s="237"/>
      <c r="AA136" s="392">
        <v>388</v>
      </c>
      <c r="AB136" s="420">
        <v>42733</v>
      </c>
      <c r="AC136" s="392">
        <v>726</v>
      </c>
      <c r="AD136" s="391">
        <v>78500000</v>
      </c>
      <c r="AE136" s="391"/>
      <c r="AF136" s="391"/>
      <c r="AG136" s="391"/>
      <c r="AH136" s="391"/>
      <c r="AI136" s="391"/>
      <c r="AJ136" s="535"/>
      <c r="AK136" s="535"/>
      <c r="AL136" s="535"/>
      <c r="AM136" s="535"/>
      <c r="AN136" s="535"/>
      <c r="AO136" s="535"/>
      <c r="AP136" s="535"/>
      <c r="AQ136" s="535">
        <f t="shared" si="10"/>
        <v>0</v>
      </c>
      <c r="AR136" s="535">
        <f t="shared" si="11"/>
        <v>78500000</v>
      </c>
      <c r="AS136" s="544">
        <f t="shared" si="12"/>
        <v>0</v>
      </c>
      <c r="AT136" s="277">
        <f t="shared" si="13"/>
        <v>0</v>
      </c>
    </row>
    <row r="137" spans="1:46" s="25" customFormat="1" x14ac:dyDescent="0.25">
      <c r="A137" s="491">
        <v>140</v>
      </c>
      <c r="B137" s="65" t="s">
        <v>241</v>
      </c>
      <c r="C137" s="491">
        <v>1171</v>
      </c>
      <c r="D137" s="65" t="s">
        <v>243</v>
      </c>
      <c r="E137" s="491">
        <v>1</v>
      </c>
      <c r="F137" s="585"/>
      <c r="G137" s="585"/>
      <c r="H137" s="585"/>
      <c r="I137" s="585"/>
      <c r="J137" s="633"/>
      <c r="K137" s="635"/>
      <c r="L137" s="237" t="s">
        <v>1888</v>
      </c>
      <c r="M137" s="237" t="s">
        <v>1121</v>
      </c>
      <c r="N137" s="237" t="s">
        <v>115</v>
      </c>
      <c r="O137" s="237" t="s">
        <v>1865</v>
      </c>
      <c r="P137" s="398" t="s">
        <v>1885</v>
      </c>
      <c r="Q137" s="405">
        <v>42732</v>
      </c>
      <c r="R137" s="405"/>
      <c r="S137" s="259" t="s">
        <v>378</v>
      </c>
      <c r="T137" s="476" t="s">
        <v>1889</v>
      </c>
      <c r="U137" s="351" t="s">
        <v>1287</v>
      </c>
      <c r="V137" s="237" t="s">
        <v>1890</v>
      </c>
      <c r="W137" s="351">
        <v>901031559</v>
      </c>
      <c r="X137" s="237"/>
      <c r="Y137" s="351" t="s">
        <v>870</v>
      </c>
      <c r="Z137" s="237"/>
      <c r="AA137" s="392">
        <v>389</v>
      </c>
      <c r="AB137" s="420">
        <v>42697</v>
      </c>
      <c r="AC137" s="392">
        <v>664</v>
      </c>
      <c r="AD137" s="391">
        <v>186730536</v>
      </c>
      <c r="AE137" s="391"/>
      <c r="AF137" s="391"/>
      <c r="AG137" s="391"/>
      <c r="AH137" s="391"/>
      <c r="AI137" s="391"/>
      <c r="AJ137" s="535"/>
      <c r="AK137" s="535"/>
      <c r="AL137" s="535"/>
      <c r="AM137" s="535"/>
      <c r="AN137" s="535"/>
      <c r="AO137" s="535"/>
      <c r="AP137" s="535"/>
      <c r="AQ137" s="535">
        <f t="shared" si="10"/>
        <v>0</v>
      </c>
      <c r="AR137" s="535">
        <f t="shared" si="11"/>
        <v>186730536</v>
      </c>
      <c r="AS137" s="544">
        <f t="shared" si="12"/>
        <v>0</v>
      </c>
      <c r="AT137" s="277">
        <f t="shared" si="13"/>
        <v>0</v>
      </c>
    </row>
    <row r="138" spans="1:46" s="25" customFormat="1" x14ac:dyDescent="0.25">
      <c r="A138" s="491">
        <v>140</v>
      </c>
      <c r="B138" s="65" t="s">
        <v>241</v>
      </c>
      <c r="C138" s="491">
        <v>1171</v>
      </c>
      <c r="D138" s="65" t="s">
        <v>243</v>
      </c>
      <c r="E138" s="491">
        <v>1</v>
      </c>
      <c r="F138" s="585"/>
      <c r="G138" s="585"/>
      <c r="H138" s="585"/>
      <c r="I138" s="585"/>
      <c r="J138" s="633"/>
      <c r="K138" s="635"/>
      <c r="L138" s="237" t="s">
        <v>1891</v>
      </c>
      <c r="M138" s="237" t="s">
        <v>1121</v>
      </c>
      <c r="N138" s="237" t="s">
        <v>115</v>
      </c>
      <c r="O138" s="237" t="s">
        <v>1865</v>
      </c>
      <c r="P138" s="398" t="s">
        <v>1885</v>
      </c>
      <c r="Q138" s="405">
        <v>42733</v>
      </c>
      <c r="R138" s="351"/>
      <c r="S138" s="259" t="s">
        <v>512</v>
      </c>
      <c r="T138" s="259" t="s">
        <v>1892</v>
      </c>
      <c r="U138" s="351" t="s">
        <v>1287</v>
      </c>
      <c r="V138" s="237" t="s">
        <v>1893</v>
      </c>
      <c r="W138" s="351">
        <v>52119101</v>
      </c>
      <c r="X138" s="351"/>
      <c r="Y138" s="351" t="s">
        <v>870</v>
      </c>
      <c r="Z138" s="237"/>
      <c r="AA138" s="392">
        <v>420</v>
      </c>
      <c r="AB138" s="420">
        <v>42718</v>
      </c>
      <c r="AC138" s="392">
        <v>724</v>
      </c>
      <c r="AD138" s="391">
        <v>5655915</v>
      </c>
      <c r="AE138" s="391"/>
      <c r="AF138" s="391"/>
      <c r="AG138" s="391"/>
      <c r="AH138" s="391"/>
      <c r="AI138" s="391"/>
      <c r="AJ138" s="535"/>
      <c r="AK138" s="535"/>
      <c r="AL138" s="535"/>
      <c r="AM138" s="535"/>
      <c r="AN138" s="535"/>
      <c r="AO138" s="535"/>
      <c r="AP138" s="535"/>
      <c r="AQ138" s="535">
        <f t="shared" si="10"/>
        <v>0</v>
      </c>
      <c r="AR138" s="535">
        <f t="shared" si="11"/>
        <v>5655915</v>
      </c>
      <c r="AS138" s="544">
        <f t="shared" si="12"/>
        <v>0</v>
      </c>
      <c r="AT138" s="277">
        <f t="shared" si="13"/>
        <v>0</v>
      </c>
    </row>
    <row r="139" spans="1:46" s="25" customFormat="1" x14ac:dyDescent="0.25">
      <c r="A139" s="490">
        <v>141</v>
      </c>
      <c r="B139" s="63" t="s">
        <v>247</v>
      </c>
      <c r="C139" s="490">
        <v>1171</v>
      </c>
      <c r="D139" s="63" t="s">
        <v>243</v>
      </c>
      <c r="E139" s="490">
        <v>2</v>
      </c>
      <c r="F139" s="559" t="s">
        <v>130</v>
      </c>
      <c r="G139" s="559">
        <v>7</v>
      </c>
      <c r="H139" s="559" t="s">
        <v>249</v>
      </c>
      <c r="I139" s="559" t="s">
        <v>250</v>
      </c>
      <c r="J139" s="659"/>
      <c r="K139" s="660"/>
      <c r="L139" s="237" t="s">
        <v>90</v>
      </c>
      <c r="M139" s="237" t="s">
        <v>1121</v>
      </c>
      <c r="N139" s="237" t="s">
        <v>115</v>
      </c>
      <c r="O139" s="237" t="s">
        <v>90</v>
      </c>
      <c r="P139" s="237" t="s">
        <v>90</v>
      </c>
      <c r="Q139" s="237" t="s">
        <v>90</v>
      </c>
      <c r="R139" s="237" t="s">
        <v>90</v>
      </c>
      <c r="S139" s="237" t="s">
        <v>90</v>
      </c>
      <c r="T139" s="237" t="s">
        <v>90</v>
      </c>
      <c r="U139" s="237" t="s">
        <v>745</v>
      </c>
      <c r="V139" s="237" t="s">
        <v>90</v>
      </c>
      <c r="W139" s="237" t="s">
        <v>90</v>
      </c>
      <c r="X139" s="237" t="s">
        <v>90</v>
      </c>
      <c r="Y139" s="237" t="s">
        <v>90</v>
      </c>
      <c r="Z139" s="237"/>
      <c r="AA139" s="392" t="s">
        <v>90</v>
      </c>
      <c r="AB139" s="233" t="s">
        <v>90</v>
      </c>
      <c r="AC139" s="392" t="s">
        <v>90</v>
      </c>
      <c r="AD139" s="391">
        <f>42277256+42277256+42277256+42277256+42277256+42277256+42277256+42277256+42277256+42277256+42277256+42277256</f>
        <v>507327072</v>
      </c>
      <c r="AE139" s="391"/>
      <c r="AF139" s="391">
        <v>42277256</v>
      </c>
      <c r="AG139" s="391">
        <v>42277256</v>
      </c>
      <c r="AH139" s="391">
        <v>42277256</v>
      </c>
      <c r="AI139" s="391">
        <v>42277256</v>
      </c>
      <c r="AJ139" s="391">
        <v>42277256</v>
      </c>
      <c r="AK139" s="391">
        <v>42277256</v>
      </c>
      <c r="AL139" s="391">
        <v>42277256</v>
      </c>
      <c r="AM139" s="391">
        <v>42277256</v>
      </c>
      <c r="AN139" s="391">
        <v>42277256</v>
      </c>
      <c r="AO139" s="391">
        <v>42277256</v>
      </c>
      <c r="AP139" s="391">
        <v>42277256</v>
      </c>
      <c r="AQ139" s="535">
        <f t="shared" si="10"/>
        <v>465049816</v>
      </c>
      <c r="AR139" s="535">
        <f t="shared" si="11"/>
        <v>42277256</v>
      </c>
      <c r="AS139" s="544">
        <f t="shared" si="12"/>
        <v>0.91666666666666663</v>
      </c>
      <c r="AT139" s="277">
        <f t="shared" si="13"/>
        <v>11</v>
      </c>
    </row>
    <row r="140" spans="1:46" s="25" customFormat="1" x14ac:dyDescent="0.25">
      <c r="A140" s="490">
        <v>141</v>
      </c>
      <c r="B140" s="63" t="s">
        <v>247</v>
      </c>
      <c r="C140" s="490">
        <v>1171</v>
      </c>
      <c r="D140" s="63" t="s">
        <v>243</v>
      </c>
      <c r="E140" s="490">
        <v>2</v>
      </c>
      <c r="F140" s="559"/>
      <c r="G140" s="559"/>
      <c r="H140" s="559"/>
      <c r="I140" s="559"/>
      <c r="J140" s="659"/>
      <c r="K140" s="660"/>
      <c r="L140" s="237"/>
      <c r="M140" s="237"/>
      <c r="N140" s="237"/>
      <c r="O140" s="237"/>
      <c r="P140" s="237"/>
      <c r="Q140" s="237"/>
      <c r="R140" s="237"/>
      <c r="S140" s="237"/>
      <c r="T140" s="237"/>
      <c r="U140" s="237"/>
      <c r="V140" s="237"/>
      <c r="W140" s="237"/>
      <c r="X140" s="237"/>
      <c r="Y140" s="237"/>
      <c r="Z140" s="237"/>
      <c r="AA140" s="417"/>
      <c r="AB140" s="233"/>
      <c r="AC140" s="392"/>
      <c r="AD140" s="391"/>
      <c r="AE140" s="391"/>
      <c r="AF140" s="391"/>
      <c r="AG140" s="391"/>
      <c r="AH140" s="391"/>
      <c r="AI140" s="391"/>
      <c r="AJ140" s="535"/>
      <c r="AK140" s="535"/>
      <c r="AL140" s="535"/>
      <c r="AM140" s="535"/>
      <c r="AN140" s="535"/>
      <c r="AO140" s="535"/>
      <c r="AP140" s="535"/>
      <c r="AQ140" s="535">
        <f t="shared" si="10"/>
        <v>0</v>
      </c>
      <c r="AR140" s="535">
        <f t="shared" si="11"/>
        <v>0</v>
      </c>
      <c r="AS140" s="544"/>
      <c r="AT140" s="277">
        <f t="shared" si="13"/>
        <v>0</v>
      </c>
    </row>
    <row r="141" spans="1:46" s="25" customFormat="1" x14ac:dyDescent="0.25">
      <c r="A141" s="490">
        <v>141</v>
      </c>
      <c r="B141" s="63" t="s">
        <v>247</v>
      </c>
      <c r="C141" s="490">
        <v>1171</v>
      </c>
      <c r="D141" s="63" t="s">
        <v>243</v>
      </c>
      <c r="E141" s="490">
        <v>2</v>
      </c>
      <c r="F141" s="559"/>
      <c r="G141" s="559"/>
      <c r="H141" s="559"/>
      <c r="I141" s="559"/>
      <c r="J141" s="659"/>
      <c r="K141" s="660"/>
      <c r="L141" s="237"/>
      <c r="M141" s="237"/>
      <c r="N141" s="237"/>
      <c r="O141" s="237"/>
      <c r="P141" s="237"/>
      <c r="Q141" s="237"/>
      <c r="R141" s="237"/>
      <c r="S141" s="237"/>
      <c r="T141" s="237"/>
      <c r="U141" s="237"/>
      <c r="V141" s="237"/>
      <c r="W141" s="237"/>
      <c r="X141" s="237"/>
      <c r="Y141" s="237"/>
      <c r="Z141" s="237"/>
      <c r="AA141" s="417"/>
      <c r="AB141" s="233"/>
      <c r="AC141" s="392"/>
      <c r="AD141" s="391"/>
      <c r="AE141" s="391"/>
      <c r="AF141" s="391"/>
      <c r="AG141" s="391"/>
      <c r="AH141" s="391"/>
      <c r="AI141" s="391"/>
      <c r="AJ141" s="535"/>
      <c r="AK141" s="535"/>
      <c r="AL141" s="535"/>
      <c r="AM141" s="535"/>
      <c r="AN141" s="535"/>
      <c r="AO141" s="535"/>
      <c r="AP141" s="535"/>
      <c r="AQ141" s="535">
        <f t="shared" si="10"/>
        <v>0</v>
      </c>
      <c r="AR141" s="535">
        <f t="shared" si="11"/>
        <v>0</v>
      </c>
      <c r="AS141" s="544"/>
      <c r="AT141" s="277">
        <f t="shared" si="13"/>
        <v>0</v>
      </c>
    </row>
    <row r="142" spans="1:46" s="25" customFormat="1" x14ac:dyDescent="0.25">
      <c r="A142" s="490">
        <v>142</v>
      </c>
      <c r="B142" s="63" t="s">
        <v>251</v>
      </c>
      <c r="C142" s="490">
        <v>1171</v>
      </c>
      <c r="D142" s="63" t="s">
        <v>243</v>
      </c>
      <c r="E142" s="490">
        <v>3</v>
      </c>
      <c r="F142" s="559" t="s">
        <v>252</v>
      </c>
      <c r="G142" s="559">
        <v>1</v>
      </c>
      <c r="H142" s="559" t="s">
        <v>253</v>
      </c>
      <c r="I142" s="559" t="s">
        <v>254</v>
      </c>
      <c r="J142" s="659"/>
      <c r="K142" s="660"/>
      <c r="L142" s="237" t="s">
        <v>1711</v>
      </c>
      <c r="M142" s="237" t="s">
        <v>1121</v>
      </c>
      <c r="N142" s="237" t="s">
        <v>1712</v>
      </c>
      <c r="O142" s="393" t="s">
        <v>806</v>
      </c>
      <c r="P142" s="237" t="s">
        <v>1120</v>
      </c>
      <c r="Q142" s="394">
        <v>42459</v>
      </c>
      <c r="R142" s="394">
        <v>42459</v>
      </c>
      <c r="S142" s="393" t="s">
        <v>1713</v>
      </c>
      <c r="T142" s="280">
        <v>272016</v>
      </c>
      <c r="U142" s="237" t="s">
        <v>798</v>
      </c>
      <c r="V142" s="237" t="s">
        <v>1123</v>
      </c>
      <c r="W142" s="237">
        <v>51738812</v>
      </c>
      <c r="X142" s="237" t="s">
        <v>90</v>
      </c>
      <c r="Y142" s="237" t="s">
        <v>90</v>
      </c>
      <c r="Z142" s="237"/>
      <c r="AA142" s="392">
        <v>271</v>
      </c>
      <c r="AB142" s="420">
        <v>42459</v>
      </c>
      <c r="AC142" s="392">
        <v>336</v>
      </c>
      <c r="AD142" s="391">
        <v>3823333</v>
      </c>
      <c r="AE142" s="391"/>
      <c r="AF142" s="391"/>
      <c r="AG142" s="391"/>
      <c r="AH142" s="391"/>
      <c r="AI142" s="391">
        <v>1850000</v>
      </c>
      <c r="AJ142" s="391">
        <v>1973333</v>
      </c>
      <c r="AK142" s="391"/>
      <c r="AL142" s="391"/>
      <c r="AM142" s="391"/>
      <c r="AN142" s="535"/>
      <c r="AO142" s="391"/>
      <c r="AP142" s="535"/>
      <c r="AQ142" s="535">
        <f t="shared" si="10"/>
        <v>3823333</v>
      </c>
      <c r="AR142" s="535">
        <f t="shared" si="11"/>
        <v>0</v>
      </c>
      <c r="AS142" s="544">
        <f t="shared" si="12"/>
        <v>1</v>
      </c>
      <c r="AT142" s="277">
        <f t="shared" si="13"/>
        <v>2</v>
      </c>
    </row>
    <row r="143" spans="1:46" s="25" customFormat="1" x14ac:dyDescent="0.25">
      <c r="A143" s="490">
        <v>142</v>
      </c>
      <c r="B143" s="63" t="s">
        <v>251</v>
      </c>
      <c r="C143" s="490">
        <v>1171</v>
      </c>
      <c r="D143" s="63" t="s">
        <v>243</v>
      </c>
      <c r="E143" s="490">
        <v>3</v>
      </c>
      <c r="F143" s="559"/>
      <c r="G143" s="559"/>
      <c r="H143" s="559"/>
      <c r="I143" s="559"/>
      <c r="J143" s="659"/>
      <c r="K143" s="660"/>
      <c r="L143" s="237" t="s">
        <v>1714</v>
      </c>
      <c r="M143" s="237" t="s">
        <v>1121</v>
      </c>
      <c r="N143" s="237" t="s">
        <v>1712</v>
      </c>
      <c r="O143" s="393" t="s">
        <v>806</v>
      </c>
      <c r="P143" s="237" t="s">
        <v>1120</v>
      </c>
      <c r="Q143" s="394">
        <v>42516</v>
      </c>
      <c r="R143" s="394">
        <v>42516</v>
      </c>
      <c r="S143" s="393" t="s">
        <v>1715</v>
      </c>
      <c r="T143" s="393">
        <v>552016</v>
      </c>
      <c r="U143" s="237" t="s">
        <v>798</v>
      </c>
      <c r="V143" s="237" t="s">
        <v>1123</v>
      </c>
      <c r="W143" s="237">
        <v>51738812</v>
      </c>
      <c r="X143" s="237" t="s">
        <v>90</v>
      </c>
      <c r="Y143" s="237" t="s">
        <v>90</v>
      </c>
      <c r="Z143" s="237"/>
      <c r="AA143" s="392">
        <v>312</v>
      </c>
      <c r="AB143" s="420">
        <v>42514</v>
      </c>
      <c r="AC143" s="392">
        <v>412</v>
      </c>
      <c r="AD143" s="391">
        <v>30741666</v>
      </c>
      <c r="AE143" s="391"/>
      <c r="AF143" s="391"/>
      <c r="AG143" s="391"/>
      <c r="AH143" s="391"/>
      <c r="AI143" s="391"/>
      <c r="AJ143" s="535"/>
      <c r="AK143" s="391">
        <v>2691667</v>
      </c>
      <c r="AL143" s="391">
        <v>4250000</v>
      </c>
      <c r="AM143" s="391">
        <v>4250000</v>
      </c>
      <c r="AN143" s="535">
        <v>4250000</v>
      </c>
      <c r="AO143" s="391">
        <v>4250000</v>
      </c>
      <c r="AP143" s="535">
        <f>4250000+4250000</f>
        <v>8500000</v>
      </c>
      <c r="AQ143" s="535">
        <f t="shared" si="10"/>
        <v>28191667</v>
      </c>
      <c r="AR143" s="535">
        <f t="shared" si="11"/>
        <v>2549999</v>
      </c>
      <c r="AS143" s="544">
        <f t="shared" si="12"/>
        <v>0.91705072197453452</v>
      </c>
      <c r="AT143" s="277">
        <f t="shared" si="13"/>
        <v>6</v>
      </c>
    </row>
    <row r="144" spans="1:46" s="25" customFormat="1" x14ac:dyDescent="0.25">
      <c r="A144" s="490">
        <v>142</v>
      </c>
      <c r="B144" s="63" t="s">
        <v>251</v>
      </c>
      <c r="C144" s="490">
        <v>1171</v>
      </c>
      <c r="D144" s="63" t="s">
        <v>243</v>
      </c>
      <c r="E144" s="490">
        <v>3</v>
      </c>
      <c r="F144" s="559"/>
      <c r="G144" s="559"/>
      <c r="H144" s="559"/>
      <c r="I144" s="559"/>
      <c r="J144" s="659"/>
      <c r="K144" s="660"/>
      <c r="L144" s="237" t="s">
        <v>1894</v>
      </c>
      <c r="M144" s="237" t="s">
        <v>1121</v>
      </c>
      <c r="N144" s="237" t="s">
        <v>1712</v>
      </c>
      <c r="O144" s="393" t="s">
        <v>806</v>
      </c>
      <c r="P144" s="237" t="s">
        <v>1120</v>
      </c>
      <c r="Q144" s="394">
        <v>42733</v>
      </c>
      <c r="R144" s="394">
        <v>42735</v>
      </c>
      <c r="S144" s="259" t="s">
        <v>1895</v>
      </c>
      <c r="T144" s="393">
        <v>552016</v>
      </c>
      <c r="U144" s="25" t="s">
        <v>798</v>
      </c>
      <c r="V144" s="237" t="s">
        <v>1123</v>
      </c>
      <c r="W144" s="237">
        <v>51738812</v>
      </c>
      <c r="X144" s="237" t="s">
        <v>90</v>
      </c>
      <c r="Y144" s="237" t="s">
        <v>90</v>
      </c>
      <c r="Z144" s="237"/>
      <c r="AA144" s="259">
        <v>449</v>
      </c>
      <c r="AB144" s="420">
        <v>42727</v>
      </c>
      <c r="AC144" s="259">
        <v>678</v>
      </c>
      <c r="AD144" s="391">
        <v>5950000</v>
      </c>
      <c r="AE144" s="391"/>
      <c r="AF144" s="391"/>
      <c r="AG144" s="391"/>
      <c r="AH144" s="391"/>
      <c r="AI144" s="391"/>
      <c r="AJ144" s="535"/>
      <c r="AK144" s="535"/>
      <c r="AL144" s="535"/>
      <c r="AM144" s="535"/>
      <c r="AN144" s="535"/>
      <c r="AO144" s="535"/>
      <c r="AP144" s="535"/>
      <c r="AQ144" s="535">
        <f t="shared" si="10"/>
        <v>0</v>
      </c>
      <c r="AR144" s="535">
        <f t="shared" si="11"/>
        <v>5950000</v>
      </c>
      <c r="AS144" s="544">
        <f t="shared" si="12"/>
        <v>0</v>
      </c>
      <c r="AT144" s="277">
        <f t="shared" si="13"/>
        <v>0</v>
      </c>
    </row>
    <row r="145" spans="1:240" s="25" customFormat="1" x14ac:dyDescent="0.25">
      <c r="A145" s="490">
        <v>143</v>
      </c>
      <c r="B145" s="63" t="s">
        <v>256</v>
      </c>
      <c r="C145" s="490">
        <v>1173</v>
      </c>
      <c r="D145" s="63" t="s">
        <v>257</v>
      </c>
      <c r="E145" s="490">
        <v>1</v>
      </c>
      <c r="F145" s="559" t="s">
        <v>53</v>
      </c>
      <c r="G145" s="559">
        <v>4000</v>
      </c>
      <c r="H145" s="559" t="s">
        <v>61</v>
      </c>
      <c r="I145" s="559" t="s">
        <v>258</v>
      </c>
      <c r="J145" s="659"/>
      <c r="K145" s="660"/>
      <c r="L145" s="237"/>
      <c r="M145" s="237"/>
      <c r="N145" s="237"/>
      <c r="O145" s="237"/>
      <c r="P145" s="237"/>
      <c r="Q145" s="237"/>
      <c r="R145" s="237"/>
      <c r="S145" s="237"/>
      <c r="T145" s="237"/>
      <c r="U145" s="237"/>
      <c r="V145" s="237"/>
      <c r="W145" s="237"/>
      <c r="X145" s="237"/>
      <c r="Y145" s="237"/>
      <c r="Z145" s="237"/>
      <c r="AA145" s="417"/>
      <c r="AB145" s="233"/>
      <c r="AC145" s="392"/>
      <c r="AD145" s="391"/>
      <c r="AE145" s="535"/>
      <c r="AF145" s="535"/>
      <c r="AG145" s="535"/>
      <c r="AH145" s="535"/>
      <c r="AI145" s="535"/>
      <c r="AJ145" s="535"/>
      <c r="AK145" s="535"/>
      <c r="AL145" s="535"/>
      <c r="AM145" s="535"/>
      <c r="AN145" s="535"/>
      <c r="AO145" s="391"/>
      <c r="AP145" s="535"/>
      <c r="AQ145" s="535">
        <f t="shared" si="10"/>
        <v>0</v>
      </c>
      <c r="AR145" s="535">
        <f t="shared" si="11"/>
        <v>0</v>
      </c>
      <c r="AS145" s="544"/>
      <c r="AT145" s="277">
        <f t="shared" si="13"/>
        <v>0</v>
      </c>
    </row>
    <row r="146" spans="1:240" s="25" customFormat="1" x14ac:dyDescent="0.25">
      <c r="A146" s="490">
        <v>143</v>
      </c>
      <c r="B146" s="63" t="s">
        <v>256</v>
      </c>
      <c r="C146" s="490">
        <v>1173</v>
      </c>
      <c r="D146" s="63" t="s">
        <v>257</v>
      </c>
      <c r="E146" s="490">
        <v>1</v>
      </c>
      <c r="F146" s="559"/>
      <c r="G146" s="559"/>
      <c r="H146" s="559"/>
      <c r="I146" s="559"/>
      <c r="J146" s="659"/>
      <c r="K146" s="660"/>
      <c r="L146" s="237"/>
      <c r="M146" s="237"/>
      <c r="N146" s="237"/>
      <c r="O146" s="237"/>
      <c r="P146" s="237"/>
      <c r="Q146" s="237"/>
      <c r="R146" s="237"/>
      <c r="S146" s="237"/>
      <c r="T146" s="237"/>
      <c r="U146" s="237"/>
      <c r="V146" s="237"/>
      <c r="W146" s="237"/>
      <c r="X146" s="237"/>
      <c r="Y146" s="237"/>
      <c r="Z146" s="237"/>
      <c r="AA146" s="417"/>
      <c r="AB146" s="233"/>
      <c r="AC146" s="392"/>
      <c r="AD146" s="391"/>
      <c r="AE146" s="535"/>
      <c r="AF146" s="535"/>
      <c r="AG146" s="535"/>
      <c r="AH146" s="535"/>
      <c r="AI146" s="535"/>
      <c r="AJ146" s="535"/>
      <c r="AK146" s="535"/>
      <c r="AL146" s="535"/>
      <c r="AM146" s="535"/>
      <c r="AN146" s="535"/>
      <c r="AO146" s="535"/>
      <c r="AP146" s="535"/>
      <c r="AQ146" s="535">
        <f t="shared" si="10"/>
        <v>0</v>
      </c>
      <c r="AR146" s="535">
        <f t="shared" si="11"/>
        <v>0</v>
      </c>
      <c r="AS146" s="544"/>
      <c r="AT146" s="277">
        <f t="shared" si="13"/>
        <v>0</v>
      </c>
    </row>
    <row r="147" spans="1:240" s="25" customFormat="1" x14ac:dyDescent="0.25">
      <c r="A147" s="490">
        <v>143</v>
      </c>
      <c r="B147" s="63" t="s">
        <v>256</v>
      </c>
      <c r="C147" s="490">
        <v>1173</v>
      </c>
      <c r="D147" s="63" t="s">
        <v>257</v>
      </c>
      <c r="E147" s="490">
        <v>1</v>
      </c>
      <c r="F147" s="559"/>
      <c r="G147" s="559"/>
      <c r="H147" s="559"/>
      <c r="I147" s="559"/>
      <c r="J147" s="659"/>
      <c r="K147" s="660"/>
      <c r="L147" s="237"/>
      <c r="M147" s="237"/>
      <c r="N147" s="237"/>
      <c r="O147" s="237"/>
      <c r="P147" s="237"/>
      <c r="Q147" s="237"/>
      <c r="R147" s="237"/>
      <c r="S147" s="237"/>
      <c r="T147" s="237"/>
      <c r="U147" s="237"/>
      <c r="V147" s="237"/>
      <c r="W147" s="237"/>
      <c r="X147" s="237"/>
      <c r="Y147" s="237"/>
      <c r="Z147" s="237"/>
      <c r="AA147" s="417"/>
      <c r="AB147" s="233"/>
      <c r="AC147" s="277"/>
      <c r="AD147" s="391"/>
      <c r="AE147" s="535"/>
      <c r="AF147" s="535"/>
      <c r="AG147" s="535"/>
      <c r="AH147" s="535"/>
      <c r="AI147" s="535"/>
      <c r="AJ147" s="535"/>
      <c r="AK147" s="535"/>
      <c r="AL147" s="535"/>
      <c r="AM147" s="535"/>
      <c r="AN147" s="535"/>
      <c r="AO147" s="535"/>
      <c r="AP147" s="535"/>
      <c r="AQ147" s="535">
        <f t="shared" si="10"/>
        <v>0</v>
      </c>
      <c r="AR147" s="535">
        <f t="shared" si="11"/>
        <v>0</v>
      </c>
      <c r="AS147" s="544"/>
      <c r="AT147" s="277">
        <f t="shared" si="13"/>
        <v>0</v>
      </c>
    </row>
    <row r="148" spans="1:240" s="7" customFormat="1" x14ac:dyDescent="0.25">
      <c r="A148" s="4"/>
      <c r="B148" s="3"/>
      <c r="C148" s="5"/>
      <c r="D148" s="3"/>
      <c r="E148" s="5"/>
      <c r="F148" s="51"/>
      <c r="G148" s="51"/>
      <c r="H148" s="51"/>
      <c r="I148" s="51"/>
      <c r="J148" s="6">
        <f>SUM(J3:J147)</f>
        <v>0</v>
      </c>
      <c r="K148" s="6">
        <f>SUM(K3:K147)</f>
        <v>0</v>
      </c>
      <c r="AA148" s="4"/>
      <c r="AD148" s="390">
        <f t="shared" ref="AD148:AR148" si="14">SUM(AD3:AD147)</f>
        <v>18058590707</v>
      </c>
      <c r="AE148" s="390">
        <f t="shared" si="14"/>
        <v>0</v>
      </c>
      <c r="AF148" s="390">
        <f t="shared" si="14"/>
        <v>42277256</v>
      </c>
      <c r="AG148" s="390">
        <f t="shared" si="14"/>
        <v>371305872</v>
      </c>
      <c r="AH148" s="390">
        <f t="shared" si="14"/>
        <v>42645628</v>
      </c>
      <c r="AI148" s="390">
        <f t="shared" si="14"/>
        <v>131967256</v>
      </c>
      <c r="AJ148" s="390">
        <f t="shared" si="14"/>
        <v>125244485</v>
      </c>
      <c r="AK148" s="390">
        <f t="shared" si="14"/>
        <v>186053702</v>
      </c>
      <c r="AL148" s="390">
        <f t="shared" si="14"/>
        <v>199817489</v>
      </c>
      <c r="AM148" s="390">
        <f t="shared" si="14"/>
        <v>230796094</v>
      </c>
      <c r="AN148" s="390">
        <f t="shared" si="14"/>
        <v>246076923</v>
      </c>
      <c r="AO148" s="390">
        <f t="shared" si="14"/>
        <v>268592793</v>
      </c>
      <c r="AP148" s="390">
        <f t="shared" si="14"/>
        <v>865081822</v>
      </c>
      <c r="AQ148" s="390">
        <f t="shared" si="14"/>
        <v>2709859320</v>
      </c>
      <c r="AR148" s="390">
        <f t="shared" si="14"/>
        <v>15348731387</v>
      </c>
      <c r="AS148" s="529"/>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row>
    <row r="149" spans="1:240" s="7" customFormat="1" x14ac:dyDescent="0.25">
      <c r="A149" s="4"/>
      <c r="B149" s="3"/>
      <c r="C149" s="5"/>
      <c r="D149" s="3"/>
      <c r="E149" s="5"/>
      <c r="F149" s="51"/>
      <c r="G149" s="51"/>
      <c r="H149" s="51"/>
      <c r="I149" s="51"/>
      <c r="J149" s="6"/>
      <c r="K149" s="6"/>
      <c r="AA149" s="4"/>
      <c r="AC149" s="7" t="s">
        <v>1531</v>
      </c>
      <c r="AD149" s="390">
        <v>18058590707</v>
      </c>
      <c r="AE149" s="390">
        <v>0</v>
      </c>
      <c r="AF149" s="390">
        <v>42277256</v>
      </c>
      <c r="AG149" s="390">
        <v>371305872</v>
      </c>
      <c r="AH149" s="390">
        <v>42645628</v>
      </c>
      <c r="AI149" s="390">
        <v>131967256</v>
      </c>
      <c r="AJ149" s="390">
        <v>125244485</v>
      </c>
      <c r="AK149" s="390">
        <v>186053702</v>
      </c>
      <c r="AL149" s="390">
        <v>199817489</v>
      </c>
      <c r="AM149" s="390">
        <v>230796094</v>
      </c>
      <c r="AN149" s="390">
        <v>246076923</v>
      </c>
      <c r="AO149" s="390">
        <v>268592793</v>
      </c>
      <c r="AP149" s="390">
        <v>865081822</v>
      </c>
      <c r="AQ149" s="390">
        <v>2709859320</v>
      </c>
      <c r="AR149" s="390">
        <f>+AD149-AQ149</f>
        <v>15348731387</v>
      </c>
      <c r="AS149" s="529"/>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row>
    <row r="150" spans="1:240" s="7" customFormat="1" x14ac:dyDescent="0.25">
      <c r="A150" s="4"/>
      <c r="B150" s="3"/>
      <c r="C150" s="5"/>
      <c r="D150" s="3"/>
      <c r="E150" s="5"/>
      <c r="F150" s="51"/>
      <c r="G150" s="51"/>
      <c r="H150" s="51"/>
      <c r="I150" s="51"/>
      <c r="J150" s="6"/>
      <c r="K150" s="6"/>
      <c r="AA150" s="5"/>
      <c r="AC150" s="421"/>
      <c r="AD150" s="549"/>
      <c r="AM150" s="340"/>
      <c r="AN150" s="340"/>
      <c r="AP150" s="340">
        <f>AP148-AP149</f>
        <v>0</v>
      </c>
      <c r="AQ150" s="340"/>
      <c r="AS150" s="529"/>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row>
    <row r="151" spans="1:240" s="7" customFormat="1" x14ac:dyDescent="0.25">
      <c r="A151" s="4"/>
      <c r="B151" s="3"/>
      <c r="C151" s="5"/>
      <c r="D151" s="3"/>
      <c r="E151" s="5"/>
      <c r="F151" s="51"/>
      <c r="G151" s="51"/>
      <c r="H151" s="51"/>
      <c r="I151" s="51"/>
      <c r="J151" s="6"/>
      <c r="K151" s="6"/>
      <c r="AA151" s="5"/>
      <c r="AC151" s="421"/>
      <c r="AD151" s="549"/>
      <c r="AP151" s="409"/>
      <c r="AQ151" s="409"/>
      <c r="AS151" s="529"/>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row>
    <row r="152" spans="1:240" x14ac:dyDescent="0.25">
      <c r="AA152" s="5"/>
      <c r="AD152" s="340"/>
      <c r="AI152" s="340"/>
      <c r="AJ152" s="340"/>
      <c r="AL152" s="340"/>
    </row>
    <row r="153" spans="1:240" s="7" customFormat="1" x14ac:dyDescent="0.25">
      <c r="A153" s="4"/>
      <c r="B153" s="3"/>
      <c r="C153" s="5"/>
      <c r="D153" s="530"/>
      <c r="E153" s="531"/>
      <c r="F153" s="532"/>
      <c r="G153" s="532"/>
      <c r="H153" s="532"/>
      <c r="I153" s="51"/>
      <c r="J153" s="6"/>
      <c r="K153" s="6"/>
      <c r="AA153" s="5"/>
      <c r="AC153" s="421"/>
      <c r="AD153" s="340"/>
      <c r="AG153" s="340"/>
      <c r="AI153" s="340"/>
      <c r="AN153" s="397"/>
      <c r="AO153" s="340"/>
      <c r="AP153" s="409"/>
      <c r="AQ153" s="409"/>
      <c r="AS153" s="529"/>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row>
    <row r="154" spans="1:240" s="7" customFormat="1" x14ac:dyDescent="0.25">
      <c r="A154" s="4"/>
      <c r="B154" s="3"/>
      <c r="C154" s="5"/>
      <c r="D154" s="530"/>
      <c r="E154" s="531"/>
      <c r="F154" s="532"/>
      <c r="G154" s="532"/>
      <c r="H154" s="532"/>
      <c r="I154" s="51"/>
      <c r="J154" s="6"/>
      <c r="K154" s="6"/>
      <c r="AA154" s="5"/>
      <c r="AC154" s="421"/>
      <c r="AD154" s="340"/>
      <c r="AO154" s="340"/>
      <c r="AS154" s="529"/>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row>
    <row r="155" spans="1:240" s="53" customFormat="1" x14ac:dyDescent="0.25">
      <c r="A155" s="4"/>
      <c r="B155" s="3"/>
      <c r="C155" s="5"/>
      <c r="D155" s="530"/>
      <c r="E155" s="531"/>
      <c r="F155" s="532"/>
      <c r="G155" s="532"/>
      <c r="H155" s="532"/>
      <c r="I155" s="51"/>
      <c r="J155" s="6"/>
      <c r="K155" s="6"/>
      <c r="L155" s="7"/>
      <c r="M155" s="7"/>
      <c r="N155" s="7"/>
      <c r="O155" s="7"/>
      <c r="P155" s="7"/>
      <c r="Q155" s="7"/>
      <c r="R155" s="7"/>
      <c r="S155" s="7"/>
      <c r="T155" s="7"/>
      <c r="U155" s="7"/>
      <c r="V155" s="7"/>
      <c r="W155" s="7"/>
      <c r="X155" s="7"/>
      <c r="Y155" s="7"/>
      <c r="Z155" s="7"/>
      <c r="AA155" s="5"/>
      <c r="AB155" s="7"/>
      <c r="AC155" s="421"/>
      <c r="AD155" s="340"/>
      <c r="AE155" s="7"/>
      <c r="AF155" s="7"/>
      <c r="AG155" s="7"/>
      <c r="AH155" s="7"/>
      <c r="AI155" s="340"/>
      <c r="AJ155" s="7"/>
      <c r="AK155" s="7"/>
      <c r="AL155" s="7"/>
      <c r="AM155" s="7"/>
      <c r="AN155" s="7"/>
      <c r="AO155" s="340"/>
      <c r="AP155" s="450"/>
      <c r="AQ155" s="7"/>
      <c r="AR155" s="7"/>
      <c r="AS155" s="529"/>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row>
    <row r="156" spans="1:240" s="53" customFormat="1" x14ac:dyDescent="0.25">
      <c r="A156" s="4"/>
      <c r="B156" s="3"/>
      <c r="C156" s="531"/>
      <c r="D156" s="530"/>
      <c r="E156" s="531"/>
      <c r="F156" s="532"/>
      <c r="G156" s="532"/>
      <c r="H156" s="532"/>
      <c r="I156" s="51"/>
      <c r="J156" s="6"/>
      <c r="K156" s="6"/>
      <c r="L156" s="7"/>
      <c r="M156" s="7"/>
      <c r="N156" s="7"/>
      <c r="O156" s="7"/>
      <c r="P156" s="7"/>
      <c r="Q156" s="7"/>
      <c r="R156" s="7"/>
      <c r="S156" s="7"/>
      <c r="T156" s="7"/>
      <c r="U156" s="7"/>
      <c r="V156" s="7"/>
      <c r="W156" s="7"/>
      <c r="X156" s="7"/>
      <c r="Y156" s="7"/>
      <c r="Z156" s="7"/>
      <c r="AA156" s="5"/>
      <c r="AB156" s="7"/>
      <c r="AC156" s="421"/>
      <c r="AD156" s="340"/>
      <c r="AE156" s="661"/>
      <c r="AF156" s="661"/>
      <c r="AG156" s="7"/>
      <c r="AH156" s="7"/>
      <c r="AI156" s="7"/>
      <c r="AJ156" s="7"/>
      <c r="AK156" s="340"/>
      <c r="AL156" s="7"/>
      <c r="AM156" s="7"/>
      <c r="AN156" s="7"/>
      <c r="AO156" s="7"/>
      <c r="AP156" s="7"/>
      <c r="AQ156" s="450"/>
      <c r="AR156" s="7"/>
      <c r="AS156" s="529"/>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row>
    <row r="157" spans="1:240" s="53" customFormat="1" x14ac:dyDescent="0.25">
      <c r="A157" s="4"/>
      <c r="B157" s="3"/>
      <c r="C157" s="531"/>
      <c r="D157" s="530"/>
      <c r="E157" s="531"/>
      <c r="F157" s="532"/>
      <c r="G157" s="532"/>
      <c r="H157" s="532"/>
      <c r="I157" s="51"/>
      <c r="J157" s="6"/>
      <c r="K157" s="6"/>
      <c r="L157" s="7"/>
      <c r="M157" s="7"/>
      <c r="N157" s="7"/>
      <c r="O157" s="7"/>
      <c r="P157" s="7"/>
      <c r="Q157" s="7"/>
      <c r="R157" s="7"/>
      <c r="S157" s="7"/>
      <c r="T157" s="7"/>
      <c r="U157" s="7"/>
      <c r="V157" s="7"/>
      <c r="W157" s="7"/>
      <c r="X157" s="7"/>
      <c r="Y157" s="7"/>
      <c r="Z157" s="7"/>
      <c r="AA157" s="5"/>
      <c r="AB157" s="7"/>
      <c r="AC157" s="421"/>
      <c r="AD157" s="449"/>
      <c r="AE157" s="7"/>
      <c r="AF157" s="7"/>
      <c r="AG157" s="7"/>
      <c r="AH157" s="7"/>
      <c r="AI157" s="7"/>
      <c r="AJ157" s="340"/>
      <c r="AK157" s="7"/>
      <c r="AL157" s="7"/>
      <c r="AM157" s="340"/>
      <c r="AN157" s="7"/>
      <c r="AO157" s="340"/>
      <c r="AP157" s="7"/>
      <c r="AQ157" s="7"/>
      <c r="AR157" s="7"/>
      <c r="AS157" s="529"/>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row>
    <row r="158" spans="1:240" s="53" customFormat="1" x14ac:dyDescent="0.25">
      <c r="A158" s="4"/>
      <c r="B158" s="3"/>
      <c r="C158" s="531"/>
      <c r="D158" s="530"/>
      <c r="E158" s="531"/>
      <c r="F158" s="532"/>
      <c r="G158" s="532"/>
      <c r="H158" s="532"/>
      <c r="I158" s="51"/>
      <c r="J158" s="6"/>
      <c r="K158" s="6"/>
      <c r="L158" s="7"/>
      <c r="M158" s="7"/>
      <c r="N158" s="7"/>
      <c r="O158" s="7"/>
      <c r="P158" s="7"/>
      <c r="Q158" s="7"/>
      <c r="R158" s="7"/>
      <c r="S158" s="7"/>
      <c r="T158" s="7"/>
      <c r="U158" s="7"/>
      <c r="V158" s="7"/>
      <c r="W158" s="7"/>
      <c r="X158" s="7"/>
      <c r="Y158" s="7"/>
      <c r="Z158" s="7"/>
      <c r="AA158" s="424"/>
      <c r="AB158" s="7"/>
      <c r="AC158" s="421"/>
      <c r="AD158" s="7"/>
      <c r="AE158" s="7"/>
      <c r="AF158" s="7"/>
      <c r="AG158" s="7"/>
      <c r="AH158" s="7"/>
      <c r="AI158" s="7"/>
      <c r="AJ158" s="340"/>
      <c r="AK158" s="7"/>
      <c r="AL158" s="7"/>
      <c r="AM158" s="7"/>
      <c r="AN158" s="7"/>
      <c r="AO158" s="397"/>
      <c r="AP158" s="450"/>
      <c r="AQ158" s="7"/>
      <c r="AR158" s="7"/>
      <c r="AS158" s="529"/>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c r="HU158" s="8"/>
      <c r="HV158" s="8"/>
      <c r="HW158" s="8"/>
      <c r="HX158" s="8"/>
      <c r="HY158" s="8"/>
      <c r="HZ158" s="8"/>
      <c r="IA158" s="8"/>
      <c r="IB158" s="8"/>
      <c r="IC158" s="8"/>
      <c r="ID158" s="8"/>
      <c r="IE158" s="8"/>
      <c r="IF158" s="8"/>
    </row>
    <row r="159" spans="1:240" s="53" customFormat="1" x14ac:dyDescent="0.25">
      <c r="A159" s="4"/>
      <c r="B159" s="3"/>
      <c r="C159" s="531"/>
      <c r="D159" s="3"/>
      <c r="E159" s="531"/>
      <c r="F159" s="532"/>
      <c r="G159" s="532"/>
      <c r="H159" s="532"/>
      <c r="I159" s="51"/>
      <c r="J159" s="6"/>
      <c r="K159" s="6"/>
      <c r="L159" s="7"/>
      <c r="M159" s="7"/>
      <c r="N159" s="7"/>
      <c r="O159" s="7"/>
      <c r="P159" s="7"/>
      <c r="Q159" s="7"/>
      <c r="R159" s="7"/>
      <c r="S159" s="7"/>
      <c r="T159" s="7"/>
      <c r="U159" s="7"/>
      <c r="V159" s="7"/>
      <c r="W159" s="7"/>
      <c r="X159" s="7"/>
      <c r="Y159" s="7"/>
      <c r="Z159" s="7"/>
      <c r="AA159" s="5"/>
      <c r="AB159" s="7"/>
      <c r="AC159" s="421"/>
      <c r="AD159" s="409"/>
      <c r="AE159" s="7"/>
      <c r="AF159" s="450"/>
      <c r="AG159" s="7"/>
      <c r="AH159" s="7"/>
      <c r="AI159" s="7"/>
      <c r="AJ159" s="7"/>
      <c r="AK159" s="7"/>
      <c r="AL159" s="7"/>
      <c r="AM159" s="7"/>
      <c r="AN159" s="7"/>
      <c r="AO159" s="7"/>
      <c r="AP159" s="450"/>
      <c r="AQ159" s="7"/>
      <c r="AR159" s="7"/>
      <c r="AS159" s="529"/>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c r="HU159" s="8"/>
      <c r="HV159" s="8"/>
      <c r="HW159" s="8"/>
      <c r="HX159" s="8"/>
      <c r="HY159" s="8"/>
      <c r="HZ159" s="8"/>
      <c r="IA159" s="8"/>
      <c r="IB159" s="8"/>
      <c r="IC159" s="8"/>
      <c r="ID159" s="8"/>
      <c r="IE159" s="8"/>
      <c r="IF159" s="8"/>
    </row>
    <row r="160" spans="1:240" s="53" customFormat="1" x14ac:dyDescent="0.25">
      <c r="A160" s="4"/>
      <c r="B160" s="3"/>
      <c r="C160" s="531"/>
      <c r="D160" s="3"/>
      <c r="E160" s="531"/>
      <c r="F160" s="532"/>
      <c r="G160" s="532"/>
      <c r="H160" s="532"/>
      <c r="I160" s="51"/>
      <c r="J160" s="6"/>
      <c r="K160" s="6"/>
      <c r="L160" s="7"/>
      <c r="M160" s="7"/>
      <c r="N160" s="7"/>
      <c r="O160" s="7"/>
      <c r="P160" s="7"/>
      <c r="Q160" s="7"/>
      <c r="R160" s="7"/>
      <c r="S160" s="7"/>
      <c r="T160" s="7"/>
      <c r="U160" s="7"/>
      <c r="V160" s="7"/>
      <c r="W160" s="7"/>
      <c r="X160" s="7"/>
      <c r="Y160" s="7"/>
      <c r="Z160" s="7"/>
      <c r="AA160" s="421"/>
      <c r="AB160" s="340"/>
      <c r="AC160" s="425"/>
      <c r="AD160" s="7"/>
      <c r="AE160" s="7"/>
      <c r="AF160" s="7"/>
      <c r="AG160" s="7"/>
      <c r="AH160" s="7"/>
      <c r="AI160" s="7"/>
      <c r="AJ160" s="7"/>
      <c r="AK160" s="7"/>
      <c r="AL160" s="7"/>
      <c r="AM160" s="7"/>
      <c r="AN160" s="7"/>
      <c r="AO160" s="340"/>
      <c r="AP160" s="533"/>
      <c r="AQ160" s="7"/>
      <c r="AR160" s="7"/>
      <c r="AS160" s="529"/>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c r="HU160" s="8"/>
      <c r="HV160" s="8"/>
      <c r="HW160" s="8"/>
      <c r="HX160" s="8"/>
      <c r="HY160" s="8"/>
      <c r="HZ160" s="8"/>
      <c r="IA160" s="8"/>
      <c r="IB160" s="8"/>
      <c r="IC160" s="8"/>
      <c r="ID160" s="8"/>
      <c r="IE160" s="8"/>
      <c r="IF160" s="8"/>
    </row>
    <row r="161" spans="1:240" s="53" customFormat="1" x14ac:dyDescent="0.25">
      <c r="A161" s="4"/>
      <c r="B161" s="3"/>
      <c r="C161" s="530"/>
      <c r="D161" s="530"/>
      <c r="E161" s="531"/>
      <c r="F161" s="532"/>
      <c r="G161" s="532"/>
      <c r="H161" s="532"/>
      <c r="I161" s="51"/>
      <c r="J161" s="6"/>
      <c r="K161" s="6"/>
      <c r="L161" s="7"/>
      <c r="M161" s="7"/>
      <c r="N161" s="7"/>
      <c r="O161" s="7"/>
      <c r="P161" s="7"/>
      <c r="Q161" s="7"/>
      <c r="R161" s="7"/>
      <c r="S161" s="7"/>
      <c r="T161" s="7"/>
      <c r="U161" s="7"/>
      <c r="V161" s="7"/>
      <c r="W161" s="7"/>
      <c r="X161" s="7"/>
      <c r="Y161" s="7"/>
      <c r="Z161" s="7"/>
      <c r="AA161" s="421"/>
      <c r="AB161" s="7"/>
      <c r="AC161" s="421"/>
      <c r="AD161" s="7"/>
      <c r="AE161" s="340"/>
      <c r="AF161" s="7"/>
      <c r="AG161" s="7"/>
      <c r="AH161" s="7"/>
      <c r="AI161" s="7"/>
      <c r="AJ161" s="7"/>
      <c r="AK161" s="7"/>
      <c r="AL161" s="7"/>
      <c r="AM161" s="7"/>
      <c r="AN161" s="7"/>
      <c r="AO161" s="7"/>
      <c r="AP161" s="450"/>
      <c r="AQ161" s="7"/>
      <c r="AR161" s="7"/>
      <c r="AS161" s="529"/>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c r="HU161" s="8"/>
      <c r="HV161" s="8"/>
      <c r="HW161" s="8"/>
      <c r="HX161" s="8"/>
      <c r="HY161" s="8"/>
      <c r="HZ161" s="8"/>
      <c r="IA161" s="8"/>
      <c r="IB161" s="8"/>
      <c r="IC161" s="8"/>
      <c r="ID161" s="8"/>
      <c r="IE161" s="8"/>
      <c r="IF161" s="8"/>
    </row>
    <row r="162" spans="1:240" s="53" customFormat="1" x14ac:dyDescent="0.25">
      <c r="A162" s="4"/>
      <c r="B162" s="3"/>
      <c r="C162" s="530"/>
      <c r="D162" s="48"/>
      <c r="E162" s="531"/>
      <c r="F162" s="532"/>
      <c r="G162" s="532"/>
      <c r="H162" s="532"/>
      <c r="I162" s="51"/>
      <c r="J162" s="6"/>
      <c r="K162" s="6"/>
      <c r="L162" s="7"/>
      <c r="M162" s="7"/>
      <c r="N162" s="7"/>
      <c r="O162" s="7"/>
      <c r="P162" s="7"/>
      <c r="Q162" s="7"/>
      <c r="R162" s="7"/>
      <c r="S162" s="7"/>
      <c r="T162" s="7"/>
      <c r="U162" s="7"/>
      <c r="V162" s="7"/>
      <c r="W162" s="7"/>
      <c r="X162" s="7"/>
      <c r="Y162" s="7"/>
      <c r="Z162" s="7"/>
      <c r="AA162" s="421"/>
      <c r="AB162" s="7"/>
      <c r="AC162" s="425"/>
      <c r="AD162" s="449"/>
      <c r="AE162" s="7"/>
      <c r="AF162" s="449"/>
      <c r="AG162" s="7"/>
      <c r="AH162" s="7"/>
      <c r="AI162" s="7"/>
      <c r="AJ162" s="7"/>
      <c r="AK162" s="7"/>
      <c r="AL162" s="7"/>
      <c r="AM162" s="340"/>
      <c r="AN162" s="7"/>
      <c r="AO162" s="7"/>
      <c r="AP162" s="450"/>
      <c r="AQ162" s="7"/>
      <c r="AR162" s="7"/>
      <c r="AS162" s="529"/>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c r="HU162" s="8"/>
      <c r="HV162" s="8"/>
      <c r="HW162" s="8"/>
      <c r="HX162" s="8"/>
      <c r="HY162" s="8"/>
      <c r="HZ162" s="8"/>
      <c r="IA162" s="8"/>
      <c r="IB162" s="8"/>
      <c r="IC162" s="8"/>
      <c r="ID162" s="8"/>
      <c r="IE162" s="8"/>
      <c r="IF162" s="8"/>
    </row>
    <row r="163" spans="1:240" s="53" customFormat="1" x14ac:dyDescent="0.25">
      <c r="A163" s="4"/>
      <c r="B163" s="3"/>
      <c r="C163" s="530"/>
      <c r="D163" s="530"/>
      <c r="E163" s="531"/>
      <c r="F163" s="532"/>
      <c r="G163" s="532"/>
      <c r="H163" s="532"/>
      <c r="I163" s="51"/>
      <c r="J163" s="6"/>
      <c r="K163" s="6"/>
      <c r="L163" s="7"/>
      <c r="M163" s="7"/>
      <c r="N163" s="7"/>
      <c r="O163" s="7"/>
      <c r="P163" s="7"/>
      <c r="Q163" s="7"/>
      <c r="R163" s="7"/>
      <c r="S163" s="7"/>
      <c r="T163" s="7"/>
      <c r="U163" s="7"/>
      <c r="V163" s="7"/>
      <c r="W163" s="7"/>
      <c r="X163" s="7"/>
      <c r="Y163" s="7"/>
      <c r="Z163" s="7"/>
      <c r="AA163" s="421"/>
      <c r="AB163" s="7"/>
      <c r="AC163" s="421"/>
      <c r="AD163" s="340"/>
      <c r="AE163" s="7"/>
      <c r="AF163" s="7"/>
      <c r="AG163" s="7"/>
      <c r="AH163" s="7"/>
      <c r="AI163" s="7"/>
      <c r="AJ163" s="7"/>
      <c r="AK163" s="7"/>
      <c r="AL163" s="7"/>
      <c r="AM163" s="7"/>
      <c r="AN163" s="7"/>
      <c r="AO163" s="7"/>
      <c r="AP163" s="450"/>
      <c r="AQ163" s="7"/>
      <c r="AR163" s="7"/>
      <c r="AS163" s="529"/>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c r="IB163" s="8"/>
      <c r="IC163" s="8"/>
      <c r="ID163" s="8"/>
      <c r="IE163" s="8"/>
      <c r="IF163" s="8"/>
    </row>
    <row r="164" spans="1:240" s="53" customFormat="1" x14ac:dyDescent="0.25">
      <c r="A164" s="4"/>
      <c r="B164" s="3"/>
      <c r="C164" s="531"/>
      <c r="D164" s="530"/>
      <c r="E164" s="531"/>
      <c r="F164" s="532"/>
      <c r="G164" s="532"/>
      <c r="H164" s="532"/>
      <c r="I164" s="51"/>
      <c r="J164" s="6"/>
      <c r="K164" s="6"/>
      <c r="L164" s="7"/>
      <c r="M164" s="7"/>
      <c r="N164" s="7"/>
      <c r="O164" s="7"/>
      <c r="P164" s="7"/>
      <c r="Q164" s="7"/>
      <c r="R164" s="7"/>
      <c r="S164" s="7"/>
      <c r="T164" s="7"/>
      <c r="U164" s="7"/>
      <c r="V164" s="7"/>
      <c r="W164" s="7"/>
      <c r="X164" s="7"/>
      <c r="Y164" s="7"/>
      <c r="Z164" s="7"/>
      <c r="AA164" s="421"/>
      <c r="AB164" s="7"/>
      <c r="AC164" s="421"/>
      <c r="AD164" s="7"/>
      <c r="AE164" s="7"/>
      <c r="AF164" s="7"/>
      <c r="AG164" s="7"/>
      <c r="AH164" s="7"/>
      <c r="AI164" s="7"/>
      <c r="AJ164" s="7"/>
      <c r="AK164" s="7"/>
      <c r="AL164" s="7"/>
      <c r="AM164" s="7"/>
      <c r="AN164" s="7"/>
      <c r="AO164" s="7"/>
      <c r="AP164" s="7"/>
      <c r="AQ164" s="7"/>
      <c r="AR164" s="7"/>
      <c r="AS164" s="529"/>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c r="IB164" s="8"/>
      <c r="IC164" s="8"/>
      <c r="ID164" s="8"/>
      <c r="IE164" s="8"/>
      <c r="IF164" s="8"/>
    </row>
    <row r="165" spans="1:240" s="53" customFormat="1" x14ac:dyDescent="0.25">
      <c r="A165" s="4"/>
      <c r="B165" s="3"/>
      <c r="C165" s="531"/>
      <c r="D165" s="530"/>
      <c r="E165" s="531"/>
      <c r="F165" s="532"/>
      <c r="G165" s="532"/>
      <c r="H165" s="532"/>
      <c r="I165" s="51"/>
      <c r="J165" s="6"/>
      <c r="K165" s="6"/>
      <c r="L165" s="7"/>
      <c r="M165" s="7"/>
      <c r="N165" s="7"/>
      <c r="O165" s="7"/>
      <c r="P165" s="7"/>
      <c r="Q165" s="7"/>
      <c r="R165" s="7"/>
      <c r="S165" s="7"/>
      <c r="T165" s="7"/>
      <c r="U165" s="7"/>
      <c r="V165" s="7"/>
      <c r="W165" s="7"/>
      <c r="X165" s="7"/>
      <c r="Y165" s="7"/>
      <c r="Z165" s="7"/>
      <c r="AA165" s="421"/>
      <c r="AB165" s="7"/>
      <c r="AC165" s="421"/>
      <c r="AD165" s="7"/>
      <c r="AE165" s="7"/>
      <c r="AF165" s="7"/>
      <c r="AG165" s="7"/>
      <c r="AH165" s="7"/>
      <c r="AI165" s="7"/>
      <c r="AJ165" s="7"/>
      <c r="AK165" s="7"/>
      <c r="AL165" s="7"/>
      <c r="AM165" s="7"/>
      <c r="AN165" s="7"/>
      <c r="AO165" s="7"/>
      <c r="AP165" s="7"/>
      <c r="AQ165" s="7"/>
      <c r="AR165" s="7"/>
      <c r="AS165" s="529"/>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row>
    <row r="166" spans="1:240" s="53" customFormat="1" x14ac:dyDescent="0.25">
      <c r="A166" s="4"/>
      <c r="B166" s="3"/>
      <c r="C166" s="531"/>
      <c r="D166" s="530"/>
      <c r="E166" s="531"/>
      <c r="F166" s="532"/>
      <c r="G166" s="532"/>
      <c r="H166" s="532"/>
      <c r="I166" s="51"/>
      <c r="J166" s="6"/>
      <c r="K166" s="6"/>
      <c r="L166" s="7"/>
      <c r="M166" s="7"/>
      <c r="N166" s="7"/>
      <c r="O166" s="7"/>
      <c r="P166" s="7"/>
      <c r="Q166" s="7"/>
      <c r="R166" s="7"/>
      <c r="S166" s="7"/>
      <c r="T166" s="7"/>
      <c r="U166" s="7"/>
      <c r="V166" s="7"/>
      <c r="W166" s="7"/>
      <c r="X166" s="7"/>
      <c r="Y166" s="7"/>
      <c r="Z166" s="7"/>
      <c r="AA166" s="421"/>
      <c r="AB166" s="7"/>
      <c r="AC166" s="421"/>
      <c r="AD166" s="7"/>
      <c r="AE166" s="7"/>
      <c r="AF166" s="7"/>
      <c r="AG166" s="7"/>
      <c r="AH166" s="7"/>
      <c r="AI166" s="7"/>
      <c r="AJ166" s="7"/>
      <c r="AK166" s="7"/>
      <c r="AL166" s="7"/>
      <c r="AM166" s="7"/>
      <c r="AN166" s="7"/>
      <c r="AO166" s="7"/>
      <c r="AP166" s="7"/>
      <c r="AQ166" s="7"/>
      <c r="AR166" s="7"/>
      <c r="AS166" s="529"/>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c r="HX166" s="8"/>
      <c r="HY166" s="8"/>
      <c r="HZ166" s="8"/>
      <c r="IA166" s="8"/>
      <c r="IB166" s="8"/>
      <c r="IC166" s="8"/>
      <c r="ID166" s="8"/>
      <c r="IE166" s="8"/>
      <c r="IF166" s="8"/>
    </row>
    <row r="167" spans="1:240" s="53" customFormat="1" x14ac:dyDescent="0.25">
      <c r="A167" s="4"/>
      <c r="B167" s="3"/>
      <c r="C167" s="531"/>
      <c r="D167" s="530"/>
      <c r="E167" s="531"/>
      <c r="F167" s="532"/>
      <c r="G167" s="532"/>
      <c r="H167" s="532"/>
      <c r="I167" s="51"/>
      <c r="J167" s="6"/>
      <c r="K167" s="6"/>
      <c r="L167" s="7"/>
      <c r="M167" s="7"/>
      <c r="N167" s="7"/>
      <c r="O167" s="7"/>
      <c r="P167" s="7"/>
      <c r="Q167" s="7"/>
      <c r="R167" s="7"/>
      <c r="S167" s="7"/>
      <c r="T167" s="7"/>
      <c r="U167" s="7"/>
      <c r="V167" s="7"/>
      <c r="W167" s="7"/>
      <c r="X167" s="7"/>
      <c r="Y167" s="7"/>
      <c r="Z167" s="7"/>
      <c r="AA167" s="421"/>
      <c r="AB167" s="7"/>
      <c r="AC167" s="421"/>
      <c r="AD167" s="7"/>
      <c r="AE167" s="7"/>
      <c r="AF167" s="7"/>
      <c r="AG167" s="7"/>
      <c r="AH167" s="7"/>
      <c r="AI167" s="7"/>
      <c r="AJ167" s="7"/>
      <c r="AK167" s="7"/>
      <c r="AL167" s="7"/>
      <c r="AM167" s="7"/>
      <c r="AN167" s="7"/>
      <c r="AO167" s="7"/>
      <c r="AP167" s="7"/>
      <c r="AQ167" s="7"/>
      <c r="AR167" s="7"/>
      <c r="AS167" s="529"/>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c r="HX167" s="8"/>
      <c r="HY167" s="8"/>
      <c r="HZ167" s="8"/>
      <c r="IA167" s="8"/>
      <c r="IB167" s="8"/>
      <c r="IC167" s="8"/>
      <c r="ID167" s="8"/>
      <c r="IE167" s="8"/>
      <c r="IF167" s="8"/>
    </row>
    <row r="168" spans="1:240" s="53" customFormat="1" x14ac:dyDescent="0.25">
      <c r="A168" s="4"/>
      <c r="B168" s="3"/>
      <c r="C168" s="531"/>
      <c r="D168" s="530"/>
      <c r="E168" s="531"/>
      <c r="F168" s="532"/>
      <c r="G168" s="532"/>
      <c r="H168" s="532"/>
      <c r="I168" s="51"/>
      <c r="J168" s="6"/>
      <c r="K168" s="6"/>
      <c r="L168" s="7"/>
      <c r="M168" s="7"/>
      <c r="N168" s="7"/>
      <c r="O168" s="7"/>
      <c r="P168" s="7"/>
      <c r="Q168" s="7"/>
      <c r="R168" s="7"/>
      <c r="S168" s="7"/>
      <c r="T168" s="7"/>
      <c r="U168" s="7"/>
      <c r="V168" s="7"/>
      <c r="W168" s="7"/>
      <c r="X168" s="7"/>
      <c r="Y168" s="7"/>
      <c r="Z168" s="7"/>
      <c r="AA168" s="421"/>
      <c r="AB168" s="7"/>
      <c r="AC168" s="421"/>
      <c r="AD168" s="7"/>
      <c r="AE168" s="7"/>
      <c r="AF168" s="7"/>
      <c r="AG168" s="7"/>
      <c r="AH168" s="7"/>
      <c r="AI168" s="7"/>
      <c r="AJ168" s="7"/>
      <c r="AK168" s="7"/>
      <c r="AL168" s="7"/>
      <c r="AM168" s="7"/>
      <c r="AN168" s="7"/>
      <c r="AO168" s="7"/>
      <c r="AP168" s="7"/>
      <c r="AQ168" s="7"/>
      <c r="AR168" s="7"/>
      <c r="AS168" s="529"/>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c r="IB168" s="8"/>
      <c r="IC168" s="8"/>
      <c r="ID168" s="8"/>
      <c r="IE168" s="8"/>
      <c r="IF168" s="8"/>
    </row>
    <row r="169" spans="1:240" s="53" customFormat="1" x14ac:dyDescent="0.25">
      <c r="A169" s="4"/>
      <c r="B169" s="3"/>
      <c r="C169" s="531"/>
      <c r="D169" s="530"/>
      <c r="E169" s="531"/>
      <c r="F169" s="532"/>
      <c r="G169" s="532"/>
      <c r="H169" s="532"/>
      <c r="I169" s="51"/>
      <c r="J169" s="6"/>
      <c r="K169" s="6"/>
      <c r="L169" s="7"/>
      <c r="M169" s="7"/>
      <c r="N169" s="7"/>
      <c r="O169" s="7"/>
      <c r="P169" s="7"/>
      <c r="Q169" s="7"/>
      <c r="R169" s="7"/>
      <c r="S169" s="7"/>
      <c r="T169" s="7"/>
      <c r="U169" s="7"/>
      <c r="V169" s="7"/>
      <c r="W169" s="7"/>
      <c r="X169" s="7"/>
      <c r="Y169" s="7"/>
      <c r="Z169" s="7"/>
      <c r="AA169" s="421"/>
      <c r="AB169" s="7"/>
      <c r="AC169" s="421"/>
      <c r="AD169" s="7"/>
      <c r="AE169" s="7"/>
      <c r="AF169" s="7"/>
      <c r="AG169" s="7"/>
      <c r="AH169" s="7"/>
      <c r="AI169" s="7"/>
      <c r="AJ169" s="7"/>
      <c r="AK169" s="7"/>
      <c r="AL169" s="7"/>
      <c r="AM169" s="7"/>
      <c r="AN169" s="7"/>
      <c r="AO169" s="7"/>
      <c r="AP169" s="7"/>
      <c r="AQ169" s="7"/>
      <c r="AR169" s="7"/>
      <c r="AS169" s="529"/>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c r="IB169" s="8"/>
      <c r="IC169" s="8"/>
      <c r="ID169" s="8"/>
      <c r="IE169" s="8"/>
      <c r="IF169" s="8"/>
    </row>
    <row r="170" spans="1:240" s="53" customFormat="1" x14ac:dyDescent="0.25">
      <c r="A170" s="4"/>
      <c r="B170" s="3"/>
      <c r="C170" s="531"/>
      <c r="D170" s="530"/>
      <c r="E170" s="531"/>
      <c r="F170" s="532"/>
      <c r="G170" s="532"/>
      <c r="H170" s="532"/>
      <c r="I170" s="51"/>
      <c r="J170" s="6"/>
      <c r="K170" s="6"/>
      <c r="L170" s="7"/>
      <c r="M170" s="7"/>
      <c r="N170" s="7"/>
      <c r="O170" s="7"/>
      <c r="P170" s="7"/>
      <c r="Q170" s="7"/>
      <c r="R170" s="7"/>
      <c r="S170" s="7"/>
      <c r="T170" s="7"/>
      <c r="U170" s="7"/>
      <c r="V170" s="7"/>
      <c r="W170" s="7"/>
      <c r="X170" s="7"/>
      <c r="Y170" s="7"/>
      <c r="Z170" s="7"/>
      <c r="AA170" s="421"/>
      <c r="AB170" s="7"/>
      <c r="AC170" s="421"/>
      <c r="AD170" s="7"/>
      <c r="AE170" s="7"/>
      <c r="AF170" s="7"/>
      <c r="AG170" s="7"/>
      <c r="AH170" s="7"/>
      <c r="AI170" s="7"/>
      <c r="AJ170" s="7"/>
      <c r="AK170" s="7"/>
      <c r="AL170" s="7"/>
      <c r="AM170" s="7"/>
      <c r="AN170" s="7"/>
      <c r="AO170" s="7"/>
      <c r="AP170" s="7"/>
      <c r="AQ170" s="7"/>
      <c r="AR170" s="7"/>
      <c r="AS170" s="529"/>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c r="IE170" s="8"/>
      <c r="IF170" s="8"/>
    </row>
    <row r="171" spans="1:240" s="7" customFormat="1" x14ac:dyDescent="0.25">
      <c r="A171" s="4"/>
      <c r="B171" s="3"/>
      <c r="C171" s="531"/>
      <c r="D171" s="530"/>
      <c r="E171" s="531"/>
      <c r="F171" s="532"/>
      <c r="G171" s="532"/>
      <c r="H171" s="532"/>
      <c r="I171" s="51"/>
      <c r="J171" s="6"/>
      <c r="K171" s="6"/>
      <c r="AA171" s="421"/>
      <c r="AC171" s="421"/>
      <c r="AS171" s="529"/>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c r="IB171" s="8"/>
      <c r="IC171" s="8"/>
      <c r="ID171" s="8"/>
      <c r="IE171" s="8"/>
      <c r="IF171" s="8"/>
    </row>
    <row r="172" spans="1:240" s="7" customFormat="1" x14ac:dyDescent="0.25">
      <c r="A172" s="4"/>
      <c r="B172" s="3"/>
      <c r="C172" s="5"/>
      <c r="D172" s="530"/>
      <c r="E172" s="531"/>
      <c r="F172" s="532"/>
      <c r="G172" s="532"/>
      <c r="H172" s="532"/>
      <c r="I172" s="51"/>
      <c r="J172" s="6"/>
      <c r="K172" s="6"/>
      <c r="AA172" s="421"/>
      <c r="AC172" s="421"/>
      <c r="AS172" s="529"/>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c r="HX172" s="8"/>
      <c r="HY172" s="8"/>
      <c r="HZ172" s="8"/>
      <c r="IA172" s="8"/>
      <c r="IB172" s="8"/>
      <c r="IC172" s="8"/>
      <c r="ID172" s="8"/>
      <c r="IE172" s="8"/>
      <c r="IF172" s="8"/>
    </row>
    <row r="173" spans="1:240" s="7" customFormat="1" x14ac:dyDescent="0.25">
      <c r="A173" s="4"/>
      <c r="B173" s="3"/>
      <c r="C173" s="5"/>
      <c r="D173" s="530"/>
      <c r="E173" s="531"/>
      <c r="F173" s="532"/>
      <c r="G173" s="532"/>
      <c r="H173" s="532"/>
      <c r="I173" s="51"/>
      <c r="J173" s="6"/>
      <c r="K173" s="6"/>
      <c r="AA173" s="421"/>
      <c r="AC173" s="421"/>
      <c r="AS173" s="529"/>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c r="IB173" s="8"/>
      <c r="IC173" s="8"/>
      <c r="ID173" s="8"/>
      <c r="IE173" s="8"/>
      <c r="IF173" s="8"/>
    </row>
    <row r="186" spans="1:240" s="7" customFormat="1" x14ac:dyDescent="0.25">
      <c r="A186" s="4"/>
      <c r="B186" s="3"/>
      <c r="C186" s="5"/>
      <c r="D186" s="3"/>
      <c r="E186" s="5"/>
      <c r="F186" s="51"/>
      <c r="G186" s="51"/>
      <c r="H186" s="51"/>
      <c r="I186" s="51"/>
      <c r="J186" s="6"/>
      <c r="K186" s="6"/>
      <c r="AA186" s="421"/>
      <c r="AC186" s="421"/>
      <c r="AS186" s="529"/>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c r="IB186" s="8"/>
      <c r="IC186" s="8"/>
      <c r="ID186" s="8"/>
      <c r="IE186" s="8"/>
      <c r="IF186" s="8"/>
    </row>
  </sheetData>
  <autoFilter ref="A2:IF150"/>
  <mergeCells count="258">
    <mergeCell ref="L1:Z1"/>
    <mergeCell ref="AA1:AD1"/>
    <mergeCell ref="AE1:AT1"/>
    <mergeCell ref="F3:F5"/>
    <mergeCell ref="G3:G5"/>
    <mergeCell ref="H3:H5"/>
    <mergeCell ref="I3:I5"/>
    <mergeCell ref="J3:J5"/>
    <mergeCell ref="K3:K5"/>
    <mergeCell ref="F18:F20"/>
    <mergeCell ref="G18:G20"/>
    <mergeCell ref="H18:H20"/>
    <mergeCell ref="I18:I20"/>
    <mergeCell ref="J18:J20"/>
    <mergeCell ref="K18:K20"/>
    <mergeCell ref="K6:K8"/>
    <mergeCell ref="J1:K1"/>
    <mergeCell ref="F12:F14"/>
    <mergeCell ref="G12:G14"/>
    <mergeCell ref="H12:H14"/>
    <mergeCell ref="I12:I14"/>
    <mergeCell ref="J12:J14"/>
    <mergeCell ref="K12:K14"/>
    <mergeCell ref="F9:F11"/>
    <mergeCell ref="G9:G11"/>
    <mergeCell ref="A1:I1"/>
    <mergeCell ref="F6:F8"/>
    <mergeCell ref="G6:G8"/>
    <mergeCell ref="H6:H8"/>
    <mergeCell ref="I6:I8"/>
    <mergeCell ref="J6:J8"/>
    <mergeCell ref="F15:F17"/>
    <mergeCell ref="G15:G17"/>
    <mergeCell ref="H15:H17"/>
    <mergeCell ref="I15:I17"/>
    <mergeCell ref="J15:J17"/>
    <mergeCell ref="K15:K17"/>
    <mergeCell ref="H9:H11"/>
    <mergeCell ref="I9:I11"/>
    <mergeCell ref="J9:J11"/>
    <mergeCell ref="K9:K11"/>
    <mergeCell ref="F30:F32"/>
    <mergeCell ref="G30:G32"/>
    <mergeCell ref="H30:H32"/>
    <mergeCell ref="I30:I32"/>
    <mergeCell ref="J30:J32"/>
    <mergeCell ref="K30:K32"/>
    <mergeCell ref="F21:F23"/>
    <mergeCell ref="G21:G23"/>
    <mergeCell ref="H21:H23"/>
    <mergeCell ref="I21:I23"/>
    <mergeCell ref="J21:J23"/>
    <mergeCell ref="H24:H26"/>
    <mergeCell ref="I24:I26"/>
    <mergeCell ref="J24:J26"/>
    <mergeCell ref="K21:K23"/>
    <mergeCell ref="K24:K26"/>
    <mergeCell ref="F27:F29"/>
    <mergeCell ref="G27:G29"/>
    <mergeCell ref="H27:H29"/>
    <mergeCell ref="I27:I29"/>
    <mergeCell ref="J27:J29"/>
    <mergeCell ref="K27:K29"/>
    <mergeCell ref="F24:F26"/>
    <mergeCell ref="G24:G26"/>
    <mergeCell ref="F33:F42"/>
    <mergeCell ref="G33:G42"/>
    <mergeCell ref="H33:H42"/>
    <mergeCell ref="I33:I42"/>
    <mergeCell ref="J33:J42"/>
    <mergeCell ref="K33:K42"/>
    <mergeCell ref="F43:F45"/>
    <mergeCell ref="G43:G45"/>
    <mergeCell ref="H43:H45"/>
    <mergeCell ref="I43:I45"/>
    <mergeCell ref="J43:J45"/>
    <mergeCell ref="K43:K45"/>
    <mergeCell ref="F46:F48"/>
    <mergeCell ref="G46:G48"/>
    <mergeCell ref="H46:H48"/>
    <mergeCell ref="I46:I48"/>
    <mergeCell ref="J46:J48"/>
    <mergeCell ref="K46:K48"/>
    <mergeCell ref="F49:F51"/>
    <mergeCell ref="G49:G51"/>
    <mergeCell ref="H49:H51"/>
    <mergeCell ref="I49:I51"/>
    <mergeCell ref="J49:J51"/>
    <mergeCell ref="K49:K51"/>
    <mergeCell ref="F52:F54"/>
    <mergeCell ref="G52:G54"/>
    <mergeCell ref="H52:H54"/>
    <mergeCell ref="I52:I54"/>
    <mergeCell ref="J52:J54"/>
    <mergeCell ref="K52:K54"/>
    <mergeCell ref="F55:F60"/>
    <mergeCell ref="G55:G60"/>
    <mergeCell ref="H55:H60"/>
    <mergeCell ref="I55:I60"/>
    <mergeCell ref="J55:J60"/>
    <mergeCell ref="K55:K60"/>
    <mergeCell ref="F61:F64"/>
    <mergeCell ref="G61:G64"/>
    <mergeCell ref="H61:H64"/>
    <mergeCell ref="I61:I64"/>
    <mergeCell ref="J61:J64"/>
    <mergeCell ref="K61:K64"/>
    <mergeCell ref="F65:F67"/>
    <mergeCell ref="G65:G67"/>
    <mergeCell ref="H65:H67"/>
    <mergeCell ref="I65:I67"/>
    <mergeCell ref="J65:J67"/>
    <mergeCell ref="K65:K67"/>
    <mergeCell ref="F68:F70"/>
    <mergeCell ref="G68:G70"/>
    <mergeCell ref="H68:H70"/>
    <mergeCell ref="I68:I70"/>
    <mergeCell ref="J68:J70"/>
    <mergeCell ref="K68:K70"/>
    <mergeCell ref="F71:F73"/>
    <mergeCell ref="G71:G73"/>
    <mergeCell ref="H71:H73"/>
    <mergeCell ref="I71:I73"/>
    <mergeCell ref="J71:J73"/>
    <mergeCell ref="K71:K73"/>
    <mergeCell ref="F74:F76"/>
    <mergeCell ref="G74:G76"/>
    <mergeCell ref="H74:H76"/>
    <mergeCell ref="I74:I76"/>
    <mergeCell ref="J74:J76"/>
    <mergeCell ref="K74:K76"/>
    <mergeCell ref="F77:F79"/>
    <mergeCell ref="G77:G79"/>
    <mergeCell ref="H77:H79"/>
    <mergeCell ref="I77:I79"/>
    <mergeCell ref="J77:J79"/>
    <mergeCell ref="K77:K79"/>
    <mergeCell ref="F80:F82"/>
    <mergeCell ref="G80:G82"/>
    <mergeCell ref="H80:H82"/>
    <mergeCell ref="I80:I82"/>
    <mergeCell ref="J80:J82"/>
    <mergeCell ref="K80:K82"/>
    <mergeCell ref="F83:F85"/>
    <mergeCell ref="G83:G85"/>
    <mergeCell ref="H83:H85"/>
    <mergeCell ref="I83:I85"/>
    <mergeCell ref="J83:J85"/>
    <mergeCell ref="K83:K85"/>
    <mergeCell ref="F86:F91"/>
    <mergeCell ref="G86:G91"/>
    <mergeCell ref="H86:H91"/>
    <mergeCell ref="I86:I91"/>
    <mergeCell ref="J86:J91"/>
    <mergeCell ref="K86:K91"/>
    <mergeCell ref="F92:F94"/>
    <mergeCell ref="G92:G94"/>
    <mergeCell ref="H92:H94"/>
    <mergeCell ref="I92:I94"/>
    <mergeCell ref="J92:J94"/>
    <mergeCell ref="K92:K94"/>
    <mergeCell ref="F95:F97"/>
    <mergeCell ref="G95:G97"/>
    <mergeCell ref="H95:H97"/>
    <mergeCell ref="I95:I97"/>
    <mergeCell ref="J95:J97"/>
    <mergeCell ref="K95:K97"/>
    <mergeCell ref="F98:F100"/>
    <mergeCell ref="G98:G100"/>
    <mergeCell ref="H98:H100"/>
    <mergeCell ref="I98:I100"/>
    <mergeCell ref="J98:J100"/>
    <mergeCell ref="K98:K100"/>
    <mergeCell ref="F101:F103"/>
    <mergeCell ref="G101:G103"/>
    <mergeCell ref="H101:H103"/>
    <mergeCell ref="I101:I103"/>
    <mergeCell ref="J101:J103"/>
    <mergeCell ref="K101:K103"/>
    <mergeCell ref="F104:F106"/>
    <mergeCell ref="G104:G106"/>
    <mergeCell ref="H104:H106"/>
    <mergeCell ref="I104:I106"/>
    <mergeCell ref="J104:J106"/>
    <mergeCell ref="K104:K106"/>
    <mergeCell ref="F107:F109"/>
    <mergeCell ref="G107:G109"/>
    <mergeCell ref="H107:H109"/>
    <mergeCell ref="I107:I109"/>
    <mergeCell ref="J107:J109"/>
    <mergeCell ref="K107:K109"/>
    <mergeCell ref="F110:F112"/>
    <mergeCell ref="G110:G112"/>
    <mergeCell ref="H110:H112"/>
    <mergeCell ref="I110:I112"/>
    <mergeCell ref="J110:J112"/>
    <mergeCell ref="K110:K112"/>
    <mergeCell ref="F113:F115"/>
    <mergeCell ref="G113:G115"/>
    <mergeCell ref="H113:H115"/>
    <mergeCell ref="I113:I115"/>
    <mergeCell ref="J113:J115"/>
    <mergeCell ref="K113:K115"/>
    <mergeCell ref="F116:F118"/>
    <mergeCell ref="G116:G118"/>
    <mergeCell ref="H116:H118"/>
    <mergeCell ref="I116:I118"/>
    <mergeCell ref="J116:J118"/>
    <mergeCell ref="K116:K118"/>
    <mergeCell ref="F119:F121"/>
    <mergeCell ref="G119:G121"/>
    <mergeCell ref="H119:H121"/>
    <mergeCell ref="I119:I121"/>
    <mergeCell ref="J119:J121"/>
    <mergeCell ref="K119:K121"/>
    <mergeCell ref="F122:F124"/>
    <mergeCell ref="G122:G124"/>
    <mergeCell ref="H122:H124"/>
    <mergeCell ref="I122:I124"/>
    <mergeCell ref="J122:J124"/>
    <mergeCell ref="K122:K124"/>
    <mergeCell ref="F125:F127"/>
    <mergeCell ref="G125:G127"/>
    <mergeCell ref="H125:H127"/>
    <mergeCell ref="I125:I127"/>
    <mergeCell ref="J125:J127"/>
    <mergeCell ref="K125:K127"/>
    <mergeCell ref="F128:F130"/>
    <mergeCell ref="G128:G130"/>
    <mergeCell ref="H128:H130"/>
    <mergeCell ref="I128:I130"/>
    <mergeCell ref="J128:J130"/>
    <mergeCell ref="K128:K130"/>
    <mergeCell ref="F131:F138"/>
    <mergeCell ref="G131:G138"/>
    <mergeCell ref="H131:H138"/>
    <mergeCell ref="I131:I138"/>
    <mergeCell ref="J131:J138"/>
    <mergeCell ref="K131:K138"/>
    <mergeCell ref="F139:F141"/>
    <mergeCell ref="G139:G141"/>
    <mergeCell ref="H139:H141"/>
    <mergeCell ref="I139:I141"/>
    <mergeCell ref="J139:J141"/>
    <mergeCell ref="K139:K141"/>
    <mergeCell ref="AE156:AF156"/>
    <mergeCell ref="F142:F144"/>
    <mergeCell ref="G142:G144"/>
    <mergeCell ref="H142:H144"/>
    <mergeCell ref="I142:I144"/>
    <mergeCell ref="J142:J144"/>
    <mergeCell ref="K142:K144"/>
    <mergeCell ref="F145:F147"/>
    <mergeCell ref="G145:G147"/>
    <mergeCell ref="H145:H147"/>
    <mergeCell ref="I145:I147"/>
    <mergeCell ref="J145:J147"/>
    <mergeCell ref="K145:K14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43"/>
  <sheetViews>
    <sheetView view="pageLayout" zoomScale="80" zoomScaleNormal="100" zoomScalePageLayoutView="80" workbookViewId="0">
      <selection activeCell="E2" sqref="E2:E43"/>
    </sheetView>
  </sheetViews>
  <sheetFormatPr baseColWidth="10" defaultColWidth="9.140625" defaultRowHeight="15" x14ac:dyDescent="0.25"/>
  <cols>
    <col min="4" max="4" width="51.28515625" customWidth="1"/>
    <col min="5" max="5" width="9.140625" style="114"/>
    <col min="8" max="8" width="10.5703125" customWidth="1"/>
    <col min="20" max="20" width="13.5703125" customWidth="1"/>
    <col min="21" max="21" width="35" customWidth="1"/>
    <col min="22" max="22" width="6.7109375" customWidth="1"/>
  </cols>
  <sheetData>
    <row r="1" spans="1:22" ht="51" customHeight="1" x14ac:dyDescent="0.25">
      <c r="A1" s="115" t="s">
        <v>10</v>
      </c>
      <c r="B1" s="115" t="s">
        <v>1250</v>
      </c>
      <c r="C1" s="115" t="s">
        <v>1251</v>
      </c>
      <c r="D1" s="116" t="s">
        <v>1252</v>
      </c>
      <c r="E1" s="117" t="s">
        <v>1253</v>
      </c>
      <c r="F1" s="115" t="s">
        <v>1254</v>
      </c>
      <c r="G1" s="118" t="s">
        <v>1255</v>
      </c>
      <c r="H1" s="115" t="s">
        <v>1256</v>
      </c>
      <c r="I1" s="115" t="s">
        <v>10</v>
      </c>
      <c r="J1" s="115" t="s">
        <v>1250</v>
      </c>
      <c r="K1" s="119" t="s">
        <v>1257</v>
      </c>
      <c r="L1" s="118" t="s">
        <v>1258</v>
      </c>
      <c r="M1" s="115" t="s">
        <v>1259</v>
      </c>
      <c r="N1" s="115" t="s">
        <v>10</v>
      </c>
      <c r="O1" s="115" t="s">
        <v>1260</v>
      </c>
      <c r="P1" s="118" t="s">
        <v>1261</v>
      </c>
      <c r="Q1" s="115" t="s">
        <v>1262</v>
      </c>
      <c r="R1" s="115" t="s">
        <v>1263</v>
      </c>
    </row>
    <row r="2" spans="1:22" ht="15" customHeight="1" x14ac:dyDescent="0.25">
      <c r="A2" s="120">
        <v>1</v>
      </c>
      <c r="B2" s="120">
        <v>1</v>
      </c>
      <c r="C2" s="120">
        <v>102</v>
      </c>
      <c r="D2" s="121" t="s">
        <v>42</v>
      </c>
      <c r="E2" s="122">
        <f>'Insumo Ponderacion'!C4</f>
        <v>0.9</v>
      </c>
      <c r="F2" s="120" t="str">
        <f t="shared" ref="F2:F43" si="0">IF(E2&lt;=0.3,"Bajo",IF(E2&lt;0.7,"Medio",IF(E2&gt;=0.7,"Alto")))</f>
        <v>Alto</v>
      </c>
      <c r="G2" s="122">
        <v>0.51515151515151503</v>
      </c>
      <c r="H2" s="122">
        <f t="shared" ref="H2:H43" si="1">IF(E2*G2&gt;G2,G2,G2*E2)</f>
        <v>0.46363636363636351</v>
      </c>
      <c r="I2" s="120">
        <v>1</v>
      </c>
      <c r="J2" s="120">
        <v>1</v>
      </c>
      <c r="K2" s="122">
        <f t="shared" ref="K2:K18" si="2">SUMIF($B$2:$B$56,J2,$H$2:$H$56)</f>
        <v>0.91115151515151516</v>
      </c>
      <c r="L2" s="122">
        <v>0.169811320754717</v>
      </c>
      <c r="M2" s="123">
        <f t="shared" ref="M2:M18" si="3">L2*K2</f>
        <v>0.15472384219554033</v>
      </c>
      <c r="N2" s="124">
        <v>1</v>
      </c>
      <c r="O2" s="125">
        <f>SUMIF($I$2:$I$56,N2,$M$2:$M$56)</f>
        <v>0.95665941948274713</v>
      </c>
      <c r="P2" s="122">
        <v>0.37803138373751799</v>
      </c>
      <c r="Q2" s="126">
        <f>O2*P2</f>
        <v>0.36164728411259356</v>
      </c>
      <c r="R2" s="126">
        <f>SUM(Q2:Q4)</f>
        <v>0.83559983566232754</v>
      </c>
    </row>
    <row r="3" spans="1:22" ht="15" customHeight="1" x14ac:dyDescent="0.25">
      <c r="A3" s="120">
        <v>1</v>
      </c>
      <c r="B3" s="120">
        <v>1</v>
      </c>
      <c r="C3" s="120">
        <v>103</v>
      </c>
      <c r="D3" s="121" t="s">
        <v>51</v>
      </c>
      <c r="E3" s="122">
        <f>'Insumo Ponderacion'!C5</f>
        <v>0.92300000000000004</v>
      </c>
      <c r="F3" s="120" t="str">
        <f t="shared" si="0"/>
        <v>Alto</v>
      </c>
      <c r="G3" s="122">
        <v>0.48484848484848497</v>
      </c>
      <c r="H3" s="122">
        <f t="shared" si="1"/>
        <v>0.44751515151515164</v>
      </c>
      <c r="I3" s="120">
        <v>1</v>
      </c>
      <c r="J3" s="120">
        <v>2</v>
      </c>
      <c r="K3" s="122">
        <f t="shared" si="2"/>
        <v>1.0000000000000009</v>
      </c>
      <c r="L3" s="122">
        <v>0.15094339622641501</v>
      </c>
      <c r="M3" s="123">
        <f t="shared" si="3"/>
        <v>0.15094339622641514</v>
      </c>
      <c r="N3" s="124">
        <v>2</v>
      </c>
      <c r="O3" s="125">
        <f>SUMIF($I$2:$I$56,N3,$M$2:$M$56)</f>
        <v>0.73832086267605657</v>
      </c>
      <c r="P3" s="122">
        <v>0.33147451692387497</v>
      </c>
      <c r="Q3" s="126">
        <f>O3*P3</f>
        <v>0.24473455129036448</v>
      </c>
      <c r="R3" s="127"/>
    </row>
    <row r="4" spans="1:22" ht="15" customHeight="1" x14ac:dyDescent="0.25">
      <c r="A4" s="120">
        <v>1</v>
      </c>
      <c r="B4" s="120">
        <v>2</v>
      </c>
      <c r="C4" s="120">
        <v>104</v>
      </c>
      <c r="D4" s="121" t="s">
        <v>58</v>
      </c>
      <c r="E4" s="122">
        <f>'Insumo Ponderacion'!C6</f>
        <v>1.0908333333333333</v>
      </c>
      <c r="F4" s="120" t="str">
        <f t="shared" si="0"/>
        <v>Alto</v>
      </c>
      <c r="G4" s="122">
        <v>0.36363636363636398</v>
      </c>
      <c r="H4" s="122">
        <f t="shared" si="1"/>
        <v>0.36363636363636398</v>
      </c>
      <c r="I4" s="120">
        <v>1</v>
      </c>
      <c r="J4" s="120">
        <v>3</v>
      </c>
      <c r="K4" s="122">
        <f t="shared" si="2"/>
        <v>0.98602739726027289</v>
      </c>
      <c r="L4" s="122">
        <v>0.18782161234991401</v>
      </c>
      <c r="M4" s="123">
        <f t="shared" si="3"/>
        <v>0.18519725557461364</v>
      </c>
      <c r="N4" s="124">
        <v>3</v>
      </c>
      <c r="O4" s="125">
        <f>SUMIF($I$2:$I$56,N4,$M$2:$M$56)</f>
        <v>0.78906250000000011</v>
      </c>
      <c r="P4" s="122">
        <v>0.29049409933860698</v>
      </c>
      <c r="Q4" s="126">
        <f>O4*P4</f>
        <v>0.22921800025936961</v>
      </c>
      <c r="R4" s="127"/>
    </row>
    <row r="5" spans="1:22" ht="15" customHeight="1" x14ac:dyDescent="0.25">
      <c r="A5" s="120">
        <v>1</v>
      </c>
      <c r="B5" s="120">
        <v>2</v>
      </c>
      <c r="C5" s="120">
        <v>105</v>
      </c>
      <c r="D5" s="121" t="s">
        <v>65</v>
      </c>
      <c r="E5" s="122">
        <f>'Insumo Ponderacion'!C7</f>
        <v>1.5</v>
      </c>
      <c r="F5" s="120" t="str">
        <f t="shared" si="0"/>
        <v>Alto</v>
      </c>
      <c r="G5" s="122">
        <v>0.36363636363636398</v>
      </c>
      <c r="H5" s="122">
        <f t="shared" si="1"/>
        <v>0.36363636363636398</v>
      </c>
      <c r="I5" s="120">
        <v>1</v>
      </c>
      <c r="J5" s="120">
        <v>4</v>
      </c>
      <c r="K5" s="122">
        <f t="shared" si="2"/>
        <v>1</v>
      </c>
      <c r="L5" s="122">
        <v>0.12349914236706699</v>
      </c>
      <c r="M5" s="123">
        <f t="shared" si="3"/>
        <v>0.12349914236706699</v>
      </c>
    </row>
    <row r="6" spans="1:22" ht="15" customHeight="1" x14ac:dyDescent="0.25">
      <c r="A6" s="120">
        <v>1</v>
      </c>
      <c r="B6" s="120">
        <v>2</v>
      </c>
      <c r="C6" s="120">
        <v>106</v>
      </c>
      <c r="D6" s="121" t="s">
        <v>67</v>
      </c>
      <c r="E6" s="122">
        <f>'Insumo Ponderacion'!C8</f>
        <v>1.09375</v>
      </c>
      <c r="F6" s="120" t="str">
        <f t="shared" si="0"/>
        <v>Alto</v>
      </c>
      <c r="G6" s="122">
        <v>0.27272727272727298</v>
      </c>
      <c r="H6" s="122">
        <f t="shared" si="1"/>
        <v>0.27272727272727298</v>
      </c>
      <c r="I6" s="120">
        <v>1</v>
      </c>
      <c r="J6" s="120">
        <v>5</v>
      </c>
      <c r="K6" s="122">
        <f t="shared" si="2"/>
        <v>0.92909090909090997</v>
      </c>
      <c r="L6" s="122">
        <v>0.192967409948542</v>
      </c>
      <c r="M6" s="123">
        <f t="shared" si="3"/>
        <v>0.17928426633400918</v>
      </c>
      <c r="T6" s="140" t="s">
        <v>1264</v>
      </c>
      <c r="U6" s="139"/>
      <c r="V6" s="327"/>
    </row>
    <row r="7" spans="1:22" ht="15" customHeight="1" x14ac:dyDescent="0.25">
      <c r="A7" s="120">
        <v>1</v>
      </c>
      <c r="B7" s="120">
        <v>3</v>
      </c>
      <c r="C7" s="120">
        <v>107</v>
      </c>
      <c r="D7" s="121" t="s">
        <v>71</v>
      </c>
      <c r="E7" s="122">
        <f>'Insumo Ponderacion'!C9</f>
        <v>1.2375</v>
      </c>
      <c r="F7" s="120" t="str">
        <f t="shared" si="0"/>
        <v>Alto</v>
      </c>
      <c r="G7" s="122">
        <v>0.27397260273972601</v>
      </c>
      <c r="H7" s="122">
        <f t="shared" si="1"/>
        <v>0.27397260273972601</v>
      </c>
      <c r="I7" s="120">
        <v>1</v>
      </c>
      <c r="J7" s="120">
        <v>8</v>
      </c>
      <c r="K7" s="122">
        <f t="shared" si="2"/>
        <v>0.93172268907563016</v>
      </c>
      <c r="L7" s="122">
        <v>0.17495711835334499</v>
      </c>
      <c r="M7" s="123">
        <f t="shared" si="3"/>
        <v>0.16301151678510187</v>
      </c>
      <c r="T7" s="140" t="s">
        <v>10</v>
      </c>
      <c r="U7" s="140" t="s">
        <v>1254</v>
      </c>
      <c r="V7" s="327" t="s">
        <v>34</v>
      </c>
    </row>
    <row r="8" spans="1:22" ht="15" customHeight="1" x14ac:dyDescent="0.25">
      <c r="A8" s="120">
        <v>1</v>
      </c>
      <c r="B8" s="120">
        <v>3</v>
      </c>
      <c r="C8" s="120">
        <v>108</v>
      </c>
      <c r="D8" s="121" t="s">
        <v>78</v>
      </c>
      <c r="E8" s="122">
        <f>'Insumo Ponderacion'!C10</f>
        <v>1.2</v>
      </c>
      <c r="F8" s="120" t="str">
        <f t="shared" si="0"/>
        <v>Alto</v>
      </c>
      <c r="G8" s="122">
        <v>0.28767123287671198</v>
      </c>
      <c r="H8" s="122">
        <f t="shared" si="1"/>
        <v>0.28767123287671198</v>
      </c>
      <c r="I8" s="120">
        <v>2</v>
      </c>
      <c r="J8" s="120">
        <v>17</v>
      </c>
      <c r="K8" s="122">
        <f t="shared" si="2"/>
        <v>0.80555555555555569</v>
      </c>
      <c r="L8" s="122">
        <v>0.190140845070423</v>
      </c>
      <c r="M8" s="123">
        <f t="shared" si="3"/>
        <v>0.15316901408450745</v>
      </c>
      <c r="T8" s="138">
        <v>1</v>
      </c>
      <c r="U8" s="138" t="s">
        <v>1267</v>
      </c>
      <c r="V8" s="328">
        <v>1</v>
      </c>
    </row>
    <row r="9" spans="1:22" ht="15" customHeight="1" x14ac:dyDescent="0.25">
      <c r="A9" s="120">
        <v>1</v>
      </c>
      <c r="B9" s="120">
        <v>3</v>
      </c>
      <c r="C9" s="120">
        <v>109</v>
      </c>
      <c r="D9" s="121" t="s">
        <v>84</v>
      </c>
      <c r="E9" s="122">
        <f>'Insumo Ponderacion'!C11</f>
        <v>1.125</v>
      </c>
      <c r="F9" s="120" t="str">
        <f t="shared" si="0"/>
        <v>Alto</v>
      </c>
      <c r="G9" s="122">
        <v>0.19178082191780799</v>
      </c>
      <c r="H9" s="122">
        <f t="shared" si="1"/>
        <v>0.19178082191780799</v>
      </c>
      <c r="I9" s="120">
        <v>2</v>
      </c>
      <c r="J9" s="120">
        <v>19</v>
      </c>
      <c r="K9" s="122">
        <f t="shared" si="2"/>
        <v>0.44698784722222207</v>
      </c>
      <c r="L9" s="122">
        <v>0.25352112676056299</v>
      </c>
      <c r="M9" s="123">
        <f t="shared" si="3"/>
        <v>0.11332086267605612</v>
      </c>
      <c r="T9" s="460"/>
      <c r="U9" s="330" t="s">
        <v>1265</v>
      </c>
      <c r="V9" s="331">
        <v>17</v>
      </c>
    </row>
    <row r="10" spans="1:22" ht="15" customHeight="1" x14ac:dyDescent="0.25">
      <c r="A10" s="120">
        <v>1</v>
      </c>
      <c r="B10" s="120">
        <v>3</v>
      </c>
      <c r="C10" s="120">
        <v>110</v>
      </c>
      <c r="D10" s="121" t="s">
        <v>89</v>
      </c>
      <c r="E10" s="122">
        <f>'Insumo Ponderacion'!C12</f>
        <v>0.94333333333333336</v>
      </c>
      <c r="F10" s="120" t="str">
        <f t="shared" si="0"/>
        <v>Alto</v>
      </c>
      <c r="G10" s="122">
        <v>0.24657534246575299</v>
      </c>
      <c r="H10" s="122">
        <f t="shared" si="1"/>
        <v>0.23260273972602699</v>
      </c>
      <c r="I10" s="120">
        <v>2</v>
      </c>
      <c r="J10" s="120">
        <v>20</v>
      </c>
      <c r="K10" s="122">
        <f t="shared" si="2"/>
        <v>1</v>
      </c>
      <c r="L10" s="122">
        <v>0.161971830985916</v>
      </c>
      <c r="M10" s="123">
        <f t="shared" si="3"/>
        <v>0.161971830985916</v>
      </c>
      <c r="T10" s="460"/>
      <c r="U10" s="330" t="s">
        <v>1266</v>
      </c>
      <c r="V10" s="331">
        <v>1</v>
      </c>
    </row>
    <row r="11" spans="1:22" ht="15" customHeight="1" x14ac:dyDescent="0.25">
      <c r="A11" s="120">
        <v>1</v>
      </c>
      <c r="B11" s="120">
        <v>4</v>
      </c>
      <c r="C11" s="120">
        <v>111</v>
      </c>
      <c r="D11" s="121" t="s">
        <v>94</v>
      </c>
      <c r="E11" s="122">
        <f>'Insumo Ponderacion'!C13</f>
        <v>1.25</v>
      </c>
      <c r="F11" s="120" t="str">
        <f t="shared" si="0"/>
        <v>Alto</v>
      </c>
      <c r="G11" s="122">
        <v>1</v>
      </c>
      <c r="H11" s="122">
        <f t="shared" si="1"/>
        <v>1</v>
      </c>
      <c r="I11" s="120">
        <v>2</v>
      </c>
      <c r="J11" s="120">
        <v>21</v>
      </c>
      <c r="K11" s="122">
        <f t="shared" si="2"/>
        <v>1</v>
      </c>
      <c r="L11" s="122">
        <v>0.22535211267605601</v>
      </c>
      <c r="M11" s="123">
        <f t="shared" si="3"/>
        <v>0.22535211267605601</v>
      </c>
      <c r="T11" s="138">
        <v>2</v>
      </c>
      <c r="U11" s="138" t="s">
        <v>1267</v>
      </c>
      <c r="V11" s="328">
        <v>3</v>
      </c>
    </row>
    <row r="12" spans="1:22" ht="15" customHeight="1" x14ac:dyDescent="0.25">
      <c r="A12" s="120">
        <v>1</v>
      </c>
      <c r="B12" s="120">
        <v>5</v>
      </c>
      <c r="C12" s="120">
        <v>112</v>
      </c>
      <c r="D12" s="121" t="s">
        <v>102</v>
      </c>
      <c r="E12" s="122">
        <f>'Insumo Ponderacion'!C14</f>
        <v>1.9722222222222223</v>
      </c>
      <c r="F12" s="120" t="str">
        <f t="shared" si="0"/>
        <v>Alto</v>
      </c>
      <c r="G12" s="122">
        <v>0.266666666666667</v>
      </c>
      <c r="H12" s="122">
        <f t="shared" si="1"/>
        <v>0.266666666666667</v>
      </c>
      <c r="I12" s="120">
        <v>2</v>
      </c>
      <c r="J12" s="120">
        <v>22</v>
      </c>
      <c r="K12" s="122">
        <f t="shared" si="2"/>
        <v>0.5</v>
      </c>
      <c r="L12" s="122">
        <v>0.169014084507042</v>
      </c>
      <c r="M12" s="123">
        <f t="shared" si="3"/>
        <v>8.4507042253521E-2</v>
      </c>
      <c r="T12" s="460"/>
      <c r="U12" s="330" t="s">
        <v>1265</v>
      </c>
      <c r="V12" s="331">
        <v>6</v>
      </c>
    </row>
    <row r="13" spans="1:22" ht="15" customHeight="1" x14ac:dyDescent="0.25">
      <c r="A13" s="120">
        <v>1</v>
      </c>
      <c r="B13" s="120">
        <v>5</v>
      </c>
      <c r="C13" s="120">
        <v>113</v>
      </c>
      <c r="D13" s="121" t="s">
        <v>110</v>
      </c>
      <c r="E13" s="122">
        <f>'Insumo Ponderacion'!C15</f>
        <v>0.95454545454545459</v>
      </c>
      <c r="F13" s="120" t="str">
        <f t="shared" si="0"/>
        <v>Alto</v>
      </c>
      <c r="G13" s="122">
        <v>0.24</v>
      </c>
      <c r="H13" s="122">
        <f t="shared" si="1"/>
        <v>0.2290909090909091</v>
      </c>
      <c r="I13" s="120">
        <v>3</v>
      </c>
      <c r="J13" s="120">
        <v>24</v>
      </c>
      <c r="K13" s="122">
        <f t="shared" si="2"/>
        <v>0.80263157894736858</v>
      </c>
      <c r="L13" s="122">
        <v>0.16964285714285701</v>
      </c>
      <c r="M13" s="123">
        <f t="shared" si="3"/>
        <v>0.13616071428571422</v>
      </c>
      <c r="T13" s="460"/>
      <c r="U13" s="330" t="s">
        <v>1266</v>
      </c>
      <c r="V13" s="331">
        <v>2</v>
      </c>
    </row>
    <row r="14" spans="1:22" ht="15" customHeight="1" x14ac:dyDescent="0.25">
      <c r="A14" s="120">
        <v>1</v>
      </c>
      <c r="B14" s="120">
        <v>5</v>
      </c>
      <c r="C14" s="120">
        <v>114</v>
      </c>
      <c r="D14" s="121" t="s">
        <v>112</v>
      </c>
      <c r="E14" s="122">
        <f>'Insumo Ponderacion'!C16</f>
        <v>0.86</v>
      </c>
      <c r="F14" s="120" t="str">
        <f t="shared" si="0"/>
        <v>Alto</v>
      </c>
      <c r="G14" s="122">
        <v>0.266666666666667</v>
      </c>
      <c r="H14" s="122">
        <f t="shared" si="1"/>
        <v>0.22933333333333361</v>
      </c>
      <c r="I14" s="120">
        <v>3</v>
      </c>
      <c r="J14" s="120">
        <v>26</v>
      </c>
      <c r="K14" s="122">
        <f t="shared" si="2"/>
        <v>1</v>
      </c>
      <c r="L14" s="122">
        <v>0.17410714285714299</v>
      </c>
      <c r="M14" s="123">
        <f t="shared" si="3"/>
        <v>0.17410714285714299</v>
      </c>
      <c r="T14" s="138">
        <v>3</v>
      </c>
      <c r="U14" s="138" t="s">
        <v>1267</v>
      </c>
      <c r="V14" s="328">
        <v>1</v>
      </c>
    </row>
    <row r="15" spans="1:22" ht="15" customHeight="1" x14ac:dyDescent="0.25">
      <c r="A15" s="120">
        <v>1</v>
      </c>
      <c r="B15" s="120">
        <v>5</v>
      </c>
      <c r="C15" s="120">
        <v>115</v>
      </c>
      <c r="D15" s="121" t="s">
        <v>116</v>
      </c>
      <c r="E15" s="122">
        <f>'Insumo Ponderacion'!C17</f>
        <v>0.9</v>
      </c>
      <c r="F15" s="120" t="str">
        <f t="shared" si="0"/>
        <v>Alto</v>
      </c>
      <c r="G15" s="122">
        <v>0.22666666666666699</v>
      </c>
      <c r="H15" s="122">
        <f t="shared" si="1"/>
        <v>0.20400000000000029</v>
      </c>
      <c r="I15" s="120">
        <v>3</v>
      </c>
      <c r="J15" s="120">
        <v>27</v>
      </c>
      <c r="K15" s="122">
        <f t="shared" si="2"/>
        <v>0.91428571428571437</v>
      </c>
      <c r="L15" s="122">
        <v>0.15625</v>
      </c>
      <c r="M15" s="123">
        <f t="shared" si="3"/>
        <v>0.14285714285714288</v>
      </c>
      <c r="N15" s="127"/>
      <c r="T15" s="460"/>
      <c r="U15" s="330" t="s">
        <v>1265</v>
      </c>
      <c r="V15" s="331">
        <v>9</v>
      </c>
    </row>
    <row r="16" spans="1:22" ht="15" customHeight="1" x14ac:dyDescent="0.25">
      <c r="A16" s="120">
        <v>1</v>
      </c>
      <c r="B16" s="120">
        <v>8</v>
      </c>
      <c r="C16" s="120">
        <v>116</v>
      </c>
      <c r="D16" s="121" t="s">
        <v>120</v>
      </c>
      <c r="E16" s="122">
        <f>'Insumo Ponderacion'!C18</f>
        <v>1.5</v>
      </c>
      <c r="F16" s="120" t="str">
        <f t="shared" si="0"/>
        <v>Alto</v>
      </c>
      <c r="G16" s="122">
        <v>0.17647058823529399</v>
      </c>
      <c r="H16" s="122">
        <f t="shared" si="1"/>
        <v>0.17647058823529399</v>
      </c>
      <c r="I16" s="120">
        <v>3</v>
      </c>
      <c r="J16" s="120">
        <v>30</v>
      </c>
      <c r="K16" s="122">
        <f t="shared" si="2"/>
        <v>0.75</v>
      </c>
      <c r="L16" s="122">
        <v>0.13392857142857101</v>
      </c>
      <c r="M16" s="123">
        <f t="shared" si="3"/>
        <v>0.10044642857142826</v>
      </c>
      <c r="N16" s="127"/>
      <c r="S16" s="127"/>
      <c r="T16" s="460"/>
      <c r="U16" s="330" t="s">
        <v>1266</v>
      </c>
      <c r="V16" s="331">
        <v>2</v>
      </c>
    </row>
    <row r="17" spans="1:22" ht="15" customHeight="1" x14ac:dyDescent="0.25">
      <c r="A17" s="120">
        <v>1</v>
      </c>
      <c r="B17" s="120">
        <v>8</v>
      </c>
      <c r="C17" s="120">
        <v>117</v>
      </c>
      <c r="D17" s="121" t="s">
        <v>128</v>
      </c>
      <c r="E17" s="122">
        <f>'Insumo Ponderacion'!C19</f>
        <v>1.0833333333333333</v>
      </c>
      <c r="F17" s="120" t="str">
        <f t="shared" si="0"/>
        <v>Alto</v>
      </c>
      <c r="G17" s="122">
        <v>0.223529411764706</v>
      </c>
      <c r="H17" s="122">
        <f t="shared" si="1"/>
        <v>0.223529411764706</v>
      </c>
      <c r="I17" s="120">
        <v>3</v>
      </c>
      <c r="J17" s="120">
        <v>31</v>
      </c>
      <c r="K17" s="122">
        <f t="shared" si="2"/>
        <v>1</v>
      </c>
      <c r="L17" s="122">
        <v>0.191964285714286</v>
      </c>
      <c r="M17" s="123">
        <f t="shared" si="3"/>
        <v>0.191964285714286</v>
      </c>
      <c r="N17" s="127"/>
      <c r="S17" s="127"/>
      <c r="T17" s="141" t="s">
        <v>1268</v>
      </c>
      <c r="U17" s="461"/>
      <c r="V17" s="333">
        <v>42</v>
      </c>
    </row>
    <row r="18" spans="1:22" ht="15" customHeight="1" x14ac:dyDescent="0.25">
      <c r="A18" s="120">
        <v>1</v>
      </c>
      <c r="B18" s="120">
        <v>8</v>
      </c>
      <c r="C18" s="120">
        <v>118</v>
      </c>
      <c r="D18" s="121" t="s">
        <v>134</v>
      </c>
      <c r="E18" s="122">
        <f>'Insumo Ponderacion'!C20</f>
        <v>1.47</v>
      </c>
      <c r="F18" s="120" t="str">
        <f t="shared" si="0"/>
        <v>Alto</v>
      </c>
      <c r="G18" s="122">
        <v>0.188235294117647</v>
      </c>
      <c r="H18" s="122">
        <f t="shared" si="1"/>
        <v>0.188235294117647</v>
      </c>
      <c r="I18" s="120">
        <v>3</v>
      </c>
      <c r="J18" s="120">
        <v>32</v>
      </c>
      <c r="K18" s="122">
        <f t="shared" si="2"/>
        <v>0.25</v>
      </c>
      <c r="L18" s="122">
        <v>0.17410714285714299</v>
      </c>
      <c r="M18" s="123">
        <f t="shared" si="3"/>
        <v>4.3526785714285747E-2</v>
      </c>
      <c r="N18" s="127"/>
      <c r="S18" s="127"/>
    </row>
    <row r="19" spans="1:22" ht="15" customHeight="1" x14ac:dyDescent="0.25">
      <c r="A19" s="120">
        <v>1</v>
      </c>
      <c r="B19" s="120">
        <v>8</v>
      </c>
      <c r="C19" s="120">
        <v>119</v>
      </c>
      <c r="D19" s="121" t="s">
        <v>139</v>
      </c>
      <c r="E19" s="122">
        <f>'Insumo Ponderacion'!C21</f>
        <v>0.9464285714285714</v>
      </c>
      <c r="F19" s="120" t="str">
        <f t="shared" si="0"/>
        <v>Alto</v>
      </c>
      <c r="G19" s="122">
        <v>0.17647058823529399</v>
      </c>
      <c r="H19" s="122">
        <f t="shared" si="1"/>
        <v>0.16701680672268895</v>
      </c>
      <c r="I19" s="127"/>
      <c r="J19" s="127"/>
      <c r="K19" s="127"/>
      <c r="L19" s="127"/>
      <c r="M19" s="127"/>
      <c r="N19" s="127"/>
      <c r="S19" s="127"/>
    </row>
    <row r="20" spans="1:22" ht="15" customHeight="1" x14ac:dyDescent="0.25">
      <c r="A20" s="120">
        <v>1</v>
      </c>
      <c r="B20" s="120">
        <v>8</v>
      </c>
      <c r="C20" s="120">
        <v>120</v>
      </c>
      <c r="D20" s="121" t="s">
        <v>144</v>
      </c>
      <c r="E20" s="122">
        <f>'Insumo Ponderacion'!C22</f>
        <v>0.75</v>
      </c>
      <c r="F20" s="120" t="str">
        <f t="shared" si="0"/>
        <v>Alto</v>
      </c>
      <c r="G20" s="122">
        <v>0.23529411764705899</v>
      </c>
      <c r="H20" s="122">
        <f t="shared" si="1"/>
        <v>0.17647058823529424</v>
      </c>
      <c r="I20" s="127"/>
      <c r="J20" s="127"/>
      <c r="K20" s="127"/>
      <c r="L20" s="127"/>
      <c r="M20" s="127"/>
      <c r="N20" s="127"/>
      <c r="S20" s="127"/>
    </row>
    <row r="21" spans="1:22" ht="15" customHeight="1" x14ac:dyDescent="0.25">
      <c r="A21" s="120">
        <v>2</v>
      </c>
      <c r="B21" s="120">
        <v>17</v>
      </c>
      <c r="C21" s="120">
        <v>121</v>
      </c>
      <c r="D21" s="121" t="s">
        <v>150</v>
      </c>
      <c r="E21" s="122">
        <f>'Insumo Ponderacion'!C23</f>
        <v>7.333333333333333</v>
      </c>
      <c r="F21" s="120" t="str">
        <f t="shared" si="0"/>
        <v>Alto</v>
      </c>
      <c r="G21" s="122">
        <v>0.296296296296296</v>
      </c>
      <c r="H21" s="122">
        <f t="shared" si="1"/>
        <v>0.296296296296296</v>
      </c>
      <c r="I21" s="127"/>
      <c r="J21" s="127"/>
      <c r="K21" s="127"/>
      <c r="L21" s="127"/>
      <c r="M21" s="127"/>
      <c r="N21" s="127"/>
      <c r="S21" s="127"/>
    </row>
    <row r="22" spans="1:22" ht="15" customHeight="1" x14ac:dyDescent="0.25">
      <c r="A22" s="120">
        <v>2</v>
      </c>
      <c r="B22" s="120">
        <v>17</v>
      </c>
      <c r="C22" s="120">
        <v>122</v>
      </c>
      <c r="D22" s="121" t="s">
        <v>158</v>
      </c>
      <c r="E22" s="122">
        <f>'Insumo Ponderacion'!C24</f>
        <v>1</v>
      </c>
      <c r="F22" s="120" t="str">
        <f t="shared" si="0"/>
        <v>Alto</v>
      </c>
      <c r="G22" s="122">
        <v>0.27777777777777801</v>
      </c>
      <c r="H22" s="122">
        <f t="shared" si="1"/>
        <v>0.27777777777777801</v>
      </c>
      <c r="I22" s="127"/>
      <c r="J22" s="127"/>
      <c r="K22" s="127"/>
      <c r="L22" s="127"/>
      <c r="M22" s="127"/>
      <c r="N22" s="127"/>
      <c r="O22" s="127"/>
      <c r="P22" s="127"/>
      <c r="Q22" s="127"/>
      <c r="R22" s="127"/>
      <c r="S22" s="127"/>
    </row>
    <row r="23" spans="1:22" ht="15" customHeight="1" x14ac:dyDescent="0.25">
      <c r="A23" s="120">
        <v>2</v>
      </c>
      <c r="B23" s="120">
        <v>17</v>
      </c>
      <c r="C23" s="120">
        <v>123</v>
      </c>
      <c r="D23" s="121" t="s">
        <v>161</v>
      </c>
      <c r="E23" s="122">
        <f>'Insumo Ponderacion'!C25</f>
        <v>2.0499999999999998</v>
      </c>
      <c r="F23" s="120" t="str">
        <f t="shared" si="0"/>
        <v>Alto</v>
      </c>
      <c r="G23" s="122">
        <v>0.16666666666666699</v>
      </c>
      <c r="H23" s="122">
        <f t="shared" si="1"/>
        <v>0.16666666666666699</v>
      </c>
      <c r="I23" s="127"/>
      <c r="J23" s="127"/>
      <c r="K23" s="127"/>
      <c r="L23" s="127"/>
      <c r="M23" s="127"/>
      <c r="N23" s="127"/>
      <c r="O23" s="127"/>
      <c r="P23" s="127"/>
      <c r="Q23" s="127"/>
      <c r="R23" s="127"/>
      <c r="S23" s="127"/>
    </row>
    <row r="24" spans="1:22" ht="15" customHeight="1" x14ac:dyDescent="0.25">
      <c r="A24" s="120">
        <v>2</v>
      </c>
      <c r="B24" s="120">
        <v>17</v>
      </c>
      <c r="C24" s="120">
        <v>124</v>
      </c>
      <c r="D24" s="121" t="s">
        <v>164</v>
      </c>
      <c r="E24" s="122">
        <f>'Insumo Ponderacion'!C26</f>
        <v>0.25</v>
      </c>
      <c r="F24" s="120" t="str">
        <f t="shared" si="0"/>
        <v>Bajo</v>
      </c>
      <c r="G24" s="122">
        <v>0.25925925925925902</v>
      </c>
      <c r="H24" s="122">
        <f t="shared" si="1"/>
        <v>6.4814814814814756E-2</v>
      </c>
      <c r="I24" s="127"/>
      <c r="J24" s="127"/>
      <c r="K24" s="127"/>
      <c r="L24" s="127"/>
      <c r="M24" s="127"/>
      <c r="N24" s="127"/>
      <c r="O24" s="127"/>
      <c r="P24" s="127"/>
      <c r="Q24" s="127"/>
      <c r="R24" s="127"/>
      <c r="S24" s="127"/>
    </row>
    <row r="25" spans="1:22" ht="15" customHeight="1" x14ac:dyDescent="0.25">
      <c r="A25" s="120">
        <v>2</v>
      </c>
      <c r="B25" s="120">
        <v>19</v>
      </c>
      <c r="C25" s="120">
        <v>125</v>
      </c>
      <c r="D25" s="121" t="s">
        <v>168</v>
      </c>
      <c r="E25" s="122">
        <f>'Insumo Ponderacion'!C27</f>
        <v>7.7968750000000003E-2</v>
      </c>
      <c r="F25" s="120" t="str">
        <f t="shared" si="0"/>
        <v>Bajo</v>
      </c>
      <c r="G25" s="122">
        <v>0.38888888888888901</v>
      </c>
      <c r="H25" s="122">
        <f t="shared" si="1"/>
        <v>3.0321180555555566E-2</v>
      </c>
      <c r="I25" s="127"/>
      <c r="J25" s="127"/>
      <c r="K25" s="127"/>
      <c r="L25" s="127"/>
      <c r="M25" s="127"/>
      <c r="N25" s="127"/>
      <c r="O25" s="127"/>
      <c r="P25" s="127"/>
      <c r="Q25" s="127"/>
      <c r="R25" s="127"/>
      <c r="S25" s="127"/>
    </row>
    <row r="26" spans="1:22" ht="15" customHeight="1" x14ac:dyDescent="0.25">
      <c r="A26" s="120">
        <v>2</v>
      </c>
      <c r="B26" s="120">
        <v>19</v>
      </c>
      <c r="C26" s="120">
        <v>126</v>
      </c>
      <c r="D26" s="121" t="s">
        <v>176</v>
      </c>
      <c r="E26" s="122">
        <f>'Insumo Ponderacion'!C28</f>
        <v>0.5</v>
      </c>
      <c r="F26" s="120" t="str">
        <f t="shared" si="0"/>
        <v>Medio</v>
      </c>
      <c r="G26" s="122">
        <v>0.38888888888888901</v>
      </c>
      <c r="H26" s="122">
        <f t="shared" si="1"/>
        <v>0.1944444444444445</v>
      </c>
      <c r="I26" s="127"/>
      <c r="J26" s="127"/>
      <c r="K26" s="127"/>
      <c r="L26" s="127"/>
      <c r="M26" s="127"/>
      <c r="N26" s="127"/>
      <c r="O26" s="127"/>
      <c r="P26" s="127"/>
      <c r="Q26" s="127"/>
      <c r="R26" s="127"/>
    </row>
    <row r="27" spans="1:22" ht="15" customHeight="1" x14ac:dyDescent="0.25">
      <c r="A27" s="120">
        <v>2</v>
      </c>
      <c r="B27" s="120">
        <v>19</v>
      </c>
      <c r="C27" s="120">
        <v>127</v>
      </c>
      <c r="D27" s="121" t="s">
        <v>178</v>
      </c>
      <c r="E27" s="122">
        <f>'Insumo Ponderacion'!C29</f>
        <v>1.33</v>
      </c>
      <c r="F27" s="120" t="str">
        <f t="shared" si="0"/>
        <v>Alto</v>
      </c>
      <c r="G27" s="122">
        <v>0.22222222222222199</v>
      </c>
      <c r="H27" s="122">
        <f t="shared" si="1"/>
        <v>0.22222222222222199</v>
      </c>
      <c r="I27" s="127"/>
      <c r="J27" s="127"/>
      <c r="K27" s="127"/>
      <c r="L27" s="127"/>
      <c r="M27" s="127"/>
      <c r="N27" s="127"/>
      <c r="O27" s="127"/>
      <c r="P27" s="127"/>
      <c r="Q27" s="127"/>
      <c r="R27" s="127"/>
    </row>
    <row r="28" spans="1:22" ht="15" customHeight="1" x14ac:dyDescent="0.25">
      <c r="A28" s="120">
        <v>2</v>
      </c>
      <c r="B28" s="120">
        <v>20</v>
      </c>
      <c r="C28" s="120">
        <v>128</v>
      </c>
      <c r="D28" s="121" t="s">
        <v>184</v>
      </c>
      <c r="E28" s="122">
        <f>'Insumo Ponderacion'!C30</f>
        <v>1</v>
      </c>
      <c r="F28" s="120" t="str">
        <f t="shared" si="0"/>
        <v>Alto</v>
      </c>
      <c r="G28" s="122">
        <v>0.60869565217391297</v>
      </c>
      <c r="H28" s="122">
        <f t="shared" si="1"/>
        <v>0.60869565217391297</v>
      </c>
      <c r="I28" s="127"/>
      <c r="J28" s="127"/>
      <c r="K28" s="127"/>
      <c r="L28" s="127"/>
      <c r="M28" s="127"/>
      <c r="N28" s="127"/>
      <c r="O28" s="127"/>
      <c r="P28" s="127"/>
      <c r="Q28" s="127"/>
      <c r="R28" s="127"/>
    </row>
    <row r="29" spans="1:22" ht="15" customHeight="1" x14ac:dyDescent="0.25">
      <c r="A29" s="120">
        <v>2</v>
      </c>
      <c r="B29" s="120">
        <v>20</v>
      </c>
      <c r="C29" s="120">
        <v>129</v>
      </c>
      <c r="D29" s="121" t="s">
        <v>189</v>
      </c>
      <c r="E29" s="122">
        <f>'Insumo Ponderacion'!C31</f>
        <v>3.5</v>
      </c>
      <c r="F29" s="120" t="str">
        <f t="shared" si="0"/>
        <v>Alto</v>
      </c>
      <c r="G29" s="122">
        <v>0.39130434782608697</v>
      </c>
      <c r="H29" s="122">
        <f t="shared" si="1"/>
        <v>0.39130434782608697</v>
      </c>
      <c r="I29" s="127"/>
      <c r="J29" s="127"/>
      <c r="K29" s="127"/>
      <c r="L29" s="127"/>
      <c r="M29" s="127"/>
      <c r="N29" s="127"/>
      <c r="O29" s="127"/>
      <c r="P29" s="127"/>
      <c r="Q29" s="127"/>
      <c r="R29" s="127"/>
    </row>
    <row r="30" spans="1:22" ht="15" customHeight="1" x14ac:dyDescent="0.25">
      <c r="A30" s="120">
        <v>2</v>
      </c>
      <c r="B30" s="120">
        <v>21</v>
      </c>
      <c r="C30" s="120">
        <v>130</v>
      </c>
      <c r="D30" s="121" t="s">
        <v>194</v>
      </c>
      <c r="E30" s="122">
        <f>'Insumo Ponderacion'!C32</f>
        <v>3.125</v>
      </c>
      <c r="F30" s="120" t="str">
        <f t="shared" si="0"/>
        <v>Alto</v>
      </c>
      <c r="G30" s="122">
        <v>1</v>
      </c>
      <c r="H30" s="122">
        <f t="shared" si="1"/>
        <v>1</v>
      </c>
      <c r="I30" s="127"/>
      <c r="J30" s="127"/>
      <c r="K30" s="127"/>
      <c r="L30" s="127"/>
      <c r="M30" s="127"/>
      <c r="N30" s="127"/>
      <c r="O30" s="127"/>
      <c r="P30" s="127"/>
      <c r="Q30" s="127"/>
      <c r="R30" s="127"/>
    </row>
    <row r="31" spans="1:22" ht="15" customHeight="1" x14ac:dyDescent="0.25">
      <c r="A31" s="120">
        <v>2</v>
      </c>
      <c r="B31" s="120">
        <v>22</v>
      </c>
      <c r="C31" s="120">
        <v>131</v>
      </c>
      <c r="D31" s="121" t="s">
        <v>201</v>
      </c>
      <c r="E31" s="122">
        <f>'Insumo Ponderacion'!C33</f>
        <v>0.5</v>
      </c>
      <c r="F31" s="120" t="str">
        <f t="shared" si="0"/>
        <v>Medio</v>
      </c>
      <c r="G31" s="122">
        <v>1</v>
      </c>
      <c r="H31" s="122">
        <f t="shared" si="1"/>
        <v>0.5</v>
      </c>
      <c r="I31" s="127"/>
      <c r="J31" s="127"/>
      <c r="K31" s="127"/>
      <c r="L31" s="127"/>
      <c r="M31" s="127"/>
      <c r="N31" s="127"/>
      <c r="O31" s="127"/>
      <c r="P31" s="127"/>
      <c r="Q31" s="127"/>
      <c r="R31" s="127"/>
    </row>
    <row r="32" spans="1:22" ht="15" customHeight="1" x14ac:dyDescent="0.25">
      <c r="A32" s="120">
        <v>3</v>
      </c>
      <c r="B32" s="120">
        <v>24</v>
      </c>
      <c r="C32" s="120">
        <v>132</v>
      </c>
      <c r="D32" s="121" t="s">
        <v>206</v>
      </c>
      <c r="E32" s="122">
        <f>'Insumo Ponderacion'!C34</f>
        <v>0.25</v>
      </c>
      <c r="F32" s="120" t="str">
        <f t="shared" si="0"/>
        <v>Bajo</v>
      </c>
      <c r="G32" s="122">
        <v>0.26315789473684198</v>
      </c>
      <c r="H32" s="122">
        <f t="shared" si="1"/>
        <v>6.5789473684210495E-2</v>
      </c>
      <c r="I32" s="127"/>
      <c r="J32" s="127"/>
      <c r="K32" s="127"/>
      <c r="L32" s="127"/>
      <c r="M32" s="127"/>
      <c r="N32" s="127"/>
      <c r="O32" s="127"/>
      <c r="P32" s="127"/>
      <c r="Q32" s="127"/>
      <c r="R32" s="127"/>
    </row>
    <row r="33" spans="1:18" ht="15" customHeight="1" x14ac:dyDescent="0.25">
      <c r="A33" s="120">
        <v>3</v>
      </c>
      <c r="B33" s="120">
        <v>24</v>
      </c>
      <c r="C33" s="120">
        <v>133</v>
      </c>
      <c r="D33" s="121" t="s">
        <v>210</v>
      </c>
      <c r="E33" s="122">
        <f>'Insumo Ponderacion'!C35</f>
        <v>1.3333333333333333</v>
      </c>
      <c r="F33" s="120" t="str">
        <f t="shared" si="0"/>
        <v>Alto</v>
      </c>
      <c r="G33" s="122">
        <v>0.34210526315789502</v>
      </c>
      <c r="H33" s="122">
        <f t="shared" si="1"/>
        <v>0.34210526315789502</v>
      </c>
      <c r="I33" s="127"/>
      <c r="J33" s="127"/>
      <c r="K33" s="127"/>
      <c r="L33" s="127"/>
      <c r="M33" s="127"/>
      <c r="N33" s="127"/>
      <c r="O33" s="127"/>
      <c r="P33" s="127"/>
      <c r="Q33" s="127"/>
      <c r="R33" s="127"/>
    </row>
    <row r="34" spans="1:18" ht="15" customHeight="1" x14ac:dyDescent="0.25">
      <c r="A34" s="120">
        <v>3</v>
      </c>
      <c r="B34" s="120">
        <v>24</v>
      </c>
      <c r="C34" s="120">
        <v>134</v>
      </c>
      <c r="D34" s="121" t="s">
        <v>215</v>
      </c>
      <c r="E34" s="122">
        <f>'Insumo Ponderacion'!C36</f>
        <v>1.7333333333333334</v>
      </c>
      <c r="F34" s="120" t="str">
        <f t="shared" si="0"/>
        <v>Alto</v>
      </c>
      <c r="G34" s="122">
        <v>0.394736842105263</v>
      </c>
      <c r="H34" s="122">
        <f t="shared" si="1"/>
        <v>0.394736842105263</v>
      </c>
      <c r="I34" s="127"/>
      <c r="J34" s="127"/>
      <c r="K34" s="127"/>
      <c r="L34" s="127"/>
      <c r="M34" s="127"/>
      <c r="N34" s="127"/>
      <c r="O34" s="127"/>
      <c r="P34" s="127"/>
      <c r="Q34" s="127"/>
      <c r="R34" s="127"/>
    </row>
    <row r="35" spans="1:18" ht="15" customHeight="1" x14ac:dyDescent="0.25">
      <c r="A35" s="120">
        <v>3</v>
      </c>
      <c r="B35" s="120">
        <v>26</v>
      </c>
      <c r="C35" s="120">
        <v>135</v>
      </c>
      <c r="D35" s="121" t="s">
        <v>220</v>
      </c>
      <c r="E35" s="122">
        <f>'Insumo Ponderacion'!C37</f>
        <v>1.55</v>
      </c>
      <c r="F35" s="120" t="str">
        <f t="shared" si="0"/>
        <v>Alto</v>
      </c>
      <c r="G35" s="122">
        <v>1</v>
      </c>
      <c r="H35" s="122">
        <f t="shared" si="1"/>
        <v>1</v>
      </c>
      <c r="I35" s="127"/>
      <c r="J35" s="127"/>
      <c r="K35" s="127"/>
      <c r="L35" s="127"/>
      <c r="M35" s="127"/>
      <c r="N35" s="127"/>
      <c r="O35" s="127"/>
      <c r="P35" s="127"/>
      <c r="Q35" s="127"/>
      <c r="R35" s="127"/>
    </row>
    <row r="36" spans="1:18" ht="15" customHeight="1" x14ac:dyDescent="0.25">
      <c r="A36" s="120">
        <v>3</v>
      </c>
      <c r="B36" s="120">
        <v>27</v>
      </c>
      <c r="C36" s="120">
        <v>136</v>
      </c>
      <c r="D36" s="121" t="s">
        <v>226</v>
      </c>
      <c r="E36" s="122">
        <f>'Insumo Ponderacion'!C38</f>
        <v>1.3</v>
      </c>
      <c r="F36" s="120" t="str">
        <f t="shared" si="0"/>
        <v>Alto</v>
      </c>
      <c r="G36" s="122">
        <v>0.34285714285714303</v>
      </c>
      <c r="H36" s="122">
        <f t="shared" si="1"/>
        <v>0.34285714285714303</v>
      </c>
      <c r="I36" s="127"/>
      <c r="J36" s="127"/>
      <c r="K36" s="127"/>
      <c r="L36" s="127"/>
      <c r="M36" s="127"/>
      <c r="N36" s="127"/>
      <c r="O36" s="127"/>
      <c r="P36" s="127"/>
      <c r="Q36" s="127"/>
      <c r="R36" s="127"/>
    </row>
    <row r="37" spans="1:18" ht="15" customHeight="1" x14ac:dyDescent="0.25">
      <c r="A37" s="120">
        <v>3</v>
      </c>
      <c r="B37" s="120">
        <v>27</v>
      </c>
      <c r="C37" s="120">
        <v>137</v>
      </c>
      <c r="D37" s="121" t="s">
        <v>231</v>
      </c>
      <c r="E37" s="122">
        <f>'Insumo Ponderacion'!C39</f>
        <v>0.75</v>
      </c>
      <c r="F37" s="120" t="str">
        <f t="shared" si="0"/>
        <v>Alto</v>
      </c>
      <c r="G37" s="122">
        <v>0.34285714285714303</v>
      </c>
      <c r="H37" s="122">
        <f t="shared" si="1"/>
        <v>0.25714285714285728</v>
      </c>
      <c r="I37" s="127"/>
      <c r="J37" s="127"/>
      <c r="K37" s="127"/>
      <c r="L37" s="127"/>
      <c r="M37" s="127"/>
      <c r="N37" s="127"/>
      <c r="O37" s="127"/>
      <c r="P37" s="127"/>
      <c r="Q37" s="127"/>
      <c r="R37" s="127"/>
    </row>
    <row r="38" spans="1:18" ht="15" customHeight="1" x14ac:dyDescent="0.25">
      <c r="A38" s="120">
        <v>3</v>
      </c>
      <c r="B38" s="120">
        <v>27</v>
      </c>
      <c r="C38" s="120">
        <v>138</v>
      </c>
      <c r="D38" s="121" t="s">
        <v>233</v>
      </c>
      <c r="E38" s="122">
        <f>'Insumo Ponderacion'!C40</f>
        <v>1</v>
      </c>
      <c r="F38" s="120" t="str">
        <f t="shared" si="0"/>
        <v>Alto</v>
      </c>
      <c r="G38" s="122">
        <v>0.314285714285714</v>
      </c>
      <c r="H38" s="122">
        <f t="shared" si="1"/>
        <v>0.314285714285714</v>
      </c>
      <c r="I38" s="127"/>
      <c r="J38" s="127"/>
      <c r="K38" s="127"/>
      <c r="L38" s="127"/>
      <c r="M38" s="127"/>
      <c r="N38" s="127"/>
      <c r="O38" s="127"/>
      <c r="P38" s="127"/>
      <c r="Q38" s="127"/>
      <c r="R38" s="127"/>
    </row>
    <row r="39" spans="1:18" ht="15" customHeight="1" x14ac:dyDescent="0.25">
      <c r="A39" s="120">
        <v>3</v>
      </c>
      <c r="B39" s="120">
        <v>30</v>
      </c>
      <c r="C39" s="120">
        <v>139</v>
      </c>
      <c r="D39" s="121" t="s">
        <v>236</v>
      </c>
      <c r="E39" s="122">
        <f>'Insumo Ponderacion'!C41</f>
        <v>0.75</v>
      </c>
      <c r="F39" s="120" t="str">
        <f t="shared" si="0"/>
        <v>Alto</v>
      </c>
      <c r="G39" s="122">
        <v>1</v>
      </c>
      <c r="H39" s="122">
        <f t="shared" si="1"/>
        <v>0.75</v>
      </c>
      <c r="I39" s="127"/>
      <c r="J39" s="127"/>
      <c r="K39" s="127"/>
      <c r="L39" s="127"/>
      <c r="M39" s="127"/>
      <c r="N39" s="127"/>
      <c r="O39" s="127"/>
      <c r="P39" s="127"/>
      <c r="Q39" s="127"/>
      <c r="R39" s="127"/>
    </row>
    <row r="40" spans="1:18" ht="15" customHeight="1" x14ac:dyDescent="0.25">
      <c r="A40" s="120">
        <v>3</v>
      </c>
      <c r="B40" s="120">
        <v>31</v>
      </c>
      <c r="C40" s="120">
        <v>140</v>
      </c>
      <c r="D40" s="121" t="s">
        <v>241</v>
      </c>
      <c r="E40" s="122">
        <f>'Insumo Ponderacion'!C42</f>
        <v>1</v>
      </c>
      <c r="F40" s="120" t="str">
        <f t="shared" si="0"/>
        <v>Alto</v>
      </c>
      <c r="G40" s="122">
        <v>0.32558139534883701</v>
      </c>
      <c r="H40" s="122">
        <f t="shared" si="1"/>
        <v>0.32558139534883701</v>
      </c>
      <c r="I40" s="127"/>
      <c r="J40" s="127"/>
      <c r="K40" s="127"/>
      <c r="L40" s="127"/>
      <c r="M40" s="127"/>
      <c r="N40" s="127"/>
      <c r="O40" s="127"/>
      <c r="P40" s="127"/>
      <c r="Q40" s="127"/>
      <c r="R40" s="127"/>
    </row>
    <row r="41" spans="1:18" ht="15" customHeight="1" x14ac:dyDescent="0.25">
      <c r="A41" s="120">
        <v>3</v>
      </c>
      <c r="B41" s="120">
        <v>31</v>
      </c>
      <c r="C41" s="120">
        <v>141</v>
      </c>
      <c r="D41" s="121" t="s">
        <v>247</v>
      </c>
      <c r="E41" s="122">
        <f>'Insumo Ponderacion'!C43</f>
        <v>1</v>
      </c>
      <c r="F41" s="120" t="str">
        <f t="shared" si="0"/>
        <v>Alto</v>
      </c>
      <c r="G41" s="122">
        <v>0.32558139534883701</v>
      </c>
      <c r="H41" s="122">
        <f t="shared" si="1"/>
        <v>0.32558139534883701</v>
      </c>
      <c r="I41" s="127"/>
      <c r="J41" s="127"/>
      <c r="K41" s="127"/>
      <c r="L41" s="127"/>
      <c r="M41" s="127"/>
      <c r="N41" s="127"/>
      <c r="O41" s="127"/>
      <c r="P41" s="127"/>
      <c r="Q41" s="127"/>
      <c r="R41" s="127"/>
    </row>
    <row r="42" spans="1:18" ht="15" customHeight="1" x14ac:dyDescent="0.25">
      <c r="A42" s="120">
        <v>3</v>
      </c>
      <c r="B42" s="120">
        <v>31</v>
      </c>
      <c r="C42" s="120">
        <v>142</v>
      </c>
      <c r="D42" s="121" t="s">
        <v>251</v>
      </c>
      <c r="E42" s="122">
        <f>'Insumo Ponderacion'!C44</f>
        <v>1</v>
      </c>
      <c r="F42" s="120" t="str">
        <f t="shared" si="0"/>
        <v>Alto</v>
      </c>
      <c r="G42" s="122">
        <v>0.34883720930232598</v>
      </c>
      <c r="H42" s="122">
        <f t="shared" si="1"/>
        <v>0.34883720930232598</v>
      </c>
      <c r="I42" s="127"/>
      <c r="J42" s="127"/>
      <c r="K42" s="127"/>
      <c r="L42" s="127"/>
      <c r="M42" s="127"/>
      <c r="N42" s="127"/>
      <c r="O42" s="127"/>
      <c r="P42" s="127"/>
      <c r="Q42" s="127"/>
      <c r="R42" s="127"/>
    </row>
    <row r="43" spans="1:18" ht="15" customHeight="1" x14ac:dyDescent="0.25">
      <c r="A43" s="120">
        <v>3</v>
      </c>
      <c r="B43" s="120">
        <v>32</v>
      </c>
      <c r="C43" s="120">
        <v>143</v>
      </c>
      <c r="D43" s="121" t="s">
        <v>256</v>
      </c>
      <c r="E43" s="122">
        <f>'Insumo Ponderacion'!C45</f>
        <v>0.25</v>
      </c>
      <c r="F43" s="120" t="str">
        <f t="shared" si="0"/>
        <v>Bajo</v>
      </c>
      <c r="G43" s="122">
        <v>1</v>
      </c>
      <c r="H43" s="122">
        <f t="shared" si="1"/>
        <v>0.25</v>
      </c>
      <c r="I43" s="127"/>
      <c r="J43" s="127"/>
      <c r="K43" s="127"/>
      <c r="L43" s="127"/>
      <c r="M43" s="127"/>
      <c r="N43" s="127"/>
      <c r="O43" s="127"/>
      <c r="P43" s="127"/>
      <c r="Q43" s="127"/>
      <c r="R43" s="127"/>
    </row>
  </sheetData>
  <sheetProtection selectLockedCells="1" selectUnlockedCells="1"/>
  <autoFilter ref="A1:R43"/>
  <pageMargins left="0.17234848484848486" right="0.18465909090909091" top="0.75" bottom="0.75" header="0.30492424242424243" footer="0.51180555555555551"/>
  <pageSetup scale="65" firstPageNumber="0" orientation="landscape" horizontalDpi="300" verticalDpi="300" r:id="rId2"/>
  <headerFooter alignWithMargins="0">
    <oddHeader>&amp;CMATRIZ DE AVANCE PONDERADO CONTRATADO (Corte a 31 de Diciembre de 2016)
FONDO DE DESARROLLO LOCAL - ALCALDÍA LOCAL DE SANTA FE</oddHeader>
  </headerFooter>
  <rowBreaks count="1" manualBreakCount="1">
    <brk id="43" max="16383" man="1"/>
  </rowBreaks>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U43"/>
  <sheetViews>
    <sheetView view="pageLayout" topLeftCell="B1" zoomScale="80" zoomScaleNormal="100" zoomScalePageLayoutView="80" workbookViewId="0">
      <selection activeCell="O11" sqref="O11"/>
    </sheetView>
  </sheetViews>
  <sheetFormatPr baseColWidth="10" defaultColWidth="9.140625" defaultRowHeight="15" x14ac:dyDescent="0.25"/>
  <cols>
    <col min="4" max="4" width="47.7109375" customWidth="1"/>
    <col min="19" max="19" width="13.5703125" customWidth="1"/>
    <col min="20" max="20" width="34.85546875" customWidth="1"/>
    <col min="21" max="21" width="6" customWidth="1"/>
  </cols>
  <sheetData>
    <row r="1" spans="1:21" ht="88.5" customHeight="1" x14ac:dyDescent="0.25">
      <c r="A1" s="115" t="s">
        <v>10</v>
      </c>
      <c r="B1" s="115" t="s">
        <v>1250</v>
      </c>
      <c r="C1" s="115" t="s">
        <v>1251</v>
      </c>
      <c r="D1" s="115" t="s">
        <v>1252</v>
      </c>
      <c r="E1" s="115" t="s">
        <v>1269</v>
      </c>
      <c r="F1" s="115" t="s">
        <v>1270</v>
      </c>
      <c r="G1" s="118" t="s">
        <v>1255</v>
      </c>
      <c r="H1" s="115" t="s">
        <v>1256</v>
      </c>
      <c r="I1" s="115" t="s">
        <v>10</v>
      </c>
      <c r="J1" s="115" t="s">
        <v>1250</v>
      </c>
      <c r="K1" s="119" t="s">
        <v>1257</v>
      </c>
      <c r="L1" s="118" t="s">
        <v>1258</v>
      </c>
      <c r="M1" s="119" t="s">
        <v>1259</v>
      </c>
      <c r="N1" s="115" t="s">
        <v>10</v>
      </c>
      <c r="O1" s="115" t="s">
        <v>1260</v>
      </c>
      <c r="P1" s="118" t="s">
        <v>1261</v>
      </c>
      <c r="Q1" s="115" t="s">
        <v>1262</v>
      </c>
      <c r="R1" s="115" t="s">
        <v>1271</v>
      </c>
    </row>
    <row r="2" spans="1:21" ht="15" customHeight="1" x14ac:dyDescent="0.25">
      <c r="A2" s="120">
        <v>1</v>
      </c>
      <c r="B2" s="120">
        <v>1</v>
      </c>
      <c r="C2" s="120">
        <v>102</v>
      </c>
      <c r="D2" s="128" t="s">
        <v>42</v>
      </c>
      <c r="E2" s="122">
        <f>'Insumo Ponderacion'!D4</f>
        <v>1.0333333333333334</v>
      </c>
      <c r="F2" s="120" t="str">
        <f t="shared" ref="F2:F43" si="0">IF(E2&lt;=0.3,"Bajo",IF(E2&lt;0.7,"Medio",IF(E2&gt;=0.7,"Alto")))</f>
        <v>Alto</v>
      </c>
      <c r="G2" s="122">
        <v>0.51515151515151503</v>
      </c>
      <c r="H2" s="122">
        <f t="shared" ref="H2:H43" si="1">IF(E2*G2&gt;G2,G2,G2*E2)</f>
        <v>0.51515151515151503</v>
      </c>
      <c r="I2" s="120">
        <v>1</v>
      </c>
      <c r="J2" s="120">
        <v>1</v>
      </c>
      <c r="K2" s="122">
        <f t="shared" ref="K2:K18" si="2">SUMIF($B$2:$B$57,J2,$H$2:$H$57)</f>
        <v>0.96266666666666667</v>
      </c>
      <c r="L2" s="122">
        <v>0.169811320754717</v>
      </c>
      <c r="M2" s="123">
        <f t="shared" ref="M2:M18" si="3">L2*K2</f>
        <v>0.16347169811320755</v>
      </c>
      <c r="N2" s="129">
        <v>1</v>
      </c>
      <c r="O2" s="130">
        <f>SUMIF($I$2:$I$57,N2,$M$2:$M$57)</f>
        <v>0.81929521136382188</v>
      </c>
      <c r="P2" s="131">
        <v>0.37803138373751799</v>
      </c>
      <c r="Q2" s="132">
        <f>O2*P2</f>
        <v>0.30971930244138784</v>
      </c>
      <c r="R2" s="132">
        <f>SUM(Q2:Q4)</f>
        <v>0.82322026483960209</v>
      </c>
    </row>
    <row r="3" spans="1:21" ht="15" customHeight="1" x14ac:dyDescent="0.25">
      <c r="A3" s="120">
        <v>1</v>
      </c>
      <c r="B3" s="120">
        <v>1</v>
      </c>
      <c r="C3" s="120">
        <v>103</v>
      </c>
      <c r="D3" s="128" t="s">
        <v>51</v>
      </c>
      <c r="E3" s="122">
        <f>'Insumo Ponderacion'!D5</f>
        <v>0.92300000000000004</v>
      </c>
      <c r="F3" s="120" t="str">
        <f t="shared" si="0"/>
        <v>Alto</v>
      </c>
      <c r="G3" s="122">
        <v>0.48484848484848497</v>
      </c>
      <c r="H3" s="122">
        <f t="shared" si="1"/>
        <v>0.44751515151515164</v>
      </c>
      <c r="I3" s="120">
        <v>1</v>
      </c>
      <c r="J3" s="120">
        <v>2</v>
      </c>
      <c r="K3" s="122">
        <f t="shared" si="2"/>
        <v>0.84242424242424319</v>
      </c>
      <c r="L3" s="122">
        <v>0.15094339622641501</v>
      </c>
      <c r="M3" s="123">
        <f t="shared" si="3"/>
        <v>0.12715837621498002</v>
      </c>
      <c r="N3" s="129">
        <v>2</v>
      </c>
      <c r="O3" s="130">
        <f>SUMIF($I$2:$I$57,N3,$M$2:$M$57)</f>
        <v>0.75053048554484803</v>
      </c>
      <c r="P3" s="131">
        <v>0.33147451692387497</v>
      </c>
      <c r="Q3" s="132">
        <f>O3*P3</f>
        <v>0.24878173013261984</v>
      </c>
      <c r="R3" s="133"/>
    </row>
    <row r="4" spans="1:21" ht="15" customHeight="1" x14ac:dyDescent="0.25">
      <c r="A4" s="120">
        <v>1</v>
      </c>
      <c r="B4" s="120">
        <v>2</v>
      </c>
      <c r="C4" s="120">
        <v>104</v>
      </c>
      <c r="D4" s="128" t="s">
        <v>58</v>
      </c>
      <c r="E4" s="122">
        <f>'Insumo Ponderacion'!D6</f>
        <v>0.75</v>
      </c>
      <c r="F4" s="120" t="str">
        <f t="shared" si="0"/>
        <v>Alto</v>
      </c>
      <c r="G4" s="122">
        <v>0.36363636363636398</v>
      </c>
      <c r="H4" s="122">
        <f t="shared" si="1"/>
        <v>0.27272727272727298</v>
      </c>
      <c r="I4" s="120">
        <v>1</v>
      </c>
      <c r="J4" s="120">
        <v>3</v>
      </c>
      <c r="K4" s="122">
        <f t="shared" si="2"/>
        <v>0.99013698630136882</v>
      </c>
      <c r="L4" s="122">
        <v>0.18782161234991401</v>
      </c>
      <c r="M4" s="123">
        <f t="shared" si="3"/>
        <v>0.18596912521440781</v>
      </c>
      <c r="N4" s="129">
        <v>3</v>
      </c>
      <c r="O4" s="130">
        <f>SUMIF($I$2:$I$57,N4,$M$2:$M$57)</f>
        <v>0.91127232142857162</v>
      </c>
      <c r="P4" s="131">
        <v>0.29049409933860698</v>
      </c>
      <c r="Q4" s="132">
        <f>O4*P4</f>
        <v>0.26471923226559446</v>
      </c>
      <c r="R4" s="133"/>
    </row>
    <row r="5" spans="1:21" ht="15" customHeight="1" x14ac:dyDescent="0.25">
      <c r="A5" s="120">
        <v>1</v>
      </c>
      <c r="B5" s="120">
        <v>2</v>
      </c>
      <c r="C5" s="120">
        <v>105</v>
      </c>
      <c r="D5" s="128" t="s">
        <v>65</v>
      </c>
      <c r="E5" s="122">
        <f>'Insumo Ponderacion'!D7</f>
        <v>0.81666666666666665</v>
      </c>
      <c r="F5" s="120" t="str">
        <f t="shared" si="0"/>
        <v>Alto</v>
      </c>
      <c r="G5" s="122">
        <v>0.36363636363636398</v>
      </c>
      <c r="H5" s="122">
        <f t="shared" si="1"/>
        <v>0.29696969696969727</v>
      </c>
      <c r="I5" s="120">
        <v>1</v>
      </c>
      <c r="J5" s="120">
        <v>4</v>
      </c>
      <c r="K5" s="122">
        <f t="shared" si="2"/>
        <v>0</v>
      </c>
      <c r="L5" s="122">
        <v>0.12349914236706699</v>
      </c>
      <c r="M5" s="123">
        <f t="shared" si="3"/>
        <v>0</v>
      </c>
    </row>
    <row r="6" spans="1:21" ht="15" customHeight="1" x14ac:dyDescent="0.25">
      <c r="A6" s="120">
        <v>1</v>
      </c>
      <c r="B6" s="120">
        <v>2</v>
      </c>
      <c r="C6" s="120">
        <v>106</v>
      </c>
      <c r="D6" s="128" t="s">
        <v>67</v>
      </c>
      <c r="E6" s="122">
        <f>'Insumo Ponderacion'!D8</f>
        <v>1.3</v>
      </c>
      <c r="F6" s="120" t="str">
        <f t="shared" si="0"/>
        <v>Alto</v>
      </c>
      <c r="G6" s="122">
        <v>0.27272727272727298</v>
      </c>
      <c r="H6" s="122">
        <f t="shared" si="1"/>
        <v>0.27272727272727298</v>
      </c>
      <c r="I6" s="120">
        <v>1</v>
      </c>
      <c r="J6" s="120">
        <v>5</v>
      </c>
      <c r="K6" s="122">
        <f t="shared" si="2"/>
        <v>0.92909090909090997</v>
      </c>
      <c r="L6" s="122">
        <v>0.192967409948542</v>
      </c>
      <c r="M6" s="123">
        <f t="shared" si="3"/>
        <v>0.17928426633400918</v>
      </c>
    </row>
    <row r="7" spans="1:21" ht="15" customHeight="1" x14ac:dyDescent="0.25">
      <c r="A7" s="120">
        <v>1</v>
      </c>
      <c r="B7" s="120">
        <v>3</v>
      </c>
      <c r="C7" s="120">
        <v>107</v>
      </c>
      <c r="D7" s="128" t="s">
        <v>71</v>
      </c>
      <c r="E7" s="122">
        <f>'Insumo Ponderacion'!D9</f>
        <v>1.0625</v>
      </c>
      <c r="F7" s="120" t="str">
        <f t="shared" si="0"/>
        <v>Alto</v>
      </c>
      <c r="G7" s="122">
        <v>0.27397260273972601</v>
      </c>
      <c r="H7" s="122">
        <f t="shared" si="1"/>
        <v>0.27397260273972601</v>
      </c>
      <c r="I7" s="120">
        <v>1</v>
      </c>
      <c r="J7" s="120">
        <v>8</v>
      </c>
      <c r="K7" s="122">
        <f t="shared" si="2"/>
        <v>0.93401027077497667</v>
      </c>
      <c r="L7" s="122">
        <v>0.17495711835334499</v>
      </c>
      <c r="M7" s="123">
        <f t="shared" si="3"/>
        <v>0.1634117454872174</v>
      </c>
      <c r="S7" s="140" t="s">
        <v>1272</v>
      </c>
      <c r="T7" s="139"/>
      <c r="U7" s="327"/>
    </row>
    <row r="8" spans="1:21" ht="15" customHeight="1" x14ac:dyDescent="0.25">
      <c r="A8" s="120">
        <v>1</v>
      </c>
      <c r="B8" s="120">
        <v>3</v>
      </c>
      <c r="C8" s="120">
        <v>108</v>
      </c>
      <c r="D8" s="128" t="s">
        <v>78</v>
      </c>
      <c r="E8" s="122">
        <f>'Insumo Ponderacion'!D10</f>
        <v>1.2</v>
      </c>
      <c r="F8" s="120" t="str">
        <f t="shared" si="0"/>
        <v>Alto</v>
      </c>
      <c r="G8" s="122">
        <v>0.28767123287671198</v>
      </c>
      <c r="H8" s="122">
        <f t="shared" si="1"/>
        <v>0.28767123287671198</v>
      </c>
      <c r="I8" s="120">
        <v>2</v>
      </c>
      <c r="J8" s="120">
        <v>17</v>
      </c>
      <c r="K8" s="122">
        <f t="shared" si="2"/>
        <v>0.75000000000000022</v>
      </c>
      <c r="L8" s="122">
        <v>0.190140845070423</v>
      </c>
      <c r="M8" s="123">
        <f t="shared" si="3"/>
        <v>0.14260563380281729</v>
      </c>
      <c r="S8" s="140" t="s">
        <v>10</v>
      </c>
      <c r="T8" s="140" t="s">
        <v>1270</v>
      </c>
      <c r="U8" s="327" t="s">
        <v>34</v>
      </c>
    </row>
    <row r="9" spans="1:21" ht="15" customHeight="1" x14ac:dyDescent="0.25">
      <c r="A9" s="120">
        <v>1</v>
      </c>
      <c r="B9" s="120">
        <v>3</v>
      </c>
      <c r="C9" s="120">
        <v>109</v>
      </c>
      <c r="D9" s="128" t="s">
        <v>84</v>
      </c>
      <c r="E9" s="122">
        <f>'Insumo Ponderacion'!D11</f>
        <v>1.125</v>
      </c>
      <c r="F9" s="120" t="str">
        <f t="shared" si="0"/>
        <v>Alto</v>
      </c>
      <c r="G9" s="122">
        <v>0.19178082191780799</v>
      </c>
      <c r="H9" s="122">
        <f t="shared" si="1"/>
        <v>0.19178082191780799</v>
      </c>
      <c r="I9" s="120">
        <v>2</v>
      </c>
      <c r="J9" s="120">
        <v>19</v>
      </c>
      <c r="K9" s="122">
        <f t="shared" si="2"/>
        <v>0.39792580409356704</v>
      </c>
      <c r="L9" s="122">
        <v>0.25352112676056299</v>
      </c>
      <c r="M9" s="123">
        <f t="shared" si="3"/>
        <v>0.10088259822090416</v>
      </c>
      <c r="S9" s="138">
        <v>1</v>
      </c>
      <c r="T9" s="138" t="s">
        <v>1266</v>
      </c>
      <c r="U9" s="328">
        <v>7</v>
      </c>
    </row>
    <row r="10" spans="1:21" ht="15" customHeight="1" x14ac:dyDescent="0.25">
      <c r="A10" s="120">
        <v>1</v>
      </c>
      <c r="B10" s="120">
        <v>3</v>
      </c>
      <c r="C10" s="120">
        <v>110</v>
      </c>
      <c r="D10" s="128" t="s">
        <v>89</v>
      </c>
      <c r="E10" s="122">
        <f>'Insumo Ponderacion'!D12</f>
        <v>0.96</v>
      </c>
      <c r="F10" s="120" t="str">
        <f t="shared" si="0"/>
        <v>Alto</v>
      </c>
      <c r="G10" s="122">
        <v>0.24657534246575299</v>
      </c>
      <c r="H10" s="122">
        <f t="shared" si="1"/>
        <v>0.23671232876712286</v>
      </c>
      <c r="I10" s="120">
        <v>2</v>
      </c>
      <c r="J10" s="120">
        <v>20</v>
      </c>
      <c r="K10" s="122">
        <f t="shared" si="2"/>
        <v>0.69565217391304346</v>
      </c>
      <c r="L10" s="122">
        <v>0.161971830985916</v>
      </c>
      <c r="M10" s="123">
        <f t="shared" si="3"/>
        <v>0.11267605633802852</v>
      </c>
      <c r="S10" s="329"/>
      <c r="T10" s="330" t="s">
        <v>1265</v>
      </c>
      <c r="U10" s="331">
        <v>6</v>
      </c>
    </row>
    <row r="11" spans="1:21" ht="15" customHeight="1" x14ac:dyDescent="0.25">
      <c r="A11" s="120">
        <v>1</v>
      </c>
      <c r="B11" s="120">
        <v>4</v>
      </c>
      <c r="C11" s="120">
        <v>111</v>
      </c>
      <c r="D11" s="128" t="s">
        <v>94</v>
      </c>
      <c r="E11" s="122">
        <f>'Insumo Ponderacion'!D13</f>
        <v>0</v>
      </c>
      <c r="F11" s="120" t="str">
        <f t="shared" si="0"/>
        <v>Bajo</v>
      </c>
      <c r="G11" s="122">
        <v>1</v>
      </c>
      <c r="H11" s="122">
        <f t="shared" si="1"/>
        <v>0</v>
      </c>
      <c r="I11" s="120">
        <v>2</v>
      </c>
      <c r="J11" s="120">
        <v>21</v>
      </c>
      <c r="K11" s="122">
        <f t="shared" si="2"/>
        <v>1</v>
      </c>
      <c r="L11" s="122">
        <v>0.22535211267605601</v>
      </c>
      <c r="M11" s="123">
        <f t="shared" si="3"/>
        <v>0.22535211267605601</v>
      </c>
      <c r="S11" s="329"/>
      <c r="T11" s="330" t="s">
        <v>1267</v>
      </c>
      <c r="U11" s="331">
        <v>6</v>
      </c>
    </row>
    <row r="12" spans="1:21" ht="15" customHeight="1" x14ac:dyDescent="0.25">
      <c r="A12" s="120">
        <v>1</v>
      </c>
      <c r="B12" s="120">
        <v>5</v>
      </c>
      <c r="C12" s="120">
        <v>112</v>
      </c>
      <c r="D12" s="128" t="s">
        <v>102</v>
      </c>
      <c r="E12" s="122">
        <f>'Insumo Ponderacion'!D14</f>
        <v>2.0277777777777777</v>
      </c>
      <c r="F12" s="120" t="str">
        <f t="shared" si="0"/>
        <v>Alto</v>
      </c>
      <c r="G12" s="122">
        <v>0.266666666666667</v>
      </c>
      <c r="H12" s="122">
        <f t="shared" si="1"/>
        <v>0.266666666666667</v>
      </c>
      <c r="I12" s="120">
        <v>2</v>
      </c>
      <c r="J12" s="120">
        <v>22</v>
      </c>
      <c r="K12" s="122">
        <f t="shared" si="2"/>
        <v>1</v>
      </c>
      <c r="L12" s="122">
        <v>0.169014084507042</v>
      </c>
      <c r="M12" s="123">
        <f t="shared" si="3"/>
        <v>0.169014084507042</v>
      </c>
      <c r="S12" s="138">
        <v>2</v>
      </c>
      <c r="T12" s="138" t="s">
        <v>1266</v>
      </c>
      <c r="U12" s="328">
        <v>4</v>
      </c>
    </row>
    <row r="13" spans="1:21" ht="15" customHeight="1" x14ac:dyDescent="0.25">
      <c r="A13" s="120">
        <v>1</v>
      </c>
      <c r="B13" s="120">
        <v>5</v>
      </c>
      <c r="C13" s="120">
        <v>113</v>
      </c>
      <c r="D13" s="128" t="s">
        <v>110</v>
      </c>
      <c r="E13" s="122">
        <f>'Insumo Ponderacion'!D15</f>
        <v>0.95454545454545459</v>
      </c>
      <c r="F13" s="120" t="str">
        <f t="shared" si="0"/>
        <v>Alto</v>
      </c>
      <c r="G13" s="122">
        <v>0.24</v>
      </c>
      <c r="H13" s="122">
        <f t="shared" si="1"/>
        <v>0.2290909090909091</v>
      </c>
      <c r="I13" s="120">
        <v>3</v>
      </c>
      <c r="J13" s="120">
        <v>24</v>
      </c>
      <c r="K13" s="122">
        <f t="shared" si="2"/>
        <v>0.80263157894736858</v>
      </c>
      <c r="L13" s="122">
        <v>0.16964285714285701</v>
      </c>
      <c r="M13" s="123">
        <f t="shared" si="3"/>
        <v>0.13616071428571422</v>
      </c>
      <c r="S13" s="329"/>
      <c r="T13" s="330" t="s">
        <v>1265</v>
      </c>
      <c r="U13" s="331">
        <v>4</v>
      </c>
    </row>
    <row r="14" spans="1:21" ht="15" customHeight="1" x14ac:dyDescent="0.25">
      <c r="A14" s="120">
        <v>1</v>
      </c>
      <c r="B14" s="120">
        <v>5</v>
      </c>
      <c r="C14" s="120">
        <v>114</v>
      </c>
      <c r="D14" s="128" t="s">
        <v>112</v>
      </c>
      <c r="E14" s="122">
        <f>'Insumo Ponderacion'!D16</f>
        <v>0.86</v>
      </c>
      <c r="F14" s="120" t="str">
        <f t="shared" si="0"/>
        <v>Alto</v>
      </c>
      <c r="G14" s="122">
        <v>0.266666666666667</v>
      </c>
      <c r="H14" s="122">
        <f t="shared" si="1"/>
        <v>0.22933333333333361</v>
      </c>
      <c r="I14" s="120">
        <v>3</v>
      </c>
      <c r="J14" s="120">
        <v>26</v>
      </c>
      <c r="K14" s="122">
        <f t="shared" si="2"/>
        <v>1</v>
      </c>
      <c r="L14" s="122">
        <v>0.17410714285714299</v>
      </c>
      <c r="M14" s="123">
        <f t="shared" si="3"/>
        <v>0.17410714285714299</v>
      </c>
      <c r="S14" s="329"/>
      <c r="T14" s="330" t="s">
        <v>1267</v>
      </c>
      <c r="U14" s="331">
        <v>3</v>
      </c>
    </row>
    <row r="15" spans="1:21" ht="15" customHeight="1" x14ac:dyDescent="0.25">
      <c r="A15" s="120">
        <v>1</v>
      </c>
      <c r="B15" s="120">
        <v>5</v>
      </c>
      <c r="C15" s="120">
        <v>115</v>
      </c>
      <c r="D15" s="128" t="s">
        <v>116</v>
      </c>
      <c r="E15" s="122">
        <f>'Insumo Ponderacion'!D17</f>
        <v>0.9</v>
      </c>
      <c r="F15" s="120" t="str">
        <f t="shared" si="0"/>
        <v>Alto</v>
      </c>
      <c r="G15" s="122">
        <v>0.22666666666666699</v>
      </c>
      <c r="H15" s="122">
        <f t="shared" si="1"/>
        <v>0.20400000000000029</v>
      </c>
      <c r="I15" s="120">
        <v>3</v>
      </c>
      <c r="J15" s="120">
        <v>27</v>
      </c>
      <c r="K15" s="122">
        <f t="shared" si="2"/>
        <v>0.86071428571428577</v>
      </c>
      <c r="L15" s="122">
        <v>0.15625</v>
      </c>
      <c r="M15" s="123">
        <f t="shared" si="3"/>
        <v>0.13448660714285715</v>
      </c>
      <c r="S15" s="138">
        <v>3</v>
      </c>
      <c r="T15" s="138" t="s">
        <v>1266</v>
      </c>
      <c r="U15" s="328">
        <v>6</v>
      </c>
    </row>
    <row r="16" spans="1:21" ht="15" customHeight="1" x14ac:dyDescent="0.25">
      <c r="A16" s="120">
        <v>1</v>
      </c>
      <c r="B16" s="120">
        <v>8</v>
      </c>
      <c r="C16" s="120">
        <v>116</v>
      </c>
      <c r="D16" s="128" t="s">
        <v>120</v>
      </c>
      <c r="E16" s="122">
        <f>'Insumo Ponderacion'!D18</f>
        <v>1.5</v>
      </c>
      <c r="F16" s="120" t="str">
        <f t="shared" si="0"/>
        <v>Alto</v>
      </c>
      <c r="G16" s="122">
        <v>0.17647058823529399</v>
      </c>
      <c r="H16" s="122">
        <f t="shared" si="1"/>
        <v>0.17647058823529399</v>
      </c>
      <c r="I16" s="120">
        <v>3</v>
      </c>
      <c r="J16" s="120">
        <v>30</v>
      </c>
      <c r="K16" s="122">
        <f t="shared" si="2"/>
        <v>0.75</v>
      </c>
      <c r="L16" s="122">
        <v>0.13392857142857101</v>
      </c>
      <c r="M16" s="123">
        <f t="shared" si="3"/>
        <v>0.10044642857142826</v>
      </c>
      <c r="S16" s="329"/>
      <c r="T16" s="330" t="s">
        <v>1267</v>
      </c>
      <c r="U16" s="331">
        <v>6</v>
      </c>
    </row>
    <row r="17" spans="1:21" ht="15" customHeight="1" x14ac:dyDescent="0.25">
      <c r="A17" s="120">
        <v>1</v>
      </c>
      <c r="B17" s="120">
        <v>8</v>
      </c>
      <c r="C17" s="120">
        <v>117</v>
      </c>
      <c r="D17" s="128" t="s">
        <v>128</v>
      </c>
      <c r="E17" s="122">
        <f>'Insumo Ponderacion'!D19</f>
        <v>0.94444444444444442</v>
      </c>
      <c r="F17" s="120" t="str">
        <f t="shared" si="0"/>
        <v>Alto</v>
      </c>
      <c r="G17" s="122">
        <v>0.223529411764706</v>
      </c>
      <c r="H17" s="122">
        <f t="shared" si="1"/>
        <v>0.21111111111111122</v>
      </c>
      <c r="I17" s="120">
        <v>3</v>
      </c>
      <c r="J17" s="120">
        <v>31</v>
      </c>
      <c r="K17" s="122">
        <f t="shared" si="2"/>
        <v>1</v>
      </c>
      <c r="L17" s="122">
        <v>0.191964285714286</v>
      </c>
      <c r="M17" s="123">
        <f t="shared" si="3"/>
        <v>0.191964285714286</v>
      </c>
      <c r="S17" s="141" t="s">
        <v>1268</v>
      </c>
      <c r="T17" s="332"/>
      <c r="U17" s="333">
        <v>42</v>
      </c>
    </row>
    <row r="18" spans="1:21" ht="15" customHeight="1" x14ac:dyDescent="0.25">
      <c r="A18" s="120">
        <v>1</v>
      </c>
      <c r="B18" s="120">
        <v>8</v>
      </c>
      <c r="C18" s="120">
        <v>118</v>
      </c>
      <c r="D18" s="128" t="s">
        <v>134</v>
      </c>
      <c r="E18" s="122">
        <f>'Insumo Ponderacion'!D20</f>
        <v>1.2177777777777778</v>
      </c>
      <c r="F18" s="120" t="str">
        <f t="shared" si="0"/>
        <v>Alto</v>
      </c>
      <c r="G18" s="122">
        <v>0.188235294117647</v>
      </c>
      <c r="H18" s="122">
        <f t="shared" si="1"/>
        <v>0.188235294117647</v>
      </c>
      <c r="I18" s="120">
        <v>3</v>
      </c>
      <c r="J18" s="120">
        <v>32</v>
      </c>
      <c r="K18" s="122">
        <f t="shared" si="2"/>
        <v>1</v>
      </c>
      <c r="L18" s="122">
        <v>0.17410714285714299</v>
      </c>
      <c r="M18" s="123">
        <f t="shared" si="3"/>
        <v>0.17410714285714299</v>
      </c>
    </row>
    <row r="19" spans="1:21" ht="15" customHeight="1" x14ac:dyDescent="0.25">
      <c r="A19" s="120">
        <v>1</v>
      </c>
      <c r="B19" s="120">
        <v>8</v>
      </c>
      <c r="C19" s="120">
        <v>119</v>
      </c>
      <c r="D19" s="128" t="s">
        <v>139</v>
      </c>
      <c r="E19" s="122">
        <f>'Insumo Ponderacion'!D21</f>
        <v>0.6964285714285714</v>
      </c>
      <c r="F19" s="120" t="str">
        <f t="shared" si="0"/>
        <v>Medio</v>
      </c>
      <c r="G19" s="122">
        <v>0.17647058823529399</v>
      </c>
      <c r="H19" s="122">
        <f t="shared" si="1"/>
        <v>0.12289915966386546</v>
      </c>
    </row>
    <row r="20" spans="1:21" ht="15" customHeight="1" x14ac:dyDescent="0.25">
      <c r="A20" s="120">
        <v>1</v>
      </c>
      <c r="B20" s="120">
        <v>8</v>
      </c>
      <c r="C20" s="120">
        <v>120</v>
      </c>
      <c r="D20" s="128" t="s">
        <v>144</v>
      </c>
      <c r="E20" s="122">
        <f>'Insumo Ponderacion'!D22</f>
        <v>1.5</v>
      </c>
      <c r="F20" s="120" t="str">
        <f t="shared" si="0"/>
        <v>Alto</v>
      </c>
      <c r="G20" s="122">
        <v>0.23529411764705899</v>
      </c>
      <c r="H20" s="122">
        <f t="shared" si="1"/>
        <v>0.23529411764705899</v>
      </c>
    </row>
    <row r="21" spans="1:21" ht="15" customHeight="1" x14ac:dyDescent="0.25">
      <c r="A21" s="120">
        <v>2</v>
      </c>
      <c r="B21" s="120">
        <v>17</v>
      </c>
      <c r="C21" s="120">
        <v>121</v>
      </c>
      <c r="D21" s="128" t="s">
        <v>150</v>
      </c>
      <c r="E21" s="122">
        <f>'Insumo Ponderacion'!D23</f>
        <v>9.3333333333333339</v>
      </c>
      <c r="F21" s="120" t="str">
        <f t="shared" si="0"/>
        <v>Alto</v>
      </c>
      <c r="G21" s="122">
        <v>0.296296296296296</v>
      </c>
      <c r="H21" s="122">
        <f t="shared" si="1"/>
        <v>0.296296296296296</v>
      </c>
    </row>
    <row r="22" spans="1:21" ht="15" customHeight="1" x14ac:dyDescent="0.25">
      <c r="A22" s="120">
        <v>2</v>
      </c>
      <c r="B22" s="120">
        <v>17</v>
      </c>
      <c r="C22" s="120">
        <v>122</v>
      </c>
      <c r="D22" s="128" t="s">
        <v>158</v>
      </c>
      <c r="E22" s="122">
        <f>'Insumo Ponderacion'!D24</f>
        <v>0.92</v>
      </c>
      <c r="F22" s="120" t="str">
        <f t="shared" si="0"/>
        <v>Alto</v>
      </c>
      <c r="G22" s="122">
        <v>0.27777777777777801</v>
      </c>
      <c r="H22" s="122">
        <f t="shared" si="1"/>
        <v>0.25555555555555576</v>
      </c>
    </row>
    <row r="23" spans="1:21" ht="15" customHeight="1" x14ac:dyDescent="0.25">
      <c r="A23" s="120">
        <v>2</v>
      </c>
      <c r="B23" s="120">
        <v>17</v>
      </c>
      <c r="C23" s="120">
        <v>123</v>
      </c>
      <c r="D23" s="128" t="s">
        <v>161</v>
      </c>
      <c r="E23" s="122">
        <f>'Insumo Ponderacion'!D25</f>
        <v>0.8</v>
      </c>
      <c r="F23" s="120" t="str">
        <f t="shared" si="0"/>
        <v>Alto</v>
      </c>
      <c r="G23" s="122">
        <v>0.16666666666666699</v>
      </c>
      <c r="H23" s="122">
        <f t="shared" si="1"/>
        <v>0.13333333333333361</v>
      </c>
    </row>
    <row r="24" spans="1:21" ht="15" customHeight="1" x14ac:dyDescent="0.25">
      <c r="A24" s="120">
        <v>2</v>
      </c>
      <c r="B24" s="120">
        <v>17</v>
      </c>
      <c r="C24" s="120">
        <v>124</v>
      </c>
      <c r="D24" s="128" t="s">
        <v>164</v>
      </c>
      <c r="E24" s="122">
        <f>'Insumo Ponderacion'!D26</f>
        <v>0.25</v>
      </c>
      <c r="F24" s="120" t="str">
        <f t="shared" si="0"/>
        <v>Bajo</v>
      </c>
      <c r="G24" s="122">
        <v>0.25925925925925902</v>
      </c>
      <c r="H24" s="122">
        <f t="shared" si="1"/>
        <v>6.4814814814814756E-2</v>
      </c>
    </row>
    <row r="25" spans="1:21" ht="15" customHeight="1" x14ac:dyDescent="0.25">
      <c r="A25" s="120">
        <v>2</v>
      </c>
      <c r="B25" s="120">
        <v>19</v>
      </c>
      <c r="C25" s="120">
        <v>125</v>
      </c>
      <c r="D25" s="128" t="s">
        <v>168</v>
      </c>
      <c r="E25" s="122">
        <f>'Insumo Ponderacion'!D27</f>
        <v>7.8125E-2</v>
      </c>
      <c r="F25" s="120" t="str">
        <f t="shared" si="0"/>
        <v>Bajo</v>
      </c>
      <c r="G25" s="122">
        <v>0.38888888888888901</v>
      </c>
      <c r="H25" s="122">
        <f t="shared" si="1"/>
        <v>3.0381944444444454E-2</v>
      </c>
    </row>
    <row r="26" spans="1:21" ht="15" customHeight="1" x14ac:dyDescent="0.25">
      <c r="A26" s="120">
        <v>2</v>
      </c>
      <c r="B26" s="120">
        <v>19</v>
      </c>
      <c r="C26" s="120">
        <v>126</v>
      </c>
      <c r="D26" s="128" t="s">
        <v>176</v>
      </c>
      <c r="E26" s="122">
        <f>'Insumo Ponderacion'!D28</f>
        <v>0.37368421052631579</v>
      </c>
      <c r="F26" s="120" t="str">
        <f t="shared" si="0"/>
        <v>Medio</v>
      </c>
      <c r="G26" s="122">
        <v>0.38888888888888901</v>
      </c>
      <c r="H26" s="122">
        <f t="shared" si="1"/>
        <v>0.14532163742690063</v>
      </c>
    </row>
    <row r="27" spans="1:21" ht="15" customHeight="1" x14ac:dyDescent="0.25">
      <c r="A27" s="120">
        <v>2</v>
      </c>
      <c r="B27" s="120">
        <v>19</v>
      </c>
      <c r="C27" s="120">
        <v>127</v>
      </c>
      <c r="D27" s="128" t="s">
        <v>178</v>
      </c>
      <c r="E27" s="122">
        <f>'Insumo Ponderacion'!D29</f>
        <v>1.1187499999999999</v>
      </c>
      <c r="F27" s="120" t="str">
        <f t="shared" si="0"/>
        <v>Alto</v>
      </c>
      <c r="G27" s="122">
        <v>0.22222222222222199</v>
      </c>
      <c r="H27" s="122">
        <f t="shared" si="1"/>
        <v>0.22222222222222199</v>
      </c>
    </row>
    <row r="28" spans="1:21" ht="15" customHeight="1" x14ac:dyDescent="0.25">
      <c r="A28" s="120">
        <v>2</v>
      </c>
      <c r="B28" s="120">
        <v>20</v>
      </c>
      <c r="C28" s="120">
        <v>128</v>
      </c>
      <c r="D28" s="128" t="s">
        <v>184</v>
      </c>
      <c r="E28" s="122">
        <f>'Insumo Ponderacion'!D30</f>
        <v>0.5</v>
      </c>
      <c r="F28" s="120" t="str">
        <f t="shared" si="0"/>
        <v>Medio</v>
      </c>
      <c r="G28" s="122">
        <v>0.60869565217391297</v>
      </c>
      <c r="H28" s="122">
        <f t="shared" si="1"/>
        <v>0.30434782608695649</v>
      </c>
    </row>
    <row r="29" spans="1:21" ht="15" customHeight="1" x14ac:dyDescent="0.25">
      <c r="A29" s="120">
        <v>2</v>
      </c>
      <c r="B29" s="120">
        <v>20</v>
      </c>
      <c r="C29" s="120">
        <v>129</v>
      </c>
      <c r="D29" s="128" t="s">
        <v>189</v>
      </c>
      <c r="E29" s="122">
        <f>'Insumo Ponderacion'!D31</f>
        <v>2.5</v>
      </c>
      <c r="F29" s="120" t="str">
        <f t="shared" si="0"/>
        <v>Alto</v>
      </c>
      <c r="G29" s="122">
        <v>0.39130434782608697</v>
      </c>
      <c r="H29" s="122">
        <f t="shared" si="1"/>
        <v>0.39130434782608697</v>
      </c>
    </row>
    <row r="30" spans="1:21" ht="15" customHeight="1" x14ac:dyDescent="0.25">
      <c r="A30" s="120">
        <v>2</v>
      </c>
      <c r="B30" s="120">
        <v>21</v>
      </c>
      <c r="C30" s="120">
        <v>130</v>
      </c>
      <c r="D30" s="128" t="s">
        <v>194</v>
      </c>
      <c r="E30" s="122">
        <f>'Insumo Ponderacion'!D32</f>
        <v>1</v>
      </c>
      <c r="F30" s="120" t="str">
        <f t="shared" si="0"/>
        <v>Alto</v>
      </c>
      <c r="G30" s="122">
        <v>1</v>
      </c>
      <c r="H30" s="122">
        <f t="shared" si="1"/>
        <v>1</v>
      </c>
    </row>
    <row r="31" spans="1:21" ht="15" customHeight="1" x14ac:dyDescent="0.25">
      <c r="A31" s="120">
        <v>2</v>
      </c>
      <c r="B31" s="120">
        <v>22</v>
      </c>
      <c r="C31" s="120">
        <v>131</v>
      </c>
      <c r="D31" s="128" t="s">
        <v>201</v>
      </c>
      <c r="E31" s="122">
        <f>'Insumo Ponderacion'!D33</f>
        <v>3.125</v>
      </c>
      <c r="F31" s="120" t="str">
        <f t="shared" si="0"/>
        <v>Alto</v>
      </c>
      <c r="G31" s="122">
        <v>1</v>
      </c>
      <c r="H31" s="122">
        <f t="shared" si="1"/>
        <v>1</v>
      </c>
    </row>
    <row r="32" spans="1:21" ht="15" customHeight="1" x14ac:dyDescent="0.25">
      <c r="A32" s="120">
        <v>3</v>
      </c>
      <c r="B32" s="120">
        <v>24</v>
      </c>
      <c r="C32" s="120">
        <v>132</v>
      </c>
      <c r="D32" s="128" t="s">
        <v>206</v>
      </c>
      <c r="E32" s="122">
        <f>'Insumo Ponderacion'!D34</f>
        <v>0.25</v>
      </c>
      <c r="F32" s="120" t="str">
        <f t="shared" si="0"/>
        <v>Bajo</v>
      </c>
      <c r="G32" s="122">
        <v>0.26315789473684198</v>
      </c>
      <c r="H32" s="122">
        <f t="shared" si="1"/>
        <v>6.5789473684210495E-2</v>
      </c>
    </row>
    <row r="33" spans="1:8" ht="15" customHeight="1" x14ac:dyDescent="0.25">
      <c r="A33" s="120">
        <v>3</v>
      </c>
      <c r="B33" s="120">
        <v>24</v>
      </c>
      <c r="C33" s="120">
        <v>133</v>
      </c>
      <c r="D33" s="128" t="s">
        <v>210</v>
      </c>
      <c r="E33" s="122">
        <f>'Insumo Ponderacion'!D35</f>
        <v>1.3333333333333333</v>
      </c>
      <c r="F33" s="120" t="str">
        <f t="shared" si="0"/>
        <v>Alto</v>
      </c>
      <c r="G33" s="122">
        <v>0.34210526315789502</v>
      </c>
      <c r="H33" s="122">
        <f t="shared" si="1"/>
        <v>0.34210526315789502</v>
      </c>
    </row>
    <row r="34" spans="1:8" ht="15" customHeight="1" x14ac:dyDescent="0.25">
      <c r="A34" s="120">
        <v>3</v>
      </c>
      <c r="B34" s="120">
        <v>24</v>
      </c>
      <c r="C34" s="120">
        <v>134</v>
      </c>
      <c r="D34" s="128" t="s">
        <v>215</v>
      </c>
      <c r="E34" s="122">
        <f>'Insumo Ponderacion'!D36</f>
        <v>1.3333333333333333</v>
      </c>
      <c r="F34" s="120" t="str">
        <f t="shared" si="0"/>
        <v>Alto</v>
      </c>
      <c r="G34" s="122">
        <v>0.394736842105263</v>
      </c>
      <c r="H34" s="122">
        <f t="shared" si="1"/>
        <v>0.394736842105263</v>
      </c>
    </row>
    <row r="35" spans="1:8" ht="15" customHeight="1" x14ac:dyDescent="0.25">
      <c r="A35" s="120">
        <v>3</v>
      </c>
      <c r="B35" s="120">
        <v>26</v>
      </c>
      <c r="C35" s="120">
        <v>135</v>
      </c>
      <c r="D35" s="128" t="s">
        <v>220</v>
      </c>
      <c r="E35" s="122">
        <f>'Insumo Ponderacion'!D37</f>
        <v>1.55</v>
      </c>
      <c r="F35" s="120" t="str">
        <f t="shared" si="0"/>
        <v>Alto</v>
      </c>
      <c r="G35" s="122">
        <v>1</v>
      </c>
      <c r="H35" s="122">
        <f t="shared" si="1"/>
        <v>1</v>
      </c>
    </row>
    <row r="36" spans="1:8" ht="15" customHeight="1" x14ac:dyDescent="0.25">
      <c r="A36" s="120">
        <v>3</v>
      </c>
      <c r="B36" s="120">
        <v>27</v>
      </c>
      <c r="C36" s="120">
        <v>136</v>
      </c>
      <c r="D36" s="128" t="s">
        <v>226</v>
      </c>
      <c r="E36" s="122">
        <f>'Insumo Ponderacion'!D38</f>
        <v>0.96250000000000002</v>
      </c>
      <c r="F36" s="120" t="str">
        <f t="shared" si="0"/>
        <v>Alto</v>
      </c>
      <c r="G36" s="122">
        <v>0.34285714285714303</v>
      </c>
      <c r="H36" s="122">
        <f t="shared" si="1"/>
        <v>0.33000000000000018</v>
      </c>
    </row>
    <row r="37" spans="1:8" ht="15" customHeight="1" x14ac:dyDescent="0.25">
      <c r="A37" s="120">
        <v>3</v>
      </c>
      <c r="B37" s="120">
        <v>27</v>
      </c>
      <c r="C37" s="120">
        <v>137</v>
      </c>
      <c r="D37" s="128" t="s">
        <v>231</v>
      </c>
      <c r="E37" s="122">
        <f>'Insumo Ponderacion'!D39</f>
        <v>0.63124999999999998</v>
      </c>
      <c r="F37" s="120" t="str">
        <f t="shared" si="0"/>
        <v>Medio</v>
      </c>
      <c r="G37" s="122">
        <v>0.34285714285714303</v>
      </c>
      <c r="H37" s="122">
        <f t="shared" si="1"/>
        <v>0.21642857142857153</v>
      </c>
    </row>
    <row r="38" spans="1:8" ht="15" customHeight="1" x14ac:dyDescent="0.25">
      <c r="A38" s="120">
        <v>3</v>
      </c>
      <c r="B38" s="120">
        <v>27</v>
      </c>
      <c r="C38" s="120">
        <v>138</v>
      </c>
      <c r="D38" s="128" t="s">
        <v>233</v>
      </c>
      <c r="E38" s="122">
        <f>'Insumo Ponderacion'!D40</f>
        <v>1.125</v>
      </c>
      <c r="F38" s="120" t="str">
        <f t="shared" si="0"/>
        <v>Alto</v>
      </c>
      <c r="G38" s="122">
        <v>0.314285714285714</v>
      </c>
      <c r="H38" s="122">
        <f t="shared" si="1"/>
        <v>0.314285714285714</v>
      </c>
    </row>
    <row r="39" spans="1:8" ht="15" customHeight="1" x14ac:dyDescent="0.25">
      <c r="A39" s="120">
        <v>3</v>
      </c>
      <c r="B39" s="120">
        <v>30</v>
      </c>
      <c r="C39" s="120">
        <v>139</v>
      </c>
      <c r="D39" s="128" t="s">
        <v>236</v>
      </c>
      <c r="E39" s="122">
        <f>'Insumo Ponderacion'!D41</f>
        <v>0.75</v>
      </c>
      <c r="F39" s="120" t="str">
        <f t="shared" si="0"/>
        <v>Alto</v>
      </c>
      <c r="G39" s="122">
        <v>1</v>
      </c>
      <c r="H39" s="122">
        <f t="shared" si="1"/>
        <v>0.75</v>
      </c>
    </row>
    <row r="40" spans="1:8" ht="15" customHeight="1" x14ac:dyDescent="0.25">
      <c r="A40" s="120">
        <v>3</v>
      </c>
      <c r="B40" s="120">
        <v>31</v>
      </c>
      <c r="C40" s="120">
        <v>140</v>
      </c>
      <c r="D40" s="128" t="s">
        <v>241</v>
      </c>
      <c r="E40" s="122">
        <f>'Insumo Ponderacion'!D42</f>
        <v>1</v>
      </c>
      <c r="F40" s="120" t="str">
        <f t="shared" si="0"/>
        <v>Alto</v>
      </c>
      <c r="G40" s="122">
        <v>0.32558139534883701</v>
      </c>
      <c r="H40" s="122">
        <f t="shared" si="1"/>
        <v>0.32558139534883701</v>
      </c>
    </row>
    <row r="41" spans="1:8" ht="15" customHeight="1" x14ac:dyDescent="0.25">
      <c r="A41" s="120">
        <v>3</v>
      </c>
      <c r="B41" s="120">
        <v>31</v>
      </c>
      <c r="C41" s="120">
        <v>141</v>
      </c>
      <c r="D41" s="128" t="s">
        <v>247</v>
      </c>
      <c r="E41" s="122">
        <f>'Insumo Ponderacion'!D43</f>
        <v>1</v>
      </c>
      <c r="F41" s="120" t="str">
        <f t="shared" si="0"/>
        <v>Alto</v>
      </c>
      <c r="G41" s="122">
        <v>0.32558139534883701</v>
      </c>
      <c r="H41" s="122">
        <f t="shared" si="1"/>
        <v>0.32558139534883701</v>
      </c>
    </row>
    <row r="42" spans="1:8" ht="15" customHeight="1" x14ac:dyDescent="0.25">
      <c r="A42" s="120">
        <v>3</v>
      </c>
      <c r="B42" s="120">
        <v>31</v>
      </c>
      <c r="C42" s="120">
        <v>142</v>
      </c>
      <c r="D42" s="128" t="s">
        <v>251</v>
      </c>
      <c r="E42" s="122">
        <f>'Insumo Ponderacion'!D44</f>
        <v>1</v>
      </c>
      <c r="F42" s="120" t="str">
        <f t="shared" si="0"/>
        <v>Alto</v>
      </c>
      <c r="G42" s="122">
        <v>0.34883720930232598</v>
      </c>
      <c r="H42" s="122">
        <f t="shared" si="1"/>
        <v>0.34883720930232598</v>
      </c>
    </row>
    <row r="43" spans="1:8" ht="15" customHeight="1" x14ac:dyDescent="0.25">
      <c r="A43" s="120">
        <v>3</v>
      </c>
      <c r="B43" s="120">
        <v>32</v>
      </c>
      <c r="C43" s="120">
        <v>143</v>
      </c>
      <c r="D43" s="128" t="s">
        <v>256</v>
      </c>
      <c r="E43" s="122">
        <f>'Insumo Ponderacion'!D45</f>
        <v>1</v>
      </c>
      <c r="F43" s="120" t="str">
        <f t="shared" si="0"/>
        <v>Alto</v>
      </c>
      <c r="G43" s="122">
        <v>1</v>
      </c>
      <c r="H43" s="122">
        <f t="shared" si="1"/>
        <v>1</v>
      </c>
    </row>
  </sheetData>
  <sheetProtection selectLockedCells="1" selectUnlockedCells="1"/>
  <pageMargins left="0.31818181818181818" right="0.25852272727272729" top="0.75" bottom="0.75" header="0.33333333333333331" footer="0.51180555555555551"/>
  <pageSetup scale="65" firstPageNumber="0" orientation="landscape" horizontalDpi="300" verticalDpi="300" r:id="rId2"/>
  <headerFooter alignWithMargins="0">
    <oddHeader>&amp;CMATRIZ DE AVANCE PONDERADO REAL (Corte a 31 de Diciembre de 2016)
FONDO DE DESARROLLO LOCAL - ALCALDÍA LOCAL DE SANTA FE</oddHeader>
  </headerFooter>
  <rowBreaks count="1" manualBreakCount="1">
    <brk id="43" max="16383" man="1"/>
  </rowBreaks>
  <colBreaks count="1" manualBreakCount="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6"/>
  <sheetViews>
    <sheetView topLeftCell="A8" zoomScale="60" zoomScaleNormal="60" workbookViewId="0">
      <selection activeCell="D4" sqref="D4:D45"/>
    </sheetView>
  </sheetViews>
  <sheetFormatPr baseColWidth="10" defaultColWidth="13.140625" defaultRowHeight="15" x14ac:dyDescent="0.25"/>
  <sheetData>
    <row r="3" spans="1:4" x14ac:dyDescent="0.25">
      <c r="A3" s="479" t="s">
        <v>14</v>
      </c>
      <c r="B3" s="479" t="s">
        <v>15</v>
      </c>
      <c r="C3" t="s">
        <v>1274</v>
      </c>
      <c r="D3" t="s">
        <v>1371</v>
      </c>
    </row>
    <row r="4" spans="1:4" x14ac:dyDescent="0.25">
      <c r="A4">
        <v>102</v>
      </c>
      <c r="B4" t="s">
        <v>42</v>
      </c>
      <c r="C4" s="480">
        <v>0.9</v>
      </c>
      <c r="D4" s="480">
        <v>1.0333333333333334</v>
      </c>
    </row>
    <row r="5" spans="1:4" x14ac:dyDescent="0.25">
      <c r="A5">
        <v>103</v>
      </c>
      <c r="B5" t="s">
        <v>51</v>
      </c>
      <c r="C5" s="480">
        <v>0.92300000000000004</v>
      </c>
      <c r="D5" s="480">
        <v>0.92300000000000004</v>
      </c>
    </row>
    <row r="6" spans="1:4" x14ac:dyDescent="0.25">
      <c r="A6">
        <v>104</v>
      </c>
      <c r="B6" t="s">
        <v>58</v>
      </c>
      <c r="C6" s="480">
        <v>1.0908333333333333</v>
      </c>
      <c r="D6" s="480">
        <v>0.75</v>
      </c>
    </row>
    <row r="7" spans="1:4" x14ac:dyDescent="0.25">
      <c r="A7">
        <v>105</v>
      </c>
      <c r="B7" t="s">
        <v>65</v>
      </c>
      <c r="C7" s="480">
        <v>1.5</v>
      </c>
      <c r="D7" s="480">
        <v>0.81666666666666665</v>
      </c>
    </row>
    <row r="8" spans="1:4" x14ac:dyDescent="0.25">
      <c r="A8">
        <v>106</v>
      </c>
      <c r="B8" t="s">
        <v>67</v>
      </c>
      <c r="C8" s="480">
        <v>1.09375</v>
      </c>
      <c r="D8" s="480">
        <v>1.3</v>
      </c>
    </row>
    <row r="9" spans="1:4" x14ac:dyDescent="0.25">
      <c r="A9">
        <v>107</v>
      </c>
      <c r="B9" t="s">
        <v>71</v>
      </c>
      <c r="C9" s="480">
        <v>1.2375</v>
      </c>
      <c r="D9" s="480">
        <v>1.0625</v>
      </c>
    </row>
    <row r="10" spans="1:4" x14ac:dyDescent="0.25">
      <c r="A10">
        <v>108</v>
      </c>
      <c r="B10" t="s">
        <v>78</v>
      </c>
      <c r="C10" s="480">
        <v>1.2</v>
      </c>
      <c r="D10" s="480">
        <v>1.2</v>
      </c>
    </row>
    <row r="11" spans="1:4" x14ac:dyDescent="0.25">
      <c r="A11">
        <v>109</v>
      </c>
      <c r="B11" t="s">
        <v>84</v>
      </c>
      <c r="C11" s="480">
        <v>1.125</v>
      </c>
      <c r="D11" s="480">
        <v>1.125</v>
      </c>
    </row>
    <row r="12" spans="1:4" x14ac:dyDescent="0.25">
      <c r="A12">
        <v>110</v>
      </c>
      <c r="B12" t="s">
        <v>89</v>
      </c>
      <c r="C12" s="480">
        <v>0.94333333333333336</v>
      </c>
      <c r="D12" s="480">
        <v>0.96</v>
      </c>
    </row>
    <row r="13" spans="1:4" x14ac:dyDescent="0.25">
      <c r="A13">
        <v>111</v>
      </c>
      <c r="B13" t="s">
        <v>94</v>
      </c>
      <c r="C13" s="480">
        <v>1.25</v>
      </c>
      <c r="D13" s="480">
        <v>0</v>
      </c>
    </row>
    <row r="14" spans="1:4" x14ac:dyDescent="0.25">
      <c r="A14">
        <v>112</v>
      </c>
      <c r="B14" t="s">
        <v>102</v>
      </c>
      <c r="C14" s="480">
        <v>1.9722222222222223</v>
      </c>
      <c r="D14" s="480">
        <v>2.0277777777777777</v>
      </c>
    </row>
    <row r="15" spans="1:4" x14ac:dyDescent="0.25">
      <c r="A15">
        <v>113</v>
      </c>
      <c r="B15" t="s">
        <v>110</v>
      </c>
      <c r="C15" s="480">
        <v>0.95454545454545459</v>
      </c>
      <c r="D15" s="480">
        <v>0.95454545454545459</v>
      </c>
    </row>
    <row r="16" spans="1:4" x14ac:dyDescent="0.25">
      <c r="A16">
        <v>114</v>
      </c>
      <c r="B16" t="s">
        <v>112</v>
      </c>
      <c r="C16" s="480">
        <v>0.86</v>
      </c>
      <c r="D16" s="480">
        <v>0.86</v>
      </c>
    </row>
    <row r="17" spans="1:4" x14ac:dyDescent="0.25">
      <c r="A17">
        <v>115</v>
      </c>
      <c r="B17" t="s">
        <v>116</v>
      </c>
      <c r="C17" s="480">
        <v>0.9</v>
      </c>
      <c r="D17" s="480">
        <v>0.9</v>
      </c>
    </row>
    <row r="18" spans="1:4" x14ac:dyDescent="0.25">
      <c r="A18">
        <v>116</v>
      </c>
      <c r="B18" t="s">
        <v>120</v>
      </c>
      <c r="C18" s="480">
        <v>1.5</v>
      </c>
      <c r="D18" s="480">
        <v>1.5</v>
      </c>
    </row>
    <row r="19" spans="1:4" x14ac:dyDescent="0.25">
      <c r="A19">
        <v>117</v>
      </c>
      <c r="B19" t="s">
        <v>128</v>
      </c>
      <c r="C19" s="480">
        <v>1.0833333333333333</v>
      </c>
      <c r="D19" s="480">
        <v>0.94444444444444442</v>
      </c>
    </row>
    <row r="20" spans="1:4" x14ac:dyDescent="0.25">
      <c r="A20">
        <v>118</v>
      </c>
      <c r="B20" t="s">
        <v>134</v>
      </c>
      <c r="C20" s="480">
        <v>1.47</v>
      </c>
      <c r="D20" s="480">
        <v>1.2177777777777778</v>
      </c>
    </row>
    <row r="21" spans="1:4" x14ac:dyDescent="0.25">
      <c r="A21">
        <v>119</v>
      </c>
      <c r="B21" t="s">
        <v>139</v>
      </c>
      <c r="C21" s="480">
        <v>0.9464285714285714</v>
      </c>
      <c r="D21" s="480">
        <v>0.6964285714285714</v>
      </c>
    </row>
    <row r="22" spans="1:4" x14ac:dyDescent="0.25">
      <c r="A22">
        <v>120</v>
      </c>
      <c r="B22" t="s">
        <v>144</v>
      </c>
      <c r="C22" s="480">
        <v>0.75</v>
      </c>
      <c r="D22" s="480">
        <v>1.5</v>
      </c>
    </row>
    <row r="23" spans="1:4" x14ac:dyDescent="0.25">
      <c r="A23">
        <v>121</v>
      </c>
      <c r="B23" t="s">
        <v>150</v>
      </c>
      <c r="C23" s="480">
        <v>7.333333333333333</v>
      </c>
      <c r="D23" s="480">
        <v>9.3333333333333339</v>
      </c>
    </row>
    <row r="24" spans="1:4" x14ac:dyDescent="0.25">
      <c r="A24">
        <v>122</v>
      </c>
      <c r="B24" t="s">
        <v>158</v>
      </c>
      <c r="C24" s="480">
        <v>1</v>
      </c>
      <c r="D24" s="480">
        <v>0.92</v>
      </c>
    </row>
    <row r="25" spans="1:4" x14ac:dyDescent="0.25">
      <c r="A25">
        <v>123</v>
      </c>
      <c r="B25" t="s">
        <v>161</v>
      </c>
      <c r="C25" s="480">
        <v>2.0499999999999998</v>
      </c>
      <c r="D25" s="480">
        <v>0.8</v>
      </c>
    </row>
    <row r="26" spans="1:4" x14ac:dyDescent="0.25">
      <c r="A26">
        <v>124</v>
      </c>
      <c r="B26" t="s">
        <v>164</v>
      </c>
      <c r="C26" s="480">
        <v>0.25</v>
      </c>
      <c r="D26" s="480">
        <v>0.25</v>
      </c>
    </row>
    <row r="27" spans="1:4" x14ac:dyDescent="0.25">
      <c r="A27">
        <v>125</v>
      </c>
      <c r="B27" t="s">
        <v>168</v>
      </c>
      <c r="C27" s="480">
        <v>7.7968750000000003E-2</v>
      </c>
      <c r="D27" s="480">
        <v>7.8125E-2</v>
      </c>
    </row>
    <row r="28" spans="1:4" x14ac:dyDescent="0.25">
      <c r="A28">
        <v>126</v>
      </c>
      <c r="B28" t="s">
        <v>176</v>
      </c>
      <c r="C28" s="480">
        <v>0.5</v>
      </c>
      <c r="D28" s="480">
        <v>0.37368421052631579</v>
      </c>
    </row>
    <row r="29" spans="1:4" x14ac:dyDescent="0.25">
      <c r="A29">
        <v>127</v>
      </c>
      <c r="B29" t="s">
        <v>178</v>
      </c>
      <c r="C29" s="480">
        <v>1.33</v>
      </c>
      <c r="D29" s="480">
        <v>1.1187499999999999</v>
      </c>
    </row>
    <row r="30" spans="1:4" x14ac:dyDescent="0.25">
      <c r="A30">
        <v>128</v>
      </c>
      <c r="B30" t="s">
        <v>184</v>
      </c>
      <c r="C30" s="480">
        <v>1</v>
      </c>
      <c r="D30" s="480">
        <v>0.5</v>
      </c>
    </row>
    <row r="31" spans="1:4" x14ac:dyDescent="0.25">
      <c r="A31">
        <v>129</v>
      </c>
      <c r="B31" t="s">
        <v>189</v>
      </c>
      <c r="C31" s="480">
        <v>3.5</v>
      </c>
      <c r="D31" s="480">
        <v>2.5</v>
      </c>
    </row>
    <row r="32" spans="1:4" x14ac:dyDescent="0.25">
      <c r="A32">
        <v>130</v>
      </c>
      <c r="B32" t="s">
        <v>194</v>
      </c>
      <c r="C32" s="480">
        <v>3.125</v>
      </c>
      <c r="D32" s="480">
        <v>1</v>
      </c>
    </row>
    <row r="33" spans="1:4" x14ac:dyDescent="0.25">
      <c r="A33">
        <v>131</v>
      </c>
      <c r="B33" t="s">
        <v>201</v>
      </c>
      <c r="C33" s="480">
        <v>0.5</v>
      </c>
      <c r="D33" s="480">
        <v>3.125</v>
      </c>
    </row>
    <row r="34" spans="1:4" x14ac:dyDescent="0.25">
      <c r="A34">
        <v>132</v>
      </c>
      <c r="B34" t="s">
        <v>206</v>
      </c>
      <c r="C34" s="480">
        <v>0.25</v>
      </c>
      <c r="D34" s="480">
        <v>0.25</v>
      </c>
    </row>
    <row r="35" spans="1:4" x14ac:dyDescent="0.25">
      <c r="A35">
        <v>133</v>
      </c>
      <c r="B35" t="s">
        <v>210</v>
      </c>
      <c r="C35" s="480">
        <v>1.3333333333333333</v>
      </c>
      <c r="D35" s="480">
        <v>1.3333333333333333</v>
      </c>
    </row>
    <row r="36" spans="1:4" x14ac:dyDescent="0.25">
      <c r="A36">
        <v>134</v>
      </c>
      <c r="B36" t="s">
        <v>215</v>
      </c>
      <c r="C36" s="480">
        <v>1.7333333333333334</v>
      </c>
      <c r="D36" s="480">
        <v>1.3333333333333333</v>
      </c>
    </row>
    <row r="37" spans="1:4" x14ac:dyDescent="0.25">
      <c r="A37">
        <v>135</v>
      </c>
      <c r="B37" t="s">
        <v>220</v>
      </c>
      <c r="C37" s="480">
        <v>1.55</v>
      </c>
      <c r="D37" s="480">
        <v>1.55</v>
      </c>
    </row>
    <row r="38" spans="1:4" x14ac:dyDescent="0.25">
      <c r="A38">
        <v>136</v>
      </c>
      <c r="B38" t="s">
        <v>226</v>
      </c>
      <c r="C38" s="480">
        <v>1.3</v>
      </c>
      <c r="D38" s="480">
        <v>0.96250000000000002</v>
      </c>
    </row>
    <row r="39" spans="1:4" x14ac:dyDescent="0.25">
      <c r="A39">
        <v>137</v>
      </c>
      <c r="B39" t="s">
        <v>231</v>
      </c>
      <c r="C39" s="480">
        <v>0.75</v>
      </c>
      <c r="D39" s="480">
        <v>0.63124999999999998</v>
      </c>
    </row>
    <row r="40" spans="1:4" x14ac:dyDescent="0.25">
      <c r="A40">
        <v>138</v>
      </c>
      <c r="B40" t="s">
        <v>233</v>
      </c>
      <c r="C40" s="480">
        <v>1</v>
      </c>
      <c r="D40" s="480">
        <v>1.125</v>
      </c>
    </row>
    <row r="41" spans="1:4" x14ac:dyDescent="0.25">
      <c r="A41">
        <v>139</v>
      </c>
      <c r="B41" t="s">
        <v>236</v>
      </c>
      <c r="C41" s="480">
        <v>0.75</v>
      </c>
      <c r="D41" s="480">
        <v>0.75</v>
      </c>
    </row>
    <row r="42" spans="1:4" x14ac:dyDescent="0.25">
      <c r="A42">
        <v>140</v>
      </c>
      <c r="B42" t="s">
        <v>241</v>
      </c>
      <c r="C42" s="480">
        <v>1</v>
      </c>
      <c r="D42" s="480">
        <v>1</v>
      </c>
    </row>
    <row r="43" spans="1:4" x14ac:dyDescent="0.25">
      <c r="A43">
        <v>141</v>
      </c>
      <c r="B43" t="s">
        <v>247</v>
      </c>
      <c r="C43" s="480">
        <v>1</v>
      </c>
      <c r="D43" s="480">
        <v>1</v>
      </c>
    </row>
    <row r="44" spans="1:4" x14ac:dyDescent="0.25">
      <c r="A44">
        <v>142</v>
      </c>
      <c r="B44" t="s">
        <v>251</v>
      </c>
      <c r="C44" s="480">
        <v>1</v>
      </c>
      <c r="D44" s="480">
        <v>1</v>
      </c>
    </row>
    <row r="45" spans="1:4" x14ac:dyDescent="0.25">
      <c r="A45">
        <v>143</v>
      </c>
      <c r="B45" t="s">
        <v>256</v>
      </c>
      <c r="C45" s="480">
        <v>0.25</v>
      </c>
      <c r="D45" s="480">
        <v>1</v>
      </c>
    </row>
    <row r="46" spans="1:4" x14ac:dyDescent="0.25">
      <c r="A46" t="s">
        <v>1268</v>
      </c>
      <c r="C46" s="480">
        <v>54.28291499819624</v>
      </c>
      <c r="D46" s="480">
        <v>51.705783236500345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20</vt:i4>
      </vt:variant>
    </vt:vector>
  </HeadingPairs>
  <TitlesOfParts>
    <vt:vector size="33" baseType="lpstr">
      <vt:lpstr>MUSI</vt:lpstr>
      <vt:lpstr>contratacion2013</vt:lpstr>
      <vt:lpstr>contratacion2014</vt:lpstr>
      <vt:lpstr>contratacion2015</vt:lpstr>
      <vt:lpstr>Desplegables</vt:lpstr>
      <vt:lpstr>contratacion2016</vt:lpstr>
      <vt:lpstr>APC</vt:lpstr>
      <vt:lpstr>APR</vt:lpstr>
      <vt:lpstr>Insumo Ponderacion</vt:lpstr>
      <vt:lpstr>PMR</vt:lpstr>
      <vt:lpstr>insumo PMR</vt:lpstr>
      <vt:lpstr>Informe Ejecutivo</vt:lpstr>
      <vt:lpstr>Insumo Informe E</vt:lpstr>
      <vt:lpstr>contratacion2015!Área_de_impresión</vt:lpstr>
      <vt:lpstr>MUSI!Área_de_impresión</vt:lpstr>
      <vt:lpstr>Desplegables!ESTADO</vt:lpstr>
      <vt:lpstr>contratacion2013!Excel_BuiltIn__FilterDatabase</vt:lpstr>
      <vt:lpstr>contratacion2014!Excel_BuiltIn__FilterDatabase</vt:lpstr>
      <vt:lpstr>contratacion2015!Excel_BuiltIn__FilterDatabase</vt:lpstr>
      <vt:lpstr>MUSI!Excel_BuiltIn__FilterDatabase</vt:lpstr>
      <vt:lpstr>Desplegables!FORMADEPAGO</vt:lpstr>
      <vt:lpstr>Desplegables!GESTIONPUBLICA</vt:lpstr>
      <vt:lpstr>Desplegables!INDICADORAGREGADO</vt:lpstr>
      <vt:lpstr>Desplegables!MODALIDAD</vt:lpstr>
      <vt:lpstr>Desplegables!SECTOR</vt:lpstr>
      <vt:lpstr>Desplegables!SECTORES</vt:lpstr>
      <vt:lpstr>Desplegables!TIPODECONTRATO</vt:lpstr>
      <vt:lpstr>contratacion2013!Títulos_a_imprimir</vt:lpstr>
      <vt:lpstr>contratacion2014!Títulos_a_imprimir</vt:lpstr>
      <vt:lpstr>contratacion2015!Títulos_a_imprimir</vt:lpstr>
      <vt:lpstr>'Informe Ejecutivo'!Títulos_a_imprimir</vt:lpstr>
      <vt:lpstr>MUSI!Títulos_a_imprimir</vt:lpstr>
      <vt:lpstr>PMR!Títulos_a_imprimir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Rebeca Gonzalez Jaimes</cp:lastModifiedBy>
  <cp:lastPrinted>2017-01-23T21:05:53Z</cp:lastPrinted>
  <dcterms:created xsi:type="dcterms:W3CDTF">2015-04-30T14:40:12Z</dcterms:created>
  <dcterms:modified xsi:type="dcterms:W3CDTF">2017-07-24T22:01:04Z</dcterms:modified>
</cp:coreProperties>
</file>